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KJ\PycharmProjects\UniversalBridge3\"/>
    </mc:Choice>
  </mc:AlternateContent>
  <xr:revisionPtr revIDLastSave="0" documentId="13_ncr:1_{DB8D265D-7643-436F-89A9-73679A5F04C7}" xr6:coauthVersionLast="45" xr6:coauthVersionMax="45" xr10:uidLastSave="{00000000-0000-0000-0000-000000000000}"/>
  <bookViews>
    <workbookView xWindow="3345" yWindow="2145" windowWidth="21600" windowHeight="12945" activeTab="1" xr2:uid="{00000000-000D-0000-FFFF-FFFF00000000}"/>
  </bookViews>
  <sheets>
    <sheet name="Commentary" sheetId="24" r:id="rId1"/>
    <sheet name="pyUBreadings" sheetId="21" r:id="rId2"/>
    <sheet name="pyUBresults" sheetId="22" r:id="rId3"/>
    <sheet name="pyReport" sheetId="23" r:id="rId4"/>
    <sheet name="Old16074A" sheetId="28" r:id="rId5"/>
    <sheet name="Room Conditions" sheetId="25" r:id="rId6"/>
    <sheet name="ExcelCommentary" sheetId="12" r:id="rId7"/>
    <sheet name="Results" sheetId="4" r:id="rId8"/>
    <sheet name="Universal Bridge" sheetId="5" r:id="rId9"/>
    <sheet name="Uncertainty" sheetId="6" r:id="rId10"/>
    <sheet name="Report" sheetId="16" r:id="rId11"/>
    <sheet name="Conditions" sheetId="18" r:id="rId12"/>
    <sheet name="RoomLogger" sheetId="15" r:id="rId13"/>
    <sheet name="AH27000A" sheetId="26" r:id="rId14"/>
    <sheet name="HP 16380 history" sheetId="27" r:id="rId15"/>
    <sheet name="MuirheadHistory" sheetId="20" r:id="rId16"/>
    <sheet name="AH2700Results" sheetId="13" r:id="rId17"/>
    <sheet name="Range7" sheetId="14" r:id="rId18"/>
    <sheet name="GRhistory" sheetId="17" r:id="rId19"/>
  </sheets>
  <externalReferences>
    <externalReference r:id="rId20"/>
  </externalReferences>
  <definedNames>
    <definedName name="alpha">Results!$D$8:$D$76</definedName>
    <definedName name="Andeen" comment="AH2700 measurements of loss">AH2700Results!$A$4:$I$43</definedName>
    <definedName name="beta">Results!$E$8:$E$76</definedName>
    <definedName name="C_1">'Universal Bridge'!$F$4</definedName>
    <definedName name="C_standard_uncertainty">Uncertainty!$C$24</definedName>
    <definedName name="C_unit_mult">'Universal Bridge'!$H$44:$I$60</definedName>
    <definedName name="correction_c">'Universal Bridge'!$G$12</definedName>
    <definedName name="corrections">'Universal Bridge'!$F$26:$H$39</definedName>
    <definedName name="Data">'Universal Bridge'!$L$2:$T$15</definedName>
    <definedName name="Date">Results!$A$6</definedName>
    <definedName name="differentzero">Results!$L:$L</definedName>
    <definedName name="frequency">Results!$J$8:$J$75</definedName>
    <definedName name="G_1">'Universal Bridge'!$F$8</definedName>
    <definedName name="G_2">'Universal Bridge'!$F$9</definedName>
    <definedName name="G_standard_uncertainty">Uncertainty!$C$47</definedName>
    <definedName name="G_unit_mult">'Universal Bridge'!$K$44:$L$60</definedName>
    <definedName name="hist_16">'HP 16380 history'!$A$109:$AK$115</definedName>
    <definedName name="hist1074">Old16074A!$A$6:$BA$48</definedName>
    <definedName name="history">#REF!</definedName>
    <definedName name="Inductance">Results!$F$9:$F$28</definedName>
    <definedName name="L_standard_uncertainty">Uncertainty!$C$24</definedName>
    <definedName name="L_v">Uncertainty!$F$24</definedName>
    <definedName name="label">Uncertainty!$B$9</definedName>
    <definedName name="multiplier">'Universal Bridge'!$F$42:$N$55</definedName>
    <definedName name="Nominal_Value">#REF!</definedName>
    <definedName name="Old_date">Results!$Q$6</definedName>
    <definedName name="Old_Inductance">Results!$N$7:$N$28</definedName>
    <definedName name="Old_Resistance">Results!$Q$7:$Q$28</definedName>
    <definedName name="Params">Uncertainty!$S$5:$AA$59</definedName>
    <definedName name="_xlnm.Print_Area" localSheetId="10">Report!$L$1:$AD$9</definedName>
    <definedName name="_xlnm.Print_Area" localSheetId="9">Uncertainty!$A$1:$I$82</definedName>
    <definedName name="pyvalues">pyUBresults!$Z$2:$AQ$56</definedName>
    <definedName name="R_4A">'Universal Bridge'!$F$5</definedName>
    <definedName name="R_4B">'Universal Bridge'!$F$6</definedName>
    <definedName name="R_4C">'Universal Bridge'!$F$7</definedName>
    <definedName name="R_standard_uncertainty">Uncertainty!$C$47</definedName>
    <definedName name="R_v">Uncertainty!$F$47</definedName>
    <definedName name="Range">Results!$C$8:$C$77</definedName>
    <definedName name="Rangex">Results!$B$9:$R$68</definedName>
    <definedName name="Record">'Universal Bridge'!$A$5:$C$22</definedName>
    <definedName name="Reports" comment="Old reports">GRhistory!$B$6:$AK$64</definedName>
    <definedName name="Resistance">Results!$H$9:$H$28</definedName>
    <definedName name="Results">Results!$B$7:$S$68</definedName>
    <definedName name="ub_uncertainty">Uncertainty!$AB$5:$AG$59</definedName>
    <definedName name="Uncertainty">Uncertainty!$AB$5:$AG$59</definedName>
    <definedName name="zeros">'Universal Bridge'!$Q$20:$S$42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6" i="4" l="1"/>
  <c r="E54" i="4"/>
  <c r="D54" i="4"/>
  <c r="E53" i="4"/>
  <c r="D53" i="4"/>
  <c r="E52" i="4"/>
  <c r="D52" i="4"/>
  <c r="D51" i="4"/>
  <c r="E50" i="4"/>
  <c r="D49" i="4"/>
  <c r="D47" i="4"/>
  <c r="D46" i="4"/>
  <c r="E45" i="4"/>
  <c r="D45" i="4"/>
  <c r="E44" i="4"/>
  <c r="E43" i="4"/>
  <c r="E42" i="4"/>
  <c r="E32" i="4"/>
  <c r="E30" i="4"/>
  <c r="E26" i="4"/>
  <c r="D26" i="4"/>
  <c r="E24" i="4"/>
  <c r="E23" i="4"/>
  <c r="D20" i="4"/>
  <c r="E17" i="4"/>
  <c r="D17" i="4"/>
  <c r="E16" i="4"/>
  <c r="D16" i="4"/>
  <c r="E14" i="4"/>
  <c r="D14" i="4"/>
  <c r="E13" i="4"/>
  <c r="D13" i="4"/>
  <c r="E12" i="4"/>
  <c r="A116" i="22" l="1"/>
  <c r="B116" i="22"/>
  <c r="C116" i="22"/>
  <c r="D116" i="22"/>
  <c r="E116" i="22"/>
  <c r="F116" i="22"/>
  <c r="G116" i="22"/>
  <c r="H116" i="22"/>
  <c r="I116" i="22"/>
  <c r="J116" i="22"/>
  <c r="K116" i="22"/>
  <c r="L116" i="22"/>
  <c r="M116" i="22"/>
  <c r="N116" i="22"/>
  <c r="O116" i="22"/>
  <c r="P116" i="22"/>
  <c r="Q116" i="22"/>
  <c r="R116" i="22"/>
  <c r="S116" i="22"/>
  <c r="T116" i="22"/>
  <c r="U116" i="22"/>
  <c r="V116" i="22"/>
  <c r="W116" i="22"/>
  <c r="A117" i="22"/>
  <c r="B117" i="22"/>
  <c r="C117" i="22"/>
  <c r="D117" i="22"/>
  <c r="E117" i="22"/>
  <c r="F117" i="22"/>
  <c r="G117" i="22"/>
  <c r="H117" i="22"/>
  <c r="I117" i="22"/>
  <c r="J117" i="22"/>
  <c r="K117" i="22"/>
  <c r="L117" i="22"/>
  <c r="M117" i="22"/>
  <c r="N117" i="22"/>
  <c r="O117" i="22"/>
  <c r="P117" i="22"/>
  <c r="Q117" i="22"/>
  <c r="R117" i="22"/>
  <c r="S117" i="22"/>
  <c r="T117" i="22"/>
  <c r="U117" i="22"/>
  <c r="V117" i="22"/>
  <c r="W117" i="22"/>
  <c r="A118" i="22"/>
  <c r="B118" i="22"/>
  <c r="C118" i="22"/>
  <c r="D118" i="22"/>
  <c r="E118" i="22"/>
  <c r="F118" i="22"/>
  <c r="G118" i="22"/>
  <c r="H118" i="22"/>
  <c r="I118" i="22"/>
  <c r="J118" i="22"/>
  <c r="K118" i="22"/>
  <c r="L118" i="22"/>
  <c r="M118" i="22"/>
  <c r="N118" i="22"/>
  <c r="O118" i="22"/>
  <c r="P118" i="22"/>
  <c r="Q118" i="22"/>
  <c r="R118" i="22"/>
  <c r="S118" i="22"/>
  <c r="T118" i="22"/>
  <c r="U118" i="22"/>
  <c r="V118" i="22"/>
  <c r="W118" i="22"/>
  <c r="A119" i="22"/>
  <c r="B119" i="22"/>
  <c r="C119" i="22"/>
  <c r="D119" i="22"/>
  <c r="E119" i="22"/>
  <c r="F119" i="22"/>
  <c r="G119" i="22"/>
  <c r="H119" i="22"/>
  <c r="I119" i="22"/>
  <c r="J119" i="22"/>
  <c r="K119" i="22"/>
  <c r="L119" i="22"/>
  <c r="M119" i="22"/>
  <c r="N119" i="22"/>
  <c r="O119" i="22"/>
  <c r="P119" i="22"/>
  <c r="Q119" i="22"/>
  <c r="R119" i="22"/>
  <c r="S119" i="22"/>
  <c r="T119" i="22"/>
  <c r="U119" i="22"/>
  <c r="V119" i="22"/>
  <c r="W119" i="22"/>
  <c r="A120" i="22"/>
  <c r="B120" i="22"/>
  <c r="C120" i="22"/>
  <c r="D120" i="22"/>
  <c r="E120" i="22"/>
  <c r="F120" i="22"/>
  <c r="G120" i="22"/>
  <c r="H120" i="22"/>
  <c r="I120" i="22"/>
  <c r="J120" i="22"/>
  <c r="K120" i="22"/>
  <c r="L120" i="22"/>
  <c r="M120" i="22"/>
  <c r="N120" i="22"/>
  <c r="O120" i="22"/>
  <c r="P120" i="22"/>
  <c r="Q120" i="22"/>
  <c r="R120" i="22"/>
  <c r="S120" i="22"/>
  <c r="T120" i="22"/>
  <c r="U120" i="22"/>
  <c r="V120" i="22"/>
  <c r="W120" i="22"/>
  <c r="A121" i="22"/>
  <c r="B121" i="22"/>
  <c r="C121" i="22"/>
  <c r="D121" i="22"/>
  <c r="E121" i="22"/>
  <c r="F121" i="22"/>
  <c r="G121" i="22"/>
  <c r="H121" i="22"/>
  <c r="I121" i="22"/>
  <c r="J121" i="22"/>
  <c r="K121" i="22"/>
  <c r="L121" i="22"/>
  <c r="M121" i="22"/>
  <c r="N121" i="22"/>
  <c r="O121" i="22"/>
  <c r="P121" i="22"/>
  <c r="Q121" i="22"/>
  <c r="R121" i="22"/>
  <c r="S121" i="22"/>
  <c r="T121" i="22"/>
  <c r="U121" i="22"/>
  <c r="V121" i="22"/>
  <c r="W121" i="22"/>
  <c r="A122" i="22"/>
  <c r="B122" i="22"/>
  <c r="C122" i="22"/>
  <c r="D122" i="22"/>
  <c r="E122" i="22"/>
  <c r="F122" i="22"/>
  <c r="G122" i="22"/>
  <c r="H122" i="22"/>
  <c r="I122" i="22"/>
  <c r="J122" i="22"/>
  <c r="K122" i="22"/>
  <c r="L122" i="22"/>
  <c r="M122" i="22"/>
  <c r="N122" i="22"/>
  <c r="O122" i="22"/>
  <c r="P122" i="22"/>
  <c r="Q122" i="22"/>
  <c r="R122" i="22"/>
  <c r="S122" i="22"/>
  <c r="T122" i="22"/>
  <c r="U122" i="22"/>
  <c r="V122" i="22"/>
  <c r="W122" i="22"/>
  <c r="A123" i="22"/>
  <c r="B123" i="22"/>
  <c r="C123" i="22"/>
  <c r="D123" i="22"/>
  <c r="E123" i="22"/>
  <c r="F123" i="22"/>
  <c r="G123" i="22"/>
  <c r="H123" i="22"/>
  <c r="I123" i="22"/>
  <c r="J123" i="22"/>
  <c r="K123" i="22"/>
  <c r="L123" i="22"/>
  <c r="M123" i="22"/>
  <c r="N123" i="22"/>
  <c r="O123" i="22"/>
  <c r="P123" i="22"/>
  <c r="Q123" i="22"/>
  <c r="R123" i="22"/>
  <c r="S123" i="22"/>
  <c r="T123" i="22"/>
  <c r="U123" i="22"/>
  <c r="V123" i="22"/>
  <c r="W123" i="22"/>
  <c r="A124" i="22"/>
  <c r="B124" i="22"/>
  <c r="C124" i="22"/>
  <c r="D124" i="22"/>
  <c r="E124" i="22"/>
  <c r="F124" i="22"/>
  <c r="G124" i="22"/>
  <c r="H124" i="22"/>
  <c r="I124" i="22"/>
  <c r="J124" i="22"/>
  <c r="K124" i="22"/>
  <c r="L124" i="22"/>
  <c r="M124" i="22"/>
  <c r="N124" i="22"/>
  <c r="O124" i="22"/>
  <c r="P124" i="22"/>
  <c r="Q124" i="22"/>
  <c r="R124" i="22"/>
  <c r="S124" i="22"/>
  <c r="T124" i="22"/>
  <c r="U124" i="22"/>
  <c r="V124" i="22"/>
  <c r="W124" i="22"/>
  <c r="A125" i="22"/>
  <c r="B125" i="22"/>
  <c r="C125" i="22"/>
  <c r="D125" i="22"/>
  <c r="E125" i="22"/>
  <c r="F125" i="22"/>
  <c r="G125" i="22"/>
  <c r="H125" i="22"/>
  <c r="I125" i="22"/>
  <c r="J125" i="22"/>
  <c r="K125" i="22"/>
  <c r="L125" i="22"/>
  <c r="M125" i="22"/>
  <c r="N125" i="22"/>
  <c r="O125" i="22"/>
  <c r="P125" i="22"/>
  <c r="Q125" i="22"/>
  <c r="R125" i="22"/>
  <c r="S125" i="22"/>
  <c r="T125" i="22"/>
  <c r="U125" i="22"/>
  <c r="V125" i="22"/>
  <c r="W125" i="22"/>
  <c r="A126" i="22"/>
  <c r="B126" i="22"/>
  <c r="C126" i="22"/>
  <c r="D126" i="22"/>
  <c r="E126" i="22"/>
  <c r="F126" i="22"/>
  <c r="G126" i="22"/>
  <c r="H126" i="22"/>
  <c r="I126" i="22"/>
  <c r="J126" i="22"/>
  <c r="K126" i="22"/>
  <c r="L126" i="22"/>
  <c r="M126" i="22"/>
  <c r="N126" i="22"/>
  <c r="O126" i="22"/>
  <c r="P126" i="22"/>
  <c r="Q126" i="22"/>
  <c r="R126" i="22"/>
  <c r="S126" i="22"/>
  <c r="T126" i="22"/>
  <c r="U126" i="22"/>
  <c r="V126" i="22"/>
  <c r="W126" i="22"/>
  <c r="A127" i="22"/>
  <c r="B127" i="22"/>
  <c r="C127" i="22"/>
  <c r="D127" i="22"/>
  <c r="E127" i="22"/>
  <c r="F127" i="22"/>
  <c r="G127" i="22"/>
  <c r="H127" i="22"/>
  <c r="I127" i="22"/>
  <c r="J127" i="22"/>
  <c r="K127" i="22"/>
  <c r="L127" i="22"/>
  <c r="M127" i="22"/>
  <c r="N127" i="22"/>
  <c r="O127" i="22"/>
  <c r="P127" i="22"/>
  <c r="Q127" i="22"/>
  <c r="R127" i="22"/>
  <c r="S127" i="22"/>
  <c r="T127" i="22"/>
  <c r="U127" i="22"/>
  <c r="V127" i="22"/>
  <c r="W127" i="22"/>
  <c r="A128" i="22"/>
  <c r="B128" i="22"/>
  <c r="C128" i="22"/>
  <c r="D128" i="22"/>
  <c r="E128" i="22"/>
  <c r="F128" i="22"/>
  <c r="G128" i="22"/>
  <c r="H128" i="22"/>
  <c r="I128" i="22"/>
  <c r="J128" i="22"/>
  <c r="K128" i="22"/>
  <c r="L128" i="22"/>
  <c r="M128" i="22"/>
  <c r="N128" i="22"/>
  <c r="O128" i="22"/>
  <c r="P128" i="22"/>
  <c r="Q128" i="22"/>
  <c r="R128" i="22"/>
  <c r="S128" i="22"/>
  <c r="T128" i="22"/>
  <c r="U128" i="22"/>
  <c r="V128" i="22"/>
  <c r="W128" i="22"/>
  <c r="A129" i="22"/>
  <c r="B129" i="22"/>
  <c r="C129" i="22"/>
  <c r="D129" i="22"/>
  <c r="E129" i="22"/>
  <c r="F129" i="22"/>
  <c r="G129" i="22"/>
  <c r="H129" i="22"/>
  <c r="I129" i="22"/>
  <c r="J129" i="22"/>
  <c r="K129" i="22"/>
  <c r="L129" i="22"/>
  <c r="M129" i="22"/>
  <c r="N129" i="22"/>
  <c r="O129" i="22"/>
  <c r="P129" i="22"/>
  <c r="Q129" i="22"/>
  <c r="R129" i="22"/>
  <c r="S129" i="22"/>
  <c r="T129" i="22"/>
  <c r="U129" i="22"/>
  <c r="V129" i="22"/>
  <c r="W129" i="22"/>
  <c r="A130" i="22"/>
  <c r="B130" i="22"/>
  <c r="C130" i="22"/>
  <c r="D130" i="22"/>
  <c r="E130" i="22"/>
  <c r="F130" i="22"/>
  <c r="G130" i="22"/>
  <c r="H130" i="22"/>
  <c r="I130" i="22"/>
  <c r="J130" i="22"/>
  <c r="K130" i="22"/>
  <c r="L130" i="22"/>
  <c r="M130" i="22"/>
  <c r="N130" i="22"/>
  <c r="O130" i="22"/>
  <c r="P130" i="22"/>
  <c r="Q130" i="22"/>
  <c r="R130" i="22"/>
  <c r="S130" i="22"/>
  <c r="T130" i="22"/>
  <c r="U130" i="22"/>
  <c r="V130" i="22"/>
  <c r="W130" i="22"/>
  <c r="A131" i="22"/>
  <c r="B131" i="22"/>
  <c r="C131" i="22"/>
  <c r="D131" i="22"/>
  <c r="E131" i="22"/>
  <c r="F131" i="22"/>
  <c r="G131" i="22"/>
  <c r="H131" i="22"/>
  <c r="I131" i="22"/>
  <c r="J131" i="22"/>
  <c r="K131" i="22"/>
  <c r="L131" i="22"/>
  <c r="M131" i="22"/>
  <c r="N131" i="22"/>
  <c r="O131" i="22"/>
  <c r="P131" i="22"/>
  <c r="Q131" i="22"/>
  <c r="R131" i="22"/>
  <c r="S131" i="22"/>
  <c r="T131" i="22"/>
  <c r="U131" i="22"/>
  <c r="V131" i="22"/>
  <c r="W131" i="22"/>
  <c r="A132" i="22"/>
  <c r="B132" i="22"/>
  <c r="C132" i="22"/>
  <c r="D132" i="22"/>
  <c r="E132" i="22"/>
  <c r="F132" i="22"/>
  <c r="G132" i="22"/>
  <c r="H132" i="22"/>
  <c r="I132" i="22"/>
  <c r="J132" i="22"/>
  <c r="K132" i="22"/>
  <c r="L132" i="22"/>
  <c r="M132" i="22"/>
  <c r="N132" i="22"/>
  <c r="O132" i="22"/>
  <c r="P132" i="22"/>
  <c r="Q132" i="22"/>
  <c r="R132" i="22"/>
  <c r="S132" i="22"/>
  <c r="T132" i="22"/>
  <c r="U132" i="22"/>
  <c r="V132" i="22"/>
  <c r="W132" i="22"/>
  <c r="A133" i="22"/>
  <c r="B133" i="22"/>
  <c r="C133" i="22"/>
  <c r="D133" i="22"/>
  <c r="E133" i="22"/>
  <c r="F133" i="22"/>
  <c r="G133" i="22"/>
  <c r="H133" i="22"/>
  <c r="I133" i="22"/>
  <c r="J133" i="22"/>
  <c r="K133" i="22"/>
  <c r="L133" i="22"/>
  <c r="M133" i="22"/>
  <c r="N133" i="22"/>
  <c r="O133" i="22"/>
  <c r="P133" i="22"/>
  <c r="Q133" i="22"/>
  <c r="R133" i="22"/>
  <c r="S133" i="22"/>
  <c r="T133" i="22"/>
  <c r="U133" i="22"/>
  <c r="V133" i="22"/>
  <c r="W133" i="22"/>
  <c r="A134" i="22"/>
  <c r="B134" i="22"/>
  <c r="C134" i="22"/>
  <c r="D134" i="22"/>
  <c r="E134" i="22"/>
  <c r="F134" i="22"/>
  <c r="G134" i="22"/>
  <c r="H134" i="22"/>
  <c r="I134" i="22"/>
  <c r="J134" i="22"/>
  <c r="K134" i="22"/>
  <c r="L134" i="22"/>
  <c r="M134" i="22"/>
  <c r="N134" i="22"/>
  <c r="O134" i="22"/>
  <c r="P134" i="22"/>
  <c r="Q134" i="22"/>
  <c r="R134" i="22"/>
  <c r="S134" i="22"/>
  <c r="T134" i="22"/>
  <c r="U134" i="22"/>
  <c r="V134" i="22"/>
  <c r="W134" i="22"/>
  <c r="A135" i="22"/>
  <c r="B135" i="22"/>
  <c r="C135" i="22"/>
  <c r="D135" i="22"/>
  <c r="E135" i="22"/>
  <c r="F135" i="22"/>
  <c r="G135" i="22"/>
  <c r="H135" i="22"/>
  <c r="I135" i="22"/>
  <c r="J135" i="22"/>
  <c r="K135" i="22"/>
  <c r="L135" i="22"/>
  <c r="M135" i="22"/>
  <c r="N135" i="22"/>
  <c r="O135" i="22"/>
  <c r="P135" i="22"/>
  <c r="Q135" i="22"/>
  <c r="R135" i="22"/>
  <c r="S135" i="22"/>
  <c r="T135" i="22"/>
  <c r="U135" i="22"/>
  <c r="V135" i="22"/>
  <c r="W135" i="22"/>
  <c r="A136" i="22"/>
  <c r="B136" i="22"/>
  <c r="C136" i="22"/>
  <c r="D136" i="22"/>
  <c r="E136" i="22"/>
  <c r="F136" i="22"/>
  <c r="G136" i="22"/>
  <c r="H136" i="22"/>
  <c r="I136" i="22"/>
  <c r="J136" i="22"/>
  <c r="K136" i="22"/>
  <c r="L136" i="22"/>
  <c r="M136" i="22"/>
  <c r="N136" i="22"/>
  <c r="O136" i="22"/>
  <c r="P136" i="22"/>
  <c r="Q136" i="22"/>
  <c r="R136" i="22"/>
  <c r="S136" i="22"/>
  <c r="T136" i="22"/>
  <c r="U136" i="22"/>
  <c r="V136" i="22"/>
  <c r="W136" i="22"/>
  <c r="A137" i="22"/>
  <c r="B137" i="22"/>
  <c r="C137" i="22"/>
  <c r="D137" i="22"/>
  <c r="E137" i="22"/>
  <c r="F137" i="22"/>
  <c r="G137" i="22"/>
  <c r="H137" i="22"/>
  <c r="I137" i="22"/>
  <c r="J137" i="22"/>
  <c r="K137" i="22"/>
  <c r="L137" i="22"/>
  <c r="M137" i="22"/>
  <c r="N137" i="22"/>
  <c r="O137" i="22"/>
  <c r="P137" i="22"/>
  <c r="Q137" i="22"/>
  <c r="R137" i="22"/>
  <c r="S137" i="22"/>
  <c r="T137" i="22"/>
  <c r="U137" i="22"/>
  <c r="V137" i="22"/>
  <c r="W137" i="22"/>
  <c r="A138" i="22"/>
  <c r="B138" i="22"/>
  <c r="C138" i="22"/>
  <c r="D138" i="22"/>
  <c r="E138" i="22"/>
  <c r="F138" i="22"/>
  <c r="G138" i="22"/>
  <c r="H138" i="22"/>
  <c r="I138" i="22"/>
  <c r="J138" i="22"/>
  <c r="K138" i="22"/>
  <c r="L138" i="22"/>
  <c r="M138" i="22"/>
  <c r="N138" i="22"/>
  <c r="O138" i="22"/>
  <c r="P138" i="22"/>
  <c r="Q138" i="22"/>
  <c r="R138" i="22"/>
  <c r="S138" i="22"/>
  <c r="T138" i="22"/>
  <c r="U138" i="22"/>
  <c r="V138" i="22"/>
  <c r="W138" i="22"/>
  <c r="A139" i="22"/>
  <c r="B139" i="22"/>
  <c r="C139" i="22"/>
  <c r="D139" i="22"/>
  <c r="E139" i="22"/>
  <c r="F139" i="22"/>
  <c r="G139" i="22"/>
  <c r="H139" i="22"/>
  <c r="I139" i="22"/>
  <c r="J139" i="22"/>
  <c r="K139" i="22"/>
  <c r="L139" i="22"/>
  <c r="M139" i="22"/>
  <c r="N139" i="22"/>
  <c r="O139" i="22"/>
  <c r="P139" i="22"/>
  <c r="Q139" i="22"/>
  <c r="R139" i="22"/>
  <c r="S139" i="22"/>
  <c r="T139" i="22"/>
  <c r="U139" i="22"/>
  <c r="V139" i="22"/>
  <c r="W139" i="22"/>
  <c r="A140" i="22"/>
  <c r="B140" i="22"/>
  <c r="C140" i="22"/>
  <c r="D140" i="22"/>
  <c r="E140" i="22"/>
  <c r="F140" i="22"/>
  <c r="G140" i="22"/>
  <c r="H140" i="22"/>
  <c r="I140" i="22"/>
  <c r="J140" i="22"/>
  <c r="K140" i="22"/>
  <c r="L140" i="22"/>
  <c r="M140" i="22"/>
  <c r="N140" i="22"/>
  <c r="O140" i="22"/>
  <c r="P140" i="22"/>
  <c r="Q140" i="22"/>
  <c r="R140" i="22"/>
  <c r="S140" i="22"/>
  <c r="T140" i="22"/>
  <c r="U140" i="22"/>
  <c r="V140" i="22"/>
  <c r="W140" i="22"/>
  <c r="A141" i="22"/>
  <c r="B141" i="22"/>
  <c r="C141" i="22"/>
  <c r="D141" i="22"/>
  <c r="E141" i="22"/>
  <c r="F141" i="22"/>
  <c r="G141" i="22"/>
  <c r="H141" i="22"/>
  <c r="I141" i="22"/>
  <c r="J141" i="22"/>
  <c r="K141" i="22"/>
  <c r="L141" i="22"/>
  <c r="M141" i="22"/>
  <c r="N141" i="22"/>
  <c r="O141" i="22"/>
  <c r="P141" i="22"/>
  <c r="Q141" i="22"/>
  <c r="R141" i="22"/>
  <c r="S141" i="22"/>
  <c r="T141" i="22"/>
  <c r="U141" i="22"/>
  <c r="V141" i="22"/>
  <c r="W141" i="22"/>
  <c r="A142" i="22"/>
  <c r="B142" i="22"/>
  <c r="C142" i="22"/>
  <c r="D142" i="22"/>
  <c r="E142" i="22"/>
  <c r="F142" i="22"/>
  <c r="G142" i="22"/>
  <c r="H142" i="22"/>
  <c r="I142" i="22"/>
  <c r="J142" i="22"/>
  <c r="K142" i="22"/>
  <c r="L142" i="22"/>
  <c r="M142" i="22"/>
  <c r="N142" i="22"/>
  <c r="O142" i="22"/>
  <c r="P142" i="22"/>
  <c r="Q142" i="22"/>
  <c r="R142" i="22"/>
  <c r="S142" i="22"/>
  <c r="T142" i="22"/>
  <c r="U142" i="22"/>
  <c r="V142" i="22"/>
  <c r="W142" i="22"/>
  <c r="A143" i="22"/>
  <c r="B143" i="22"/>
  <c r="C143" i="22"/>
  <c r="D143" i="22"/>
  <c r="E143" i="22"/>
  <c r="F143" i="22"/>
  <c r="G143" i="22"/>
  <c r="H143" i="22"/>
  <c r="I143" i="22"/>
  <c r="J143" i="22"/>
  <c r="K143" i="22"/>
  <c r="L143" i="22"/>
  <c r="M143" i="22"/>
  <c r="N143" i="22"/>
  <c r="O143" i="22"/>
  <c r="P143" i="22"/>
  <c r="Q143" i="22"/>
  <c r="R143" i="22"/>
  <c r="S143" i="22"/>
  <c r="T143" i="22"/>
  <c r="U143" i="22"/>
  <c r="V143" i="22"/>
  <c r="W143" i="22"/>
  <c r="A144" i="22"/>
  <c r="B144" i="22"/>
  <c r="C144" i="22"/>
  <c r="D144" i="22"/>
  <c r="E144" i="22"/>
  <c r="F144" i="22"/>
  <c r="G144" i="22"/>
  <c r="H144" i="22"/>
  <c r="I144" i="22"/>
  <c r="J144" i="22"/>
  <c r="K144" i="22"/>
  <c r="L144" i="22"/>
  <c r="M144" i="22"/>
  <c r="N144" i="22"/>
  <c r="O144" i="22"/>
  <c r="P144" i="22"/>
  <c r="Q144" i="22"/>
  <c r="R144" i="22"/>
  <c r="S144" i="22"/>
  <c r="T144" i="22"/>
  <c r="U144" i="22"/>
  <c r="V144" i="22"/>
  <c r="W144" i="22"/>
  <c r="A145" i="22"/>
  <c r="B145" i="22"/>
  <c r="C145" i="22"/>
  <c r="D145" i="22"/>
  <c r="E145" i="22"/>
  <c r="F145" i="22"/>
  <c r="G145" i="22"/>
  <c r="H145" i="22"/>
  <c r="I145" i="22"/>
  <c r="J145" i="22"/>
  <c r="K145" i="22"/>
  <c r="L145" i="22"/>
  <c r="M145" i="22"/>
  <c r="N145" i="22"/>
  <c r="O145" i="22"/>
  <c r="P145" i="22"/>
  <c r="Q145" i="22"/>
  <c r="R145" i="22"/>
  <c r="S145" i="22"/>
  <c r="T145" i="22"/>
  <c r="U145" i="22"/>
  <c r="V145" i="22"/>
  <c r="W145" i="22"/>
  <c r="A146" i="22"/>
  <c r="B146" i="22"/>
  <c r="C146" i="22"/>
  <c r="D146" i="22"/>
  <c r="E146" i="22"/>
  <c r="F146" i="22"/>
  <c r="G146" i="22"/>
  <c r="H146" i="22"/>
  <c r="I146" i="22"/>
  <c r="J146" i="22"/>
  <c r="K146" i="22"/>
  <c r="L146" i="22"/>
  <c r="M146" i="22"/>
  <c r="N146" i="22"/>
  <c r="O146" i="22"/>
  <c r="P146" i="22"/>
  <c r="Q146" i="22"/>
  <c r="R146" i="22"/>
  <c r="S146" i="22"/>
  <c r="T146" i="22"/>
  <c r="U146" i="22"/>
  <c r="V146" i="22"/>
  <c r="W146" i="22"/>
  <c r="A147" i="22"/>
  <c r="B147" i="22"/>
  <c r="C147" i="22"/>
  <c r="D147" i="22"/>
  <c r="E147" i="22"/>
  <c r="F147" i="22"/>
  <c r="G147" i="22"/>
  <c r="H147" i="22"/>
  <c r="I147" i="22"/>
  <c r="J147" i="22"/>
  <c r="K147" i="22"/>
  <c r="L147" i="22"/>
  <c r="M147" i="22"/>
  <c r="N147" i="22"/>
  <c r="O147" i="22"/>
  <c r="P147" i="22"/>
  <c r="Q147" i="22"/>
  <c r="R147" i="22"/>
  <c r="S147" i="22"/>
  <c r="T147" i="22"/>
  <c r="U147" i="22"/>
  <c r="V147" i="22"/>
  <c r="W147" i="22"/>
  <c r="A148" i="22"/>
  <c r="B148" i="22"/>
  <c r="C148" i="22"/>
  <c r="D148" i="22"/>
  <c r="E148" i="22"/>
  <c r="F148" i="22"/>
  <c r="G148" i="22"/>
  <c r="H148" i="22"/>
  <c r="I148" i="22"/>
  <c r="J148" i="22"/>
  <c r="K148" i="22"/>
  <c r="L148" i="22"/>
  <c r="M148" i="22"/>
  <c r="N148" i="22"/>
  <c r="O148" i="22"/>
  <c r="P148" i="22"/>
  <c r="Q148" i="22"/>
  <c r="R148" i="22"/>
  <c r="S148" i="22"/>
  <c r="T148" i="22"/>
  <c r="U148" i="22"/>
  <c r="V148" i="22"/>
  <c r="W148" i="22"/>
  <c r="A149" i="22"/>
  <c r="B149" i="22"/>
  <c r="C149" i="22"/>
  <c r="D149" i="22"/>
  <c r="E149" i="22"/>
  <c r="F149" i="22"/>
  <c r="G149" i="22"/>
  <c r="H149" i="22"/>
  <c r="I149" i="22"/>
  <c r="J149" i="22"/>
  <c r="K149" i="22"/>
  <c r="L149" i="22"/>
  <c r="M149" i="22"/>
  <c r="N149" i="22"/>
  <c r="O149" i="22"/>
  <c r="P149" i="22"/>
  <c r="Q149" i="22"/>
  <c r="R149" i="22"/>
  <c r="S149" i="22"/>
  <c r="T149" i="22"/>
  <c r="U149" i="22"/>
  <c r="V149" i="22"/>
  <c r="W149" i="22"/>
  <c r="A150" i="22"/>
  <c r="B150" i="22"/>
  <c r="C150" i="22"/>
  <c r="D150" i="22"/>
  <c r="E150" i="22"/>
  <c r="F150" i="22"/>
  <c r="G150" i="22"/>
  <c r="H150" i="22"/>
  <c r="I150" i="22"/>
  <c r="J150" i="22"/>
  <c r="K150" i="22"/>
  <c r="L150" i="22"/>
  <c r="M150" i="22"/>
  <c r="N150" i="22"/>
  <c r="O150" i="22"/>
  <c r="P150" i="22"/>
  <c r="Q150" i="22"/>
  <c r="R150" i="22"/>
  <c r="S150" i="22"/>
  <c r="T150" i="22"/>
  <c r="U150" i="22"/>
  <c r="V150" i="22"/>
  <c r="W150" i="22"/>
  <c r="A151" i="22"/>
  <c r="B151" i="22"/>
  <c r="C151" i="22"/>
  <c r="D151" i="22"/>
  <c r="E151" i="22"/>
  <c r="F151" i="22"/>
  <c r="G151" i="22"/>
  <c r="H151" i="22"/>
  <c r="I151" i="22"/>
  <c r="J151" i="22"/>
  <c r="K151" i="22"/>
  <c r="L151" i="22"/>
  <c r="M151" i="22"/>
  <c r="N151" i="22"/>
  <c r="O151" i="22"/>
  <c r="P151" i="22"/>
  <c r="Q151" i="22"/>
  <c r="R151" i="22"/>
  <c r="S151" i="22"/>
  <c r="T151" i="22"/>
  <c r="U151" i="22"/>
  <c r="V151" i="22"/>
  <c r="W151" i="22"/>
  <c r="A152" i="22"/>
  <c r="B152" i="22"/>
  <c r="C152" i="22"/>
  <c r="D152" i="22"/>
  <c r="E152" i="22"/>
  <c r="F152" i="22"/>
  <c r="G152" i="22"/>
  <c r="H152" i="22"/>
  <c r="I152" i="22"/>
  <c r="J152" i="22"/>
  <c r="K152" i="22"/>
  <c r="L152" i="22"/>
  <c r="M152" i="22"/>
  <c r="N152" i="22"/>
  <c r="O152" i="22"/>
  <c r="P152" i="22"/>
  <c r="Q152" i="22"/>
  <c r="R152" i="22"/>
  <c r="S152" i="22"/>
  <c r="T152" i="22"/>
  <c r="U152" i="22"/>
  <c r="V152" i="22"/>
  <c r="W152" i="22"/>
  <c r="A153" i="22"/>
  <c r="B153" i="22"/>
  <c r="C153" i="22"/>
  <c r="D153" i="22"/>
  <c r="E153" i="22"/>
  <c r="F153" i="22"/>
  <c r="G153" i="22"/>
  <c r="H153" i="22"/>
  <c r="I153" i="22"/>
  <c r="J153" i="22"/>
  <c r="K153" i="22"/>
  <c r="L153" i="22"/>
  <c r="M153" i="22"/>
  <c r="N153" i="22"/>
  <c r="O153" i="22"/>
  <c r="P153" i="22"/>
  <c r="Q153" i="22"/>
  <c r="R153" i="22"/>
  <c r="S153" i="22"/>
  <c r="T153" i="22"/>
  <c r="U153" i="22"/>
  <c r="V153" i="22"/>
  <c r="W153" i="22"/>
  <c r="A154" i="22"/>
  <c r="B154" i="22"/>
  <c r="C154" i="22"/>
  <c r="D154" i="22"/>
  <c r="E154" i="22"/>
  <c r="F154" i="22"/>
  <c r="G154" i="22"/>
  <c r="H154" i="22"/>
  <c r="I154" i="22"/>
  <c r="J154" i="22"/>
  <c r="K154" i="22"/>
  <c r="L154" i="22"/>
  <c r="M154" i="22"/>
  <c r="N154" i="22"/>
  <c r="O154" i="22"/>
  <c r="P154" i="22"/>
  <c r="Q154" i="22"/>
  <c r="R154" i="22"/>
  <c r="S154" i="22"/>
  <c r="T154" i="22"/>
  <c r="U154" i="22"/>
  <c r="V154" i="22"/>
  <c r="W154" i="22"/>
  <c r="A155" i="22"/>
  <c r="B155" i="22"/>
  <c r="C155" i="22"/>
  <c r="D155" i="22"/>
  <c r="E155" i="22"/>
  <c r="F155" i="22"/>
  <c r="G155" i="22"/>
  <c r="H155" i="22"/>
  <c r="I155" i="22"/>
  <c r="J155" i="22"/>
  <c r="K155" i="22"/>
  <c r="L155" i="22"/>
  <c r="M155" i="22"/>
  <c r="N155" i="22"/>
  <c r="O155" i="22"/>
  <c r="P155" i="22"/>
  <c r="Q155" i="22"/>
  <c r="R155" i="22"/>
  <c r="S155" i="22"/>
  <c r="T155" i="22"/>
  <c r="U155" i="22"/>
  <c r="V155" i="22"/>
  <c r="W155" i="22"/>
  <c r="A156" i="22"/>
  <c r="B156" i="22"/>
  <c r="C156" i="22"/>
  <c r="D156" i="22"/>
  <c r="E156" i="22"/>
  <c r="F156" i="22"/>
  <c r="G156" i="22"/>
  <c r="H156" i="22"/>
  <c r="I156" i="22"/>
  <c r="J156" i="22"/>
  <c r="K156" i="22"/>
  <c r="L156" i="22"/>
  <c r="M156" i="22"/>
  <c r="N156" i="22"/>
  <c r="O156" i="22"/>
  <c r="P156" i="22"/>
  <c r="Q156" i="22"/>
  <c r="R156" i="22"/>
  <c r="S156" i="22"/>
  <c r="T156" i="22"/>
  <c r="U156" i="22"/>
  <c r="V156" i="22"/>
  <c r="W156" i="22"/>
  <c r="A157" i="22"/>
  <c r="B157" i="22"/>
  <c r="C157" i="22"/>
  <c r="D157" i="22"/>
  <c r="E157" i="22"/>
  <c r="F157" i="22"/>
  <c r="G157" i="22"/>
  <c r="H157" i="22"/>
  <c r="I157" i="22"/>
  <c r="J157" i="22"/>
  <c r="K157" i="22"/>
  <c r="L157" i="22"/>
  <c r="M157" i="22"/>
  <c r="N157" i="22"/>
  <c r="O157" i="22"/>
  <c r="P157" i="22"/>
  <c r="Q157" i="22"/>
  <c r="R157" i="22"/>
  <c r="S157" i="22"/>
  <c r="T157" i="22"/>
  <c r="U157" i="22"/>
  <c r="V157" i="22"/>
  <c r="W157" i="22"/>
  <c r="A158" i="22"/>
  <c r="B158" i="22"/>
  <c r="C158" i="22"/>
  <c r="D158" i="22"/>
  <c r="E158" i="22"/>
  <c r="F158" i="22"/>
  <c r="G158" i="22"/>
  <c r="H158" i="22"/>
  <c r="I158" i="22"/>
  <c r="J158" i="22"/>
  <c r="K158" i="22"/>
  <c r="L158" i="22"/>
  <c r="M158" i="22"/>
  <c r="N158" i="22"/>
  <c r="O158" i="22"/>
  <c r="P158" i="22"/>
  <c r="Q158" i="22"/>
  <c r="R158" i="22"/>
  <c r="S158" i="22"/>
  <c r="T158" i="22"/>
  <c r="U158" i="22"/>
  <c r="V158" i="22"/>
  <c r="W158" i="22"/>
  <c r="A159" i="22"/>
  <c r="B159" i="22"/>
  <c r="C159" i="22"/>
  <c r="D159" i="22"/>
  <c r="E159" i="22"/>
  <c r="F159" i="22"/>
  <c r="G159" i="22"/>
  <c r="H159" i="22"/>
  <c r="I159" i="22"/>
  <c r="J159" i="22"/>
  <c r="K159" i="22"/>
  <c r="L159" i="22"/>
  <c r="M159" i="22"/>
  <c r="N159" i="22"/>
  <c r="O159" i="22"/>
  <c r="P159" i="22"/>
  <c r="Q159" i="22"/>
  <c r="R159" i="22"/>
  <c r="S159" i="22"/>
  <c r="T159" i="22"/>
  <c r="U159" i="22"/>
  <c r="V159" i="22"/>
  <c r="W159" i="22"/>
  <c r="A160" i="22"/>
  <c r="B160" i="22"/>
  <c r="C160" i="22"/>
  <c r="D160" i="22"/>
  <c r="E160" i="22"/>
  <c r="F160" i="22"/>
  <c r="G160" i="22"/>
  <c r="H160" i="22"/>
  <c r="I160" i="22"/>
  <c r="J160" i="22"/>
  <c r="K160" i="22"/>
  <c r="L160" i="22"/>
  <c r="M160" i="22"/>
  <c r="N160" i="22"/>
  <c r="O160" i="22"/>
  <c r="P160" i="22"/>
  <c r="Q160" i="22"/>
  <c r="R160" i="22"/>
  <c r="S160" i="22"/>
  <c r="T160" i="22"/>
  <c r="U160" i="22"/>
  <c r="V160" i="22"/>
  <c r="W160" i="22"/>
  <c r="A161" i="22"/>
  <c r="B161" i="22"/>
  <c r="C161" i="22"/>
  <c r="D161" i="22"/>
  <c r="E161" i="22"/>
  <c r="F161" i="22"/>
  <c r="G161" i="22"/>
  <c r="H161" i="22"/>
  <c r="I161" i="22"/>
  <c r="J161" i="22"/>
  <c r="K161" i="22"/>
  <c r="L161" i="22"/>
  <c r="M161" i="22"/>
  <c r="N161" i="22"/>
  <c r="O161" i="22"/>
  <c r="P161" i="22"/>
  <c r="Q161" i="22"/>
  <c r="R161" i="22"/>
  <c r="S161" i="22"/>
  <c r="T161" i="22"/>
  <c r="U161" i="22"/>
  <c r="V161" i="22"/>
  <c r="W161" i="22"/>
  <c r="A162" i="22"/>
  <c r="B162" i="22"/>
  <c r="C162" i="22"/>
  <c r="D162" i="22"/>
  <c r="E162" i="22"/>
  <c r="F162" i="22"/>
  <c r="G162" i="22"/>
  <c r="H162" i="22"/>
  <c r="I162" i="22"/>
  <c r="J162" i="22"/>
  <c r="K162" i="22"/>
  <c r="L162" i="22"/>
  <c r="M162" i="22"/>
  <c r="N162" i="22"/>
  <c r="O162" i="22"/>
  <c r="P162" i="22"/>
  <c r="Q162" i="22"/>
  <c r="R162" i="22"/>
  <c r="S162" i="22"/>
  <c r="T162" i="22"/>
  <c r="U162" i="22"/>
  <c r="V162" i="22"/>
  <c r="W162" i="22"/>
  <c r="A163" i="22"/>
  <c r="B163" i="22"/>
  <c r="C163" i="22"/>
  <c r="D163" i="22"/>
  <c r="E163" i="22"/>
  <c r="F163" i="22"/>
  <c r="G163" i="22"/>
  <c r="H163" i="22"/>
  <c r="I163" i="22"/>
  <c r="J163" i="22"/>
  <c r="K163" i="22"/>
  <c r="L163" i="22"/>
  <c r="M163" i="22"/>
  <c r="N163" i="22"/>
  <c r="O163" i="22"/>
  <c r="P163" i="22"/>
  <c r="Q163" i="22"/>
  <c r="R163" i="22"/>
  <c r="S163" i="22"/>
  <c r="T163" i="22"/>
  <c r="U163" i="22"/>
  <c r="V163" i="22"/>
  <c r="W163" i="22"/>
  <c r="A164" i="22"/>
  <c r="B164" i="22"/>
  <c r="C164" i="22"/>
  <c r="D164" i="22"/>
  <c r="E164" i="22"/>
  <c r="F164" i="22"/>
  <c r="G164" i="22"/>
  <c r="H164" i="22"/>
  <c r="I164" i="22"/>
  <c r="J164" i="22"/>
  <c r="K164" i="22"/>
  <c r="L164" i="22"/>
  <c r="M164" i="22"/>
  <c r="N164" i="22"/>
  <c r="O164" i="22"/>
  <c r="P164" i="22"/>
  <c r="Q164" i="22"/>
  <c r="R164" i="22"/>
  <c r="S164" i="22"/>
  <c r="T164" i="22"/>
  <c r="U164" i="22"/>
  <c r="V164" i="22"/>
  <c r="W164" i="22"/>
  <c r="A165" i="22"/>
  <c r="B165" i="22"/>
  <c r="C165" i="22"/>
  <c r="D165" i="22"/>
  <c r="E165" i="22"/>
  <c r="F165" i="22"/>
  <c r="G165" i="22"/>
  <c r="H165" i="22"/>
  <c r="I165" i="22"/>
  <c r="J165" i="22"/>
  <c r="K165" i="22"/>
  <c r="L165" i="22"/>
  <c r="M165" i="22"/>
  <c r="N165" i="22"/>
  <c r="O165" i="22"/>
  <c r="P165" i="22"/>
  <c r="Q165" i="22"/>
  <c r="R165" i="22"/>
  <c r="S165" i="22"/>
  <c r="T165" i="22"/>
  <c r="U165" i="22"/>
  <c r="V165" i="22"/>
  <c r="W165" i="22"/>
  <c r="A166" i="22"/>
  <c r="B166" i="22"/>
  <c r="C166" i="22"/>
  <c r="D166" i="22"/>
  <c r="E166" i="22"/>
  <c r="F166" i="22"/>
  <c r="G166" i="22"/>
  <c r="H166" i="22"/>
  <c r="I166" i="22"/>
  <c r="J166" i="22"/>
  <c r="K166" i="22"/>
  <c r="L166" i="22"/>
  <c r="M166" i="22"/>
  <c r="N166" i="22"/>
  <c r="O166" i="22"/>
  <c r="P166" i="22"/>
  <c r="Q166" i="22"/>
  <c r="R166" i="22"/>
  <c r="S166" i="22"/>
  <c r="T166" i="22"/>
  <c r="U166" i="22"/>
  <c r="V166" i="22"/>
  <c r="W166" i="22"/>
  <c r="A167" i="22"/>
  <c r="B167" i="22"/>
  <c r="C167" i="22"/>
  <c r="D167" i="22"/>
  <c r="E167" i="22"/>
  <c r="F167" i="22"/>
  <c r="G167" i="22"/>
  <c r="H167" i="22"/>
  <c r="I167" i="22"/>
  <c r="J167" i="22"/>
  <c r="K167" i="22"/>
  <c r="L167" i="22"/>
  <c r="M167" i="22"/>
  <c r="N167" i="22"/>
  <c r="O167" i="22"/>
  <c r="P167" i="22"/>
  <c r="Q167" i="22"/>
  <c r="R167" i="22"/>
  <c r="S167" i="22"/>
  <c r="T167" i="22"/>
  <c r="U167" i="22"/>
  <c r="V167" i="22"/>
  <c r="W167" i="22"/>
  <c r="A168" i="22"/>
  <c r="B168" i="22"/>
  <c r="C168" i="22"/>
  <c r="D168" i="22"/>
  <c r="E168" i="22"/>
  <c r="F168" i="22"/>
  <c r="G168" i="22"/>
  <c r="H168" i="22"/>
  <c r="I168" i="22"/>
  <c r="J168" i="22"/>
  <c r="K168" i="22"/>
  <c r="L168" i="22"/>
  <c r="M168" i="22"/>
  <c r="N168" i="22"/>
  <c r="O168" i="22"/>
  <c r="P168" i="22"/>
  <c r="Q168" i="22"/>
  <c r="R168" i="22"/>
  <c r="S168" i="22"/>
  <c r="T168" i="22"/>
  <c r="U168" i="22"/>
  <c r="V168" i="22"/>
  <c r="W168" i="22"/>
  <c r="A169" i="22"/>
  <c r="B169" i="22"/>
  <c r="C169" i="22"/>
  <c r="D169" i="22"/>
  <c r="E169" i="22"/>
  <c r="F169" i="22"/>
  <c r="G169" i="22"/>
  <c r="H169" i="22"/>
  <c r="I169" i="22"/>
  <c r="J169" i="22"/>
  <c r="K169" i="22"/>
  <c r="L169" i="22"/>
  <c r="M169" i="22"/>
  <c r="N169" i="22"/>
  <c r="O169" i="22"/>
  <c r="P169" i="22"/>
  <c r="Q169" i="22"/>
  <c r="R169" i="22"/>
  <c r="S169" i="22"/>
  <c r="T169" i="22"/>
  <c r="U169" i="22"/>
  <c r="V169" i="22"/>
  <c r="W169" i="22"/>
  <c r="B115" i="22"/>
  <c r="C115" i="22"/>
  <c r="D115" i="22"/>
  <c r="E115" i="22"/>
  <c r="F115" i="22"/>
  <c r="G115" i="22"/>
  <c r="H115" i="22"/>
  <c r="I115" i="22"/>
  <c r="J115" i="22"/>
  <c r="K115" i="22"/>
  <c r="L115" i="22"/>
  <c r="M115" i="22"/>
  <c r="N115" i="22"/>
  <c r="O115" i="22"/>
  <c r="P115" i="22"/>
  <c r="Q115" i="22"/>
  <c r="R115" i="22"/>
  <c r="S115" i="22"/>
  <c r="T115" i="22"/>
  <c r="U115" i="22"/>
  <c r="V115" i="22"/>
  <c r="W115" i="22"/>
  <c r="A115" i="22"/>
  <c r="G4" i="25" l="1"/>
  <c r="G3" i="25"/>
  <c r="N5" i="4"/>
  <c r="E4" i="25" s="1"/>
  <c r="N4" i="4"/>
  <c r="E3" i="25" s="1"/>
  <c r="A51" i="28" l="1"/>
  <c r="E56" i="28"/>
  <c r="D56" i="28"/>
  <c r="C56" i="28"/>
  <c r="B56" i="28"/>
  <c r="E55" i="28"/>
  <c r="D55" i="28"/>
  <c r="C55" i="28"/>
  <c r="B55" i="28"/>
  <c r="E54" i="28"/>
  <c r="D54" i="28"/>
  <c r="C54" i="28"/>
  <c r="B54" i="28"/>
  <c r="E53" i="28"/>
  <c r="D53" i="28"/>
  <c r="C53" i="28"/>
  <c r="B53" i="28"/>
  <c r="E52" i="28"/>
  <c r="D52" i="28"/>
  <c r="C52" i="28"/>
  <c r="B52" i="28"/>
  <c r="A56" i="28"/>
  <c r="A55" i="28"/>
  <c r="A54" i="28"/>
  <c r="A53" i="28"/>
  <c r="A52" i="28"/>
  <c r="C2" i="16"/>
  <c r="N47" i="16"/>
  <c r="T43" i="23" s="1"/>
  <c r="L47" i="16"/>
  <c r="S43" i="23" s="1"/>
  <c r="I47" i="16"/>
  <c r="Q43" i="23" s="1"/>
  <c r="G47" i="16"/>
  <c r="P43" i="23" s="1"/>
  <c r="N46" i="16"/>
  <c r="T42" i="23" s="1"/>
  <c r="L46" i="16"/>
  <c r="S42" i="23" s="1"/>
  <c r="I46" i="16"/>
  <c r="Q42" i="23" s="1"/>
  <c r="G46" i="16"/>
  <c r="P42" i="23" s="1"/>
  <c r="N40" i="16"/>
  <c r="T39" i="23" s="1"/>
  <c r="L40" i="16"/>
  <c r="S39" i="23" s="1"/>
  <c r="I40" i="16"/>
  <c r="Q39" i="23" s="1"/>
  <c r="G40" i="16"/>
  <c r="P39" i="23" s="1"/>
  <c r="N39" i="16"/>
  <c r="T38" i="23" s="1"/>
  <c r="L39" i="16"/>
  <c r="S38" i="23" s="1"/>
  <c r="I39" i="16"/>
  <c r="Q38" i="23" s="1"/>
  <c r="G39" i="16"/>
  <c r="P38" i="23" s="1"/>
  <c r="N38" i="16"/>
  <c r="T37" i="23" s="1"/>
  <c r="L38" i="16"/>
  <c r="S37" i="23" s="1"/>
  <c r="I38" i="16"/>
  <c r="Q37" i="23" s="1"/>
  <c r="G38" i="16"/>
  <c r="P37" i="23" s="1"/>
  <c r="N34" i="16"/>
  <c r="T34" i="23" s="1"/>
  <c r="I34" i="16"/>
  <c r="Q34" i="23" s="1"/>
  <c r="G34" i="16"/>
  <c r="P34" i="23" s="1"/>
  <c r="N33" i="16"/>
  <c r="T33" i="23" s="1"/>
  <c r="I33" i="16"/>
  <c r="Q33" i="23" s="1"/>
  <c r="G33" i="16"/>
  <c r="P33" i="23" s="1"/>
  <c r="N32" i="16"/>
  <c r="T32" i="23" s="1"/>
  <c r="I32" i="16"/>
  <c r="Q32" i="23" s="1"/>
  <c r="G32" i="16"/>
  <c r="P32" i="23" s="1"/>
  <c r="N31" i="16"/>
  <c r="T31" i="23" s="1"/>
  <c r="I31" i="16"/>
  <c r="Q31" i="23" s="1"/>
  <c r="G31" i="16"/>
  <c r="P31" i="23" s="1"/>
  <c r="N30" i="16"/>
  <c r="T30" i="23" s="1"/>
  <c r="I30" i="16"/>
  <c r="Q30" i="23" s="1"/>
  <c r="G30" i="16"/>
  <c r="P30" i="23" s="1"/>
  <c r="N29" i="16"/>
  <c r="T29" i="23" s="1"/>
  <c r="I29" i="16"/>
  <c r="Q29" i="23" s="1"/>
  <c r="G29" i="16"/>
  <c r="P29" i="23" s="1"/>
  <c r="N28" i="16"/>
  <c r="T28" i="23" s="1"/>
  <c r="I28" i="16"/>
  <c r="Q28" i="23" s="1"/>
  <c r="G28" i="16"/>
  <c r="P28" i="23" s="1"/>
  <c r="N27" i="16"/>
  <c r="T27" i="23" s="1"/>
  <c r="I27" i="16"/>
  <c r="Q27" i="23" s="1"/>
  <c r="G27" i="16"/>
  <c r="P27" i="23" s="1"/>
  <c r="N26" i="16"/>
  <c r="T26" i="23" s="1"/>
  <c r="I26" i="16"/>
  <c r="Q26" i="23" s="1"/>
  <c r="G26" i="16"/>
  <c r="P26" i="23" s="1"/>
  <c r="N22" i="16"/>
  <c r="T23" i="23" s="1"/>
  <c r="L22" i="16"/>
  <c r="S23" i="23" s="1"/>
  <c r="I22" i="16"/>
  <c r="Q23" i="23" s="1"/>
  <c r="G22" i="16"/>
  <c r="P23" i="23" s="1"/>
  <c r="N21" i="16"/>
  <c r="T22" i="23" s="1"/>
  <c r="L21" i="16"/>
  <c r="S22" i="23" s="1"/>
  <c r="I21" i="16"/>
  <c r="Q22" i="23" s="1"/>
  <c r="G21" i="16"/>
  <c r="P22" i="23" s="1"/>
  <c r="N20" i="16"/>
  <c r="T21" i="23" s="1"/>
  <c r="L20" i="16"/>
  <c r="S21" i="23" s="1"/>
  <c r="I20" i="16"/>
  <c r="Q21" i="23" s="1"/>
  <c r="G20" i="16"/>
  <c r="P21" i="23" s="1"/>
  <c r="N19" i="16"/>
  <c r="T20" i="23" s="1"/>
  <c r="L19" i="16"/>
  <c r="S20" i="23" s="1"/>
  <c r="I19" i="16"/>
  <c r="Q20" i="23" s="1"/>
  <c r="G19" i="16"/>
  <c r="P20" i="23" s="1"/>
  <c r="N18" i="16"/>
  <c r="T19" i="23" s="1"/>
  <c r="L18" i="16"/>
  <c r="S19" i="23" s="1"/>
  <c r="I18" i="16"/>
  <c r="Q19" i="23" s="1"/>
  <c r="G18" i="16"/>
  <c r="P19" i="23" s="1"/>
  <c r="N17" i="16"/>
  <c r="T18" i="23" s="1"/>
  <c r="L17" i="16"/>
  <c r="S18" i="23" s="1"/>
  <c r="I17" i="16"/>
  <c r="Q18" i="23" s="1"/>
  <c r="G17" i="16"/>
  <c r="P18" i="23" s="1"/>
  <c r="N16" i="16"/>
  <c r="T17" i="23" s="1"/>
  <c r="L16" i="16"/>
  <c r="S17" i="23" s="1"/>
  <c r="I16" i="16"/>
  <c r="Q17" i="23" s="1"/>
  <c r="G16" i="16"/>
  <c r="P17" i="23" s="1"/>
  <c r="N15" i="16"/>
  <c r="T16" i="23" s="1"/>
  <c r="L15" i="16"/>
  <c r="S16" i="23" s="1"/>
  <c r="I15" i="16"/>
  <c r="Q16" i="23" s="1"/>
  <c r="G15" i="16"/>
  <c r="P16" i="23" s="1"/>
  <c r="N14" i="16"/>
  <c r="T15" i="23" s="1"/>
  <c r="L14" i="16"/>
  <c r="S15" i="23" s="1"/>
  <c r="I14" i="16"/>
  <c r="Q15" i="23" s="1"/>
  <c r="G14" i="16"/>
  <c r="P15" i="23" s="1"/>
  <c r="N13" i="16"/>
  <c r="T12" i="23" s="1"/>
  <c r="L13" i="16"/>
  <c r="S12" i="23" s="1"/>
  <c r="I13" i="16"/>
  <c r="Q12" i="23" s="1"/>
  <c r="G13" i="16"/>
  <c r="P12" i="23" s="1"/>
  <c r="N12" i="16"/>
  <c r="T11" i="23" s="1"/>
  <c r="L12" i="16"/>
  <c r="S11" i="23" s="1"/>
  <c r="I12" i="16"/>
  <c r="Q11" i="23" s="1"/>
  <c r="G12" i="16"/>
  <c r="P11" i="23" s="1"/>
  <c r="N11" i="16"/>
  <c r="T10" i="23" s="1"/>
  <c r="L11" i="16"/>
  <c r="S10" i="23" s="1"/>
  <c r="I11" i="16"/>
  <c r="Q10" i="23" s="1"/>
  <c r="G11" i="16"/>
  <c r="P10" i="23" s="1"/>
  <c r="N10" i="16"/>
  <c r="T9" i="23" s="1"/>
  <c r="L10" i="16"/>
  <c r="S9" i="23" s="1"/>
  <c r="I10" i="16"/>
  <c r="Q9" i="23" s="1"/>
  <c r="G10" i="16"/>
  <c r="P9" i="23" s="1"/>
  <c r="N9" i="16"/>
  <c r="T8" i="23" s="1"/>
  <c r="L9" i="16"/>
  <c r="S8" i="23" s="1"/>
  <c r="I9" i="16"/>
  <c r="Q8" i="23" s="1"/>
  <c r="G9" i="16"/>
  <c r="P8" i="23" s="1"/>
  <c r="N8" i="16"/>
  <c r="T7" i="23" s="1"/>
  <c r="L8" i="16"/>
  <c r="S7" i="23" s="1"/>
  <c r="I8" i="16"/>
  <c r="Q7" i="23" s="1"/>
  <c r="G8" i="16"/>
  <c r="P7" i="23" s="1"/>
  <c r="N7" i="16"/>
  <c r="T6" i="23" s="1"/>
  <c r="L7" i="16"/>
  <c r="S6" i="23" s="1"/>
  <c r="I7" i="16"/>
  <c r="Q6" i="23" s="1"/>
  <c r="G7" i="16"/>
  <c r="P6" i="23" s="1"/>
  <c r="N6" i="16"/>
  <c r="T5" i="23" s="1"/>
  <c r="L6" i="16"/>
  <c r="S5" i="23" s="1"/>
  <c r="I6" i="16"/>
  <c r="Q5" i="23" s="1"/>
  <c r="G6" i="16"/>
  <c r="P5" i="23" s="1"/>
  <c r="N5" i="16"/>
  <c r="T4" i="23" s="1"/>
  <c r="L5" i="16"/>
  <c r="S4" i="23" s="1"/>
  <c r="I5" i="16"/>
  <c r="Q4" i="23" s="1"/>
  <c r="G5" i="16"/>
  <c r="P4" i="23" s="1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9" i="4"/>
  <c r="B40" i="6" s="1"/>
  <c r="V53" i="6"/>
  <c r="W53" i="6" s="1"/>
  <c r="S38" i="5"/>
  <c r="S39" i="5"/>
  <c r="S40" i="5"/>
  <c r="S41" i="5"/>
  <c r="S42" i="5"/>
  <c r="R42" i="5"/>
  <c r="R41" i="5"/>
  <c r="R40" i="5"/>
  <c r="R39" i="5"/>
  <c r="R38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0" i="5"/>
  <c r="R21" i="5"/>
  <c r="F66" i="4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F65" i="4" l="1"/>
  <c r="H69" i="4"/>
  <c r="H68" i="4"/>
  <c r="F64" i="4"/>
  <c r="H67" i="4"/>
  <c r="F69" i="4"/>
  <c r="H66" i="4"/>
  <c r="F68" i="4"/>
  <c r="H65" i="4"/>
  <c r="F67" i="4"/>
  <c r="H64" i="4"/>
  <c r="K64" i="4" s="1"/>
  <c r="V51" i="6"/>
  <c r="W51" i="6" s="1"/>
  <c r="N29" i="21" l="1"/>
  <c r="N28" i="21"/>
  <c r="N27" i="21"/>
  <c r="N23" i="21"/>
  <c r="N22" i="21"/>
  <c r="N21" i="21"/>
  <c r="K55" i="21"/>
  <c r="K57" i="21"/>
  <c r="AI3" i="22"/>
  <c r="AI4" i="22"/>
  <c r="AI5" i="22"/>
  <c r="AI6" i="22"/>
  <c r="AI7" i="22"/>
  <c r="AI8" i="22"/>
  <c r="AI9" i="22"/>
  <c r="AI10" i="22"/>
  <c r="AI11" i="22"/>
  <c r="AI12" i="22"/>
  <c r="AI13" i="22"/>
  <c r="AI14" i="22"/>
  <c r="AI15" i="22"/>
  <c r="AI16" i="22"/>
  <c r="AI17" i="22"/>
  <c r="AI18" i="22"/>
  <c r="AI19" i="22"/>
  <c r="AI20" i="22"/>
  <c r="AI21" i="22"/>
  <c r="AI22" i="22"/>
  <c r="AI23" i="22"/>
  <c r="AI24" i="22"/>
  <c r="AI25" i="22"/>
  <c r="AI26" i="22"/>
  <c r="AI27" i="22"/>
  <c r="AI28" i="22"/>
  <c r="AI29" i="22"/>
  <c r="AI30" i="22"/>
  <c r="AI31" i="22"/>
  <c r="AI32" i="22"/>
  <c r="AI33" i="22"/>
  <c r="AI34" i="22"/>
  <c r="AI35" i="22"/>
  <c r="AI36" i="22"/>
  <c r="AI37" i="22"/>
  <c r="AI38" i="22"/>
  <c r="AI39" i="22"/>
  <c r="AI40" i="22"/>
  <c r="AI41" i="22"/>
  <c r="AI42" i="22"/>
  <c r="AI43" i="22"/>
  <c r="AI44" i="22"/>
  <c r="AI45" i="22"/>
  <c r="AI46" i="22"/>
  <c r="AI47" i="22"/>
  <c r="AI48" i="22"/>
  <c r="AI49" i="22"/>
  <c r="AI50" i="22"/>
  <c r="AI51" i="22"/>
  <c r="AI52" i="22"/>
  <c r="AI53" i="22"/>
  <c r="AI54" i="22"/>
  <c r="AI55" i="22"/>
  <c r="AI56" i="22"/>
  <c r="AI2" i="22"/>
  <c r="AH3" i="22"/>
  <c r="AH4" i="22"/>
  <c r="AH5" i="22"/>
  <c r="AH6" i="22"/>
  <c r="AH7" i="22"/>
  <c r="AH8" i="22"/>
  <c r="AH9" i="22"/>
  <c r="AH10" i="22"/>
  <c r="AH11" i="22"/>
  <c r="AH12" i="22"/>
  <c r="AH13" i="22"/>
  <c r="AH14" i="22"/>
  <c r="AH15" i="22"/>
  <c r="AH16" i="22"/>
  <c r="AH17" i="22"/>
  <c r="AH18" i="22"/>
  <c r="AH19" i="22"/>
  <c r="AH20" i="22"/>
  <c r="AH21" i="22"/>
  <c r="AH22" i="22"/>
  <c r="AH23" i="22"/>
  <c r="AH24" i="22"/>
  <c r="AH25" i="22"/>
  <c r="AH26" i="22"/>
  <c r="AH27" i="22"/>
  <c r="AH28" i="22"/>
  <c r="AH29" i="22"/>
  <c r="AH30" i="22"/>
  <c r="AH31" i="22"/>
  <c r="AH32" i="22"/>
  <c r="AH33" i="22"/>
  <c r="AH34" i="22"/>
  <c r="AH35" i="22"/>
  <c r="AH36" i="22"/>
  <c r="AH37" i="22"/>
  <c r="AH38" i="22"/>
  <c r="AH39" i="22"/>
  <c r="AH40" i="22"/>
  <c r="AH41" i="22"/>
  <c r="AH42" i="22"/>
  <c r="AH43" i="22"/>
  <c r="AH44" i="22"/>
  <c r="AH45" i="22"/>
  <c r="AH46" i="22"/>
  <c r="AH47" i="22"/>
  <c r="AH48" i="22"/>
  <c r="AH49" i="22"/>
  <c r="AH50" i="22"/>
  <c r="AH51" i="22"/>
  <c r="AH52" i="22"/>
  <c r="AH53" i="22"/>
  <c r="AH54" i="22"/>
  <c r="AH55" i="22"/>
  <c r="AH56" i="22"/>
  <c r="AH2" i="22"/>
  <c r="AG3" i="22"/>
  <c r="AG4" i="22"/>
  <c r="AG5" i="22"/>
  <c r="AG6" i="22"/>
  <c r="AG7" i="22"/>
  <c r="AG8" i="22"/>
  <c r="AG9" i="22"/>
  <c r="AG10" i="22"/>
  <c r="AG11" i="22"/>
  <c r="AG12" i="22"/>
  <c r="AG13" i="22"/>
  <c r="AG14" i="22"/>
  <c r="AG15" i="22"/>
  <c r="AG16" i="22"/>
  <c r="AG17" i="22"/>
  <c r="AG18" i="22"/>
  <c r="AG19" i="22"/>
  <c r="AG20" i="22"/>
  <c r="AG21" i="22"/>
  <c r="AG22" i="22"/>
  <c r="AG23" i="22"/>
  <c r="AG24" i="22"/>
  <c r="AG25" i="22"/>
  <c r="AG26" i="22"/>
  <c r="AG27" i="22"/>
  <c r="AG28" i="22"/>
  <c r="AG29" i="22"/>
  <c r="AG30" i="22"/>
  <c r="AG31" i="22"/>
  <c r="AG32" i="22"/>
  <c r="AG33" i="22"/>
  <c r="AG34" i="22"/>
  <c r="AG35" i="22"/>
  <c r="AG36" i="22"/>
  <c r="AG37" i="22"/>
  <c r="AG38" i="22"/>
  <c r="AG39" i="22"/>
  <c r="AG40" i="22"/>
  <c r="AG41" i="22"/>
  <c r="AG42" i="22"/>
  <c r="AG43" i="22"/>
  <c r="AG44" i="22"/>
  <c r="AG45" i="22"/>
  <c r="AG46" i="22"/>
  <c r="AG47" i="22"/>
  <c r="AG48" i="22"/>
  <c r="AG49" i="22"/>
  <c r="AG50" i="22"/>
  <c r="AG51" i="22"/>
  <c r="AG52" i="22"/>
  <c r="AG53" i="22"/>
  <c r="AG54" i="22"/>
  <c r="AG55" i="22"/>
  <c r="AG56" i="22"/>
  <c r="AG2" i="22"/>
  <c r="AF3" i="22"/>
  <c r="AF4" i="22"/>
  <c r="AF5" i="22"/>
  <c r="AF6" i="22"/>
  <c r="AF7" i="22"/>
  <c r="AF8" i="22"/>
  <c r="AF9" i="22"/>
  <c r="AF10" i="22"/>
  <c r="AF11" i="22"/>
  <c r="AF12" i="22"/>
  <c r="AF13" i="22"/>
  <c r="AF14" i="22"/>
  <c r="AF15" i="22"/>
  <c r="AF16" i="22"/>
  <c r="AF17" i="22"/>
  <c r="AF18" i="22"/>
  <c r="AF19" i="22"/>
  <c r="AF20" i="22"/>
  <c r="AF21" i="22"/>
  <c r="AF22" i="22"/>
  <c r="AF23" i="22"/>
  <c r="AF24" i="22"/>
  <c r="AF25" i="22"/>
  <c r="AF26" i="22"/>
  <c r="AF27" i="22"/>
  <c r="AF28" i="22"/>
  <c r="AF29" i="22"/>
  <c r="AF30" i="22"/>
  <c r="AF31" i="22"/>
  <c r="AF32" i="22"/>
  <c r="AF33" i="22"/>
  <c r="AF34" i="22"/>
  <c r="AF35" i="22"/>
  <c r="AF36" i="22"/>
  <c r="AF37" i="22"/>
  <c r="AF38" i="22"/>
  <c r="AF39" i="22"/>
  <c r="AF40" i="22"/>
  <c r="AF41" i="22"/>
  <c r="AF42" i="22"/>
  <c r="AF43" i="22"/>
  <c r="AF44" i="22"/>
  <c r="AF45" i="22"/>
  <c r="AF46" i="22"/>
  <c r="AF47" i="22"/>
  <c r="AF48" i="22"/>
  <c r="AF49" i="22"/>
  <c r="AF50" i="22"/>
  <c r="AF51" i="22"/>
  <c r="AF52" i="22"/>
  <c r="AF53" i="22"/>
  <c r="AF54" i="22"/>
  <c r="AF55" i="22"/>
  <c r="AF56" i="22"/>
  <c r="AF2" i="22"/>
  <c r="AD3" i="22"/>
  <c r="AD4" i="22"/>
  <c r="AD5" i="22"/>
  <c r="AD6" i="22"/>
  <c r="AD7" i="22"/>
  <c r="AD8" i="22"/>
  <c r="AD9" i="22"/>
  <c r="AD10" i="22"/>
  <c r="AD11" i="22"/>
  <c r="AD12" i="22"/>
  <c r="AD13" i="22"/>
  <c r="AD14" i="22"/>
  <c r="AD15" i="22"/>
  <c r="AD16" i="22"/>
  <c r="AD17" i="22"/>
  <c r="AD18" i="22"/>
  <c r="AD19" i="22"/>
  <c r="AD20" i="22"/>
  <c r="AD21" i="22"/>
  <c r="AD22" i="22"/>
  <c r="AD23" i="22"/>
  <c r="AD24" i="22"/>
  <c r="AD25" i="22"/>
  <c r="AD26" i="22"/>
  <c r="AD27" i="22"/>
  <c r="AD28" i="22"/>
  <c r="AD29" i="22"/>
  <c r="AD30" i="22"/>
  <c r="AD31" i="22"/>
  <c r="AD32" i="22"/>
  <c r="AD33" i="22"/>
  <c r="AD34" i="22"/>
  <c r="AD35" i="22"/>
  <c r="AD36" i="22"/>
  <c r="AD37" i="22"/>
  <c r="AD38" i="22"/>
  <c r="AD39" i="22"/>
  <c r="AD40" i="22"/>
  <c r="AD41" i="22"/>
  <c r="AD42" i="22"/>
  <c r="AD43" i="22"/>
  <c r="AD44" i="22"/>
  <c r="AD45" i="22"/>
  <c r="AD46" i="22"/>
  <c r="AD47" i="22"/>
  <c r="AD48" i="22"/>
  <c r="AD49" i="22"/>
  <c r="AD50" i="22"/>
  <c r="AD51" i="22"/>
  <c r="AD52" i="22"/>
  <c r="AD53" i="22"/>
  <c r="AD54" i="22"/>
  <c r="AD55" i="22"/>
  <c r="AD56" i="22"/>
  <c r="AD2" i="22"/>
  <c r="AC3" i="22"/>
  <c r="AC4" i="22"/>
  <c r="AC5" i="22"/>
  <c r="AC6" i="22"/>
  <c r="AC7" i="22"/>
  <c r="AC8" i="22"/>
  <c r="AC9" i="22"/>
  <c r="AC10" i="22"/>
  <c r="AC11" i="22"/>
  <c r="AC12" i="22"/>
  <c r="AC13" i="22"/>
  <c r="AC14" i="22"/>
  <c r="AC15" i="22"/>
  <c r="AC16" i="22"/>
  <c r="AC17" i="22"/>
  <c r="AC18" i="22"/>
  <c r="AC19" i="22"/>
  <c r="AC20" i="22"/>
  <c r="AC21" i="22"/>
  <c r="AC22" i="22"/>
  <c r="AC23" i="22"/>
  <c r="AC24" i="22"/>
  <c r="AC25" i="22"/>
  <c r="AC26" i="22"/>
  <c r="AC27" i="22"/>
  <c r="AC28" i="22"/>
  <c r="AC29" i="22"/>
  <c r="AC30" i="22"/>
  <c r="AC31" i="22"/>
  <c r="AC32" i="22"/>
  <c r="AC33" i="22"/>
  <c r="AC34" i="22"/>
  <c r="AC35" i="22"/>
  <c r="AC36" i="22"/>
  <c r="AC37" i="22"/>
  <c r="AC38" i="22"/>
  <c r="AC39" i="22"/>
  <c r="AC40" i="22"/>
  <c r="AC41" i="22"/>
  <c r="AC42" i="22"/>
  <c r="AC43" i="22"/>
  <c r="AC44" i="22"/>
  <c r="AC45" i="22"/>
  <c r="AC46" i="22"/>
  <c r="AC47" i="22"/>
  <c r="AC48" i="22"/>
  <c r="AC49" i="22"/>
  <c r="AC50" i="22"/>
  <c r="AC51" i="22"/>
  <c r="AC52" i="22"/>
  <c r="AC53" i="22"/>
  <c r="AC54" i="22"/>
  <c r="AC55" i="22"/>
  <c r="AC56" i="22"/>
  <c r="AC2" i="22"/>
  <c r="AB3" i="22"/>
  <c r="AB4" i="22"/>
  <c r="AB5" i="22"/>
  <c r="AB6" i="22"/>
  <c r="AB7" i="22"/>
  <c r="AB8" i="22"/>
  <c r="AB9" i="22"/>
  <c r="AB10" i="22"/>
  <c r="AB11" i="22"/>
  <c r="AB12" i="22"/>
  <c r="AB13" i="22"/>
  <c r="AB14" i="22"/>
  <c r="AB15" i="22"/>
  <c r="AB16" i="22"/>
  <c r="AB17" i="22"/>
  <c r="AB18" i="22"/>
  <c r="AB19" i="22"/>
  <c r="AB20" i="22"/>
  <c r="AB21" i="22"/>
  <c r="AB22" i="22"/>
  <c r="AB23" i="22"/>
  <c r="AB24" i="22"/>
  <c r="AB25" i="22"/>
  <c r="AB26" i="22"/>
  <c r="AB27" i="22"/>
  <c r="AB28" i="22"/>
  <c r="AB29" i="22"/>
  <c r="AB30" i="22"/>
  <c r="AB31" i="22"/>
  <c r="AB32" i="22"/>
  <c r="AB33" i="22"/>
  <c r="AB34" i="22"/>
  <c r="AB35" i="22"/>
  <c r="AB36" i="22"/>
  <c r="AB37" i="22"/>
  <c r="AB38" i="22"/>
  <c r="AB39" i="22"/>
  <c r="AB40" i="22"/>
  <c r="AB41" i="22"/>
  <c r="AB42" i="22"/>
  <c r="AB43" i="22"/>
  <c r="AB44" i="22"/>
  <c r="AB45" i="22"/>
  <c r="AB46" i="22"/>
  <c r="AB47" i="22"/>
  <c r="AB48" i="22"/>
  <c r="AB49" i="22"/>
  <c r="AB50" i="22"/>
  <c r="AB51" i="22"/>
  <c r="AB52" i="22"/>
  <c r="AB53" i="22"/>
  <c r="AB54" i="22"/>
  <c r="AB55" i="22"/>
  <c r="AB56" i="22"/>
  <c r="AB2" i="22"/>
  <c r="Z13" i="22"/>
  <c r="AJ45" i="22" l="1"/>
  <c r="AJ33" i="22"/>
  <c r="AK32" i="22"/>
  <c r="AJ46" i="22"/>
  <c r="AJ38" i="22"/>
  <c r="AJ34" i="22"/>
  <c r="AK45" i="22"/>
  <c r="AK33" i="22"/>
  <c r="AK44" i="22"/>
  <c r="AJ44" i="22"/>
  <c r="AJ40" i="22"/>
  <c r="AJ32" i="22"/>
  <c r="AK39" i="22"/>
  <c r="AK40" i="22"/>
  <c r="AJ39" i="22"/>
  <c r="AK46" i="22"/>
  <c r="AK38" i="22"/>
  <c r="AK34" i="22"/>
  <c r="X20" i="22"/>
  <c r="Y20" i="22"/>
  <c r="Z20" i="22"/>
  <c r="X21" i="22"/>
  <c r="Y21" i="22"/>
  <c r="Z21" i="22"/>
  <c r="X22" i="22"/>
  <c r="Y22" i="22"/>
  <c r="Z22" i="22"/>
  <c r="X23" i="22"/>
  <c r="Y23" i="22"/>
  <c r="Z23" i="22"/>
  <c r="X24" i="22"/>
  <c r="Y24" i="22"/>
  <c r="Z24" i="22"/>
  <c r="X25" i="22"/>
  <c r="Y25" i="22"/>
  <c r="Z25" i="22"/>
  <c r="X26" i="22"/>
  <c r="Y26" i="22"/>
  <c r="Z26" i="22"/>
  <c r="X27" i="22"/>
  <c r="Y27" i="22"/>
  <c r="Z27" i="22"/>
  <c r="X28" i="22"/>
  <c r="Y28" i="22"/>
  <c r="Z28" i="22"/>
  <c r="X29" i="22"/>
  <c r="Y29" i="22"/>
  <c r="Z29" i="22"/>
  <c r="X30" i="22"/>
  <c r="Y30" i="22"/>
  <c r="Z30" i="22"/>
  <c r="X31" i="22"/>
  <c r="Y31" i="22"/>
  <c r="Z31" i="22"/>
  <c r="X32" i="22"/>
  <c r="Y32" i="22"/>
  <c r="Z32" i="22"/>
  <c r="X33" i="22"/>
  <c r="Y33" i="22"/>
  <c r="Z33" i="22"/>
  <c r="X34" i="22"/>
  <c r="Y34" i="22"/>
  <c r="Z34" i="22"/>
  <c r="X35" i="22"/>
  <c r="Y35" i="22"/>
  <c r="Z35" i="22"/>
  <c r="X36" i="22"/>
  <c r="Y36" i="22"/>
  <c r="Z36" i="22"/>
  <c r="X37" i="22"/>
  <c r="Y37" i="22"/>
  <c r="Z37" i="22"/>
  <c r="X38" i="22"/>
  <c r="Y38" i="22"/>
  <c r="Z38" i="22"/>
  <c r="X39" i="22"/>
  <c r="Y39" i="22"/>
  <c r="Z39" i="22"/>
  <c r="X40" i="22"/>
  <c r="Y40" i="22"/>
  <c r="Z40" i="22"/>
  <c r="X41" i="22"/>
  <c r="Y41" i="22"/>
  <c r="Z41" i="22"/>
  <c r="X42" i="22"/>
  <c r="Y42" i="22"/>
  <c r="Z42" i="22"/>
  <c r="X43" i="22"/>
  <c r="Y43" i="22"/>
  <c r="Z43" i="22"/>
  <c r="X44" i="22"/>
  <c r="Y44" i="22"/>
  <c r="Z44" i="22"/>
  <c r="X45" i="22"/>
  <c r="Y45" i="22"/>
  <c r="Z45" i="22"/>
  <c r="X46" i="22"/>
  <c r="Y46" i="22"/>
  <c r="Z46" i="22"/>
  <c r="X47" i="22"/>
  <c r="Y47" i="22"/>
  <c r="Z47" i="22"/>
  <c r="X48" i="22"/>
  <c r="Y48" i="22"/>
  <c r="Z48" i="22"/>
  <c r="X49" i="22"/>
  <c r="Y49" i="22"/>
  <c r="Z49" i="22"/>
  <c r="X50" i="22"/>
  <c r="Y50" i="22"/>
  <c r="Z50" i="22"/>
  <c r="X51" i="22"/>
  <c r="Y51" i="22"/>
  <c r="Z51" i="22"/>
  <c r="X52" i="22"/>
  <c r="Y52" i="22"/>
  <c r="Z52" i="22"/>
  <c r="X53" i="22"/>
  <c r="Y53" i="22"/>
  <c r="Z53" i="22"/>
  <c r="X54" i="22"/>
  <c r="Y54" i="22"/>
  <c r="Z54" i="22"/>
  <c r="X55" i="22"/>
  <c r="Y55" i="22"/>
  <c r="Z55" i="22"/>
  <c r="X56" i="22"/>
  <c r="Y56" i="22"/>
  <c r="Z56" i="22"/>
  <c r="E56" i="21" l="1"/>
  <c r="E54" i="21"/>
  <c r="D54" i="21"/>
  <c r="E53" i="21"/>
  <c r="D53" i="21"/>
  <c r="E52" i="21"/>
  <c r="D52" i="21"/>
  <c r="D51" i="21"/>
  <c r="E50" i="21"/>
  <c r="D49" i="21"/>
  <c r="D47" i="21"/>
  <c r="D46" i="21"/>
  <c r="E45" i="21"/>
  <c r="D45" i="21"/>
  <c r="E44" i="21"/>
  <c r="E43" i="21"/>
  <c r="E42" i="21"/>
  <c r="E32" i="21"/>
  <c r="E30" i="21"/>
  <c r="E26" i="21"/>
  <c r="D26" i="21"/>
  <c r="E24" i="21"/>
  <c r="E23" i="21"/>
  <c r="D20" i="21"/>
  <c r="E17" i="21"/>
  <c r="D17" i="21"/>
  <c r="E16" i="21"/>
  <c r="D16" i="21"/>
  <c r="E14" i="21"/>
  <c r="D14" i="21"/>
  <c r="E13" i="21"/>
  <c r="D13" i="21"/>
  <c r="E12" i="21"/>
  <c r="AH107" i="27" l="1"/>
  <c r="C126" i="27" l="1"/>
  <c r="B126" i="27"/>
  <c r="C125" i="27"/>
  <c r="B125" i="27"/>
  <c r="C124" i="27"/>
  <c r="B124" i="27"/>
  <c r="C123" i="27"/>
  <c r="B123" i="27"/>
  <c r="C122" i="27"/>
  <c r="B122" i="27"/>
  <c r="C121" i="27"/>
  <c r="B121" i="27"/>
  <c r="B120" i="27"/>
  <c r="AF115" i="27"/>
  <c r="C115" i="27"/>
  <c r="C114" i="27"/>
  <c r="C113" i="27"/>
  <c r="C112" i="27"/>
  <c r="C111" i="27"/>
  <c r="C110" i="27"/>
  <c r="C109" i="27"/>
  <c r="C120" i="27" s="1"/>
  <c r="W22" i="27"/>
  <c r="P22" i="27"/>
  <c r="AG115" i="27"/>
  <c r="Q22" i="27"/>
  <c r="AD115" i="27"/>
  <c r="W21" i="27"/>
  <c r="AG114" i="27"/>
  <c r="AF114" i="27"/>
  <c r="AE114" i="27"/>
  <c r="P21" i="27"/>
  <c r="W20" i="27"/>
  <c r="AG113" i="27"/>
  <c r="AF113" i="27"/>
  <c r="AE113" i="27"/>
  <c r="AD113" i="27"/>
  <c r="W19" i="27"/>
  <c r="Q19" i="27"/>
  <c r="P19" i="27"/>
  <c r="AG112" i="27"/>
  <c r="AF112" i="27"/>
  <c r="AE112" i="27"/>
  <c r="AD112" i="27"/>
  <c r="W18" i="27"/>
  <c r="AG111" i="27"/>
  <c r="AF111" i="27"/>
  <c r="Q18" i="27"/>
  <c r="AD111" i="27"/>
  <c r="X17" i="27"/>
  <c r="W17" i="27"/>
  <c r="P17" i="27"/>
  <c r="AG110" i="27"/>
  <c r="AF110" i="27"/>
  <c r="AE110" i="27"/>
  <c r="AD110" i="27"/>
  <c r="W16" i="27"/>
  <c r="Q16" i="27"/>
  <c r="AG109" i="27"/>
  <c r="E127" i="27" s="1"/>
  <c r="AF109" i="27"/>
  <c r="D127" i="27" s="1"/>
  <c r="AE109" i="27"/>
  <c r="C127" i="27" s="1"/>
  <c r="AD109" i="27"/>
  <c r="B127" i="27" s="1"/>
  <c r="X21" i="27"/>
  <c r="G10" i="26"/>
  <c r="G11" i="26"/>
  <c r="G12" i="26"/>
  <c r="G9" i="26"/>
  <c r="G6" i="26"/>
  <c r="G7" i="26"/>
  <c r="G5" i="26"/>
  <c r="Y17" i="27" l="1"/>
  <c r="AD17" i="27" s="1"/>
  <c r="Y21" i="27"/>
  <c r="AD21" i="27" s="1"/>
  <c r="X16" i="27"/>
  <c r="Y16" i="27" s="1"/>
  <c r="Q17" i="27"/>
  <c r="X18" i="27"/>
  <c r="Y18" i="27" s="1"/>
  <c r="X20" i="27"/>
  <c r="Y20" i="27" s="1"/>
  <c r="Q21" i="27"/>
  <c r="X22" i="27"/>
  <c r="Y22" i="27" s="1"/>
  <c r="AD22" i="27" s="1"/>
  <c r="AE111" i="27"/>
  <c r="AE115" i="27"/>
  <c r="P16" i="27"/>
  <c r="P18" i="27"/>
  <c r="P20" i="27"/>
  <c r="X19" i="27"/>
  <c r="Y19" i="27" s="1"/>
  <c r="AD19" i="27" s="1"/>
  <c r="Q20" i="27"/>
  <c r="AD114" i="27"/>
  <c r="D120" i="27"/>
  <c r="D121" i="27"/>
  <c r="D122" i="27"/>
  <c r="D123" i="27"/>
  <c r="D124" i="27"/>
  <c r="D125" i="27"/>
  <c r="D126" i="27"/>
  <c r="E120" i="27"/>
  <c r="E121" i="27"/>
  <c r="E122" i="27"/>
  <c r="E123" i="27"/>
  <c r="E124" i="27"/>
  <c r="E125" i="27"/>
  <c r="E126" i="27"/>
  <c r="X2" i="22"/>
  <c r="Y2" i="22"/>
  <c r="X3" i="22"/>
  <c r="Y3" i="22"/>
  <c r="X4" i="22"/>
  <c r="Y4" i="22"/>
  <c r="X5" i="22"/>
  <c r="Y5" i="22"/>
  <c r="X6" i="22"/>
  <c r="Y6" i="22"/>
  <c r="X7" i="22"/>
  <c r="Y7" i="22"/>
  <c r="X8" i="22"/>
  <c r="Y8" i="22"/>
  <c r="X9" i="22"/>
  <c r="Y9" i="22"/>
  <c r="X10" i="22"/>
  <c r="Y10" i="22"/>
  <c r="X11" i="22"/>
  <c r="Y11" i="22"/>
  <c r="X12" i="22"/>
  <c r="Y12" i="22"/>
  <c r="X13" i="22"/>
  <c r="Y13" i="22"/>
  <c r="X14" i="22"/>
  <c r="Y14" i="22"/>
  <c r="X15" i="22"/>
  <c r="Y15" i="22"/>
  <c r="X16" i="22"/>
  <c r="Y16" i="22"/>
  <c r="X17" i="22"/>
  <c r="Y17" i="22"/>
  <c r="X18" i="22"/>
  <c r="Y18" i="22"/>
  <c r="Z18" i="22"/>
  <c r="X19" i="22"/>
  <c r="Y19" i="22"/>
  <c r="Z19" i="22"/>
  <c r="AD20" i="27" l="1"/>
  <c r="AD18" i="27"/>
  <c r="AD16" i="27"/>
  <c r="N38" i="20" l="1"/>
  <c r="J38" i="20"/>
  <c r="J39" i="20"/>
  <c r="J37" i="20"/>
  <c r="I40" i="20"/>
  <c r="G39" i="20"/>
  <c r="N39" i="20" s="1"/>
  <c r="G38" i="20"/>
  <c r="G37" i="20"/>
  <c r="N37" i="20" s="1"/>
  <c r="E39" i="20"/>
  <c r="L39" i="20" s="1"/>
  <c r="D39" i="20"/>
  <c r="K39" i="20" s="1"/>
  <c r="C39" i="20"/>
  <c r="F39" i="20"/>
  <c r="F38" i="20"/>
  <c r="M38" i="20" s="1"/>
  <c r="F37" i="20"/>
  <c r="M39" i="20" s="1"/>
  <c r="E38" i="20"/>
  <c r="E37" i="20"/>
  <c r="L37" i="20" s="1"/>
  <c r="D38" i="20"/>
  <c r="K38" i="20" s="1"/>
  <c r="D37" i="20"/>
  <c r="K37" i="20" s="1"/>
  <c r="C38" i="20"/>
  <c r="C37" i="20"/>
  <c r="B40" i="20"/>
  <c r="B39" i="20"/>
  <c r="I39" i="20" s="1"/>
  <c r="B38" i="20"/>
  <c r="I38" i="20" s="1"/>
  <c r="B37" i="20"/>
  <c r="I37" i="20" s="1"/>
  <c r="G32" i="20"/>
  <c r="E32" i="20"/>
  <c r="G40" i="20" s="1"/>
  <c r="N40" i="20" s="1"/>
  <c r="I32" i="20"/>
  <c r="J32" i="20"/>
  <c r="K32" i="20"/>
  <c r="L32" i="20"/>
  <c r="C28" i="20"/>
  <c r="C36" i="20" s="1"/>
  <c r="C29" i="20"/>
  <c r="D36" i="20" s="1"/>
  <c r="C30" i="20"/>
  <c r="E36" i="20" s="1"/>
  <c r="C31" i="20"/>
  <c r="F36" i="20" s="1"/>
  <c r="C32" i="20"/>
  <c r="G36" i="20" s="1"/>
  <c r="D32" i="20"/>
  <c r="M37" i="20" l="1"/>
  <c r="L38" i="20"/>
  <c r="H3" i="25"/>
  <c r="L31" i="20"/>
  <c r="L30" i="20"/>
  <c r="L29" i="20"/>
  <c r="L28" i="20"/>
  <c r="Z17" i="22"/>
  <c r="Z16" i="22"/>
  <c r="Z15" i="22"/>
  <c r="Z14" i="22"/>
  <c r="Z12" i="22"/>
  <c r="Z11" i="22"/>
  <c r="Z10" i="22"/>
  <c r="Z9" i="22"/>
  <c r="Z8" i="22"/>
  <c r="Z7" i="22"/>
  <c r="Z6" i="22"/>
  <c r="Z5" i="22"/>
  <c r="Z4" i="22"/>
  <c r="Z3" i="22"/>
  <c r="Z2" i="22"/>
  <c r="I28" i="23" l="1"/>
  <c r="I26" i="23"/>
  <c r="AY27" i="28" s="1"/>
  <c r="J27" i="23"/>
  <c r="J26" i="23"/>
  <c r="AZ27" i="28" s="1"/>
  <c r="I27" i="23"/>
  <c r="J28" i="23"/>
  <c r="J33" i="23"/>
  <c r="J30" i="23"/>
  <c r="J32" i="23"/>
  <c r="F11" i="23"/>
  <c r="J34" i="23"/>
  <c r="I34" i="23"/>
  <c r="I31" i="23"/>
  <c r="J29" i="23"/>
  <c r="I29" i="23"/>
  <c r="I33" i="23"/>
  <c r="I30" i="23"/>
  <c r="I32" i="23"/>
  <c r="F10" i="23"/>
  <c r="J31" i="23"/>
  <c r="E5" i="23"/>
  <c r="E9" i="23"/>
  <c r="E15" i="23"/>
  <c r="E19" i="23"/>
  <c r="E23" i="23"/>
  <c r="E29" i="23"/>
  <c r="E33" i="23"/>
  <c r="E39" i="23"/>
  <c r="G7" i="23"/>
  <c r="AW9" i="28" s="1"/>
  <c r="G9" i="23"/>
  <c r="G11" i="23"/>
  <c r="G6" i="23"/>
  <c r="AW8" i="28" s="1"/>
  <c r="K6" i="23"/>
  <c r="BA8" i="28" s="1"/>
  <c r="K8" i="23"/>
  <c r="K10" i="23"/>
  <c r="K12" i="23"/>
  <c r="BA14" i="28" s="1"/>
  <c r="K16" i="23"/>
  <c r="K18" i="23"/>
  <c r="K20" i="23"/>
  <c r="K22" i="23"/>
  <c r="K26" i="23"/>
  <c r="K28" i="23"/>
  <c r="K30" i="23"/>
  <c r="K32" i="23"/>
  <c r="K34" i="23"/>
  <c r="K38" i="23"/>
  <c r="K42" i="23"/>
  <c r="J4" i="23"/>
  <c r="AZ6" i="28" s="1"/>
  <c r="I8" i="23"/>
  <c r="I12" i="23"/>
  <c r="I18" i="23"/>
  <c r="I22" i="23"/>
  <c r="I38" i="23"/>
  <c r="I4" i="23"/>
  <c r="G37" i="23"/>
  <c r="H38" i="23"/>
  <c r="F43" i="23"/>
  <c r="H10" i="23"/>
  <c r="H19" i="23"/>
  <c r="G21" i="23"/>
  <c r="H23" i="23"/>
  <c r="G28" i="23"/>
  <c r="H30" i="23"/>
  <c r="F33" i="23"/>
  <c r="E6" i="23"/>
  <c r="E10" i="23"/>
  <c r="E16" i="23"/>
  <c r="E20" i="23"/>
  <c r="E26" i="23"/>
  <c r="E30" i="23"/>
  <c r="E34" i="23"/>
  <c r="E42" i="23"/>
  <c r="F8" i="23"/>
  <c r="F12" i="23"/>
  <c r="J5" i="23"/>
  <c r="AZ7" i="28" s="1"/>
  <c r="J7" i="23"/>
  <c r="AZ9" i="28" s="1"/>
  <c r="J9" i="23"/>
  <c r="J11" i="23"/>
  <c r="J15" i="23"/>
  <c r="AZ15" i="28" s="1"/>
  <c r="J17" i="23"/>
  <c r="J19" i="23"/>
  <c r="J21" i="23"/>
  <c r="J23" i="23"/>
  <c r="J37" i="23"/>
  <c r="J39" i="23"/>
  <c r="J43" i="23"/>
  <c r="I5" i="23"/>
  <c r="I9" i="23"/>
  <c r="I15" i="23"/>
  <c r="I19" i="23"/>
  <c r="I23" i="23"/>
  <c r="E11" i="23"/>
  <c r="E21" i="23"/>
  <c r="E31" i="23"/>
  <c r="E43" i="23"/>
  <c r="G10" i="23"/>
  <c r="K5" i="23"/>
  <c r="BA7" i="28" s="1"/>
  <c r="K9" i="23"/>
  <c r="K15" i="23"/>
  <c r="K19" i="23"/>
  <c r="K23" i="23"/>
  <c r="K29" i="23"/>
  <c r="K33" i="23"/>
  <c r="K39" i="23"/>
  <c r="I6" i="23"/>
  <c r="I16" i="23"/>
  <c r="I39" i="23"/>
  <c r="G38" i="23"/>
  <c r="H43" i="23"/>
  <c r="F19" i="23"/>
  <c r="F21" i="23"/>
  <c r="H26" i="23"/>
  <c r="G29" i="23"/>
  <c r="H32" i="23"/>
  <c r="E12" i="23"/>
  <c r="E22" i="23"/>
  <c r="E32" i="23"/>
  <c r="E4" i="23"/>
  <c r="F7" i="23"/>
  <c r="J6" i="23"/>
  <c r="AZ8" i="28" s="1"/>
  <c r="J10" i="23"/>
  <c r="J16" i="23"/>
  <c r="AZ16" i="28" s="1"/>
  <c r="J20" i="23"/>
  <c r="J42" i="23"/>
  <c r="I7" i="23"/>
  <c r="I17" i="23"/>
  <c r="I42" i="23"/>
  <c r="F37" i="23"/>
  <c r="H39" i="23"/>
  <c r="G19" i="23"/>
  <c r="G22" i="23"/>
  <c r="F27" i="23"/>
  <c r="G30" i="23"/>
  <c r="G33" i="23"/>
  <c r="E7" i="23"/>
  <c r="E17" i="23"/>
  <c r="E27" i="23"/>
  <c r="E37" i="23"/>
  <c r="G8" i="23"/>
  <c r="G12" i="23"/>
  <c r="AW14" i="28" s="1"/>
  <c r="K7" i="23"/>
  <c r="BA9" i="28" s="1"/>
  <c r="K11" i="23"/>
  <c r="K17" i="23"/>
  <c r="K21" i="23"/>
  <c r="K27" i="23"/>
  <c r="K31" i="23"/>
  <c r="K37" i="23"/>
  <c r="K43" i="23"/>
  <c r="I10" i="23"/>
  <c r="I20" i="23"/>
  <c r="I43" i="23"/>
  <c r="H37" i="23"/>
  <c r="F42" i="23"/>
  <c r="H8" i="23"/>
  <c r="E28" i="23"/>
  <c r="J12" i="23"/>
  <c r="I21" i="23"/>
  <c r="H16" i="23"/>
  <c r="G23" i="23"/>
  <c r="H31" i="23"/>
  <c r="E38" i="23"/>
  <c r="F9" i="23"/>
  <c r="J18" i="23"/>
  <c r="J38" i="23"/>
  <c r="F38" i="23"/>
  <c r="G20" i="23"/>
  <c r="G27" i="23"/>
  <c r="G34" i="23"/>
  <c r="E8" i="23"/>
  <c r="F6" i="23"/>
  <c r="J22" i="23"/>
  <c r="K4" i="23"/>
  <c r="BA6" i="28" s="1"/>
  <c r="I37" i="23"/>
  <c r="H42" i="23"/>
  <c r="H20" i="23"/>
  <c r="F29" i="23"/>
  <c r="E18" i="23"/>
  <c r="J8" i="23"/>
  <c r="I11" i="23"/>
  <c r="H22" i="23"/>
  <c r="G31" i="23"/>
  <c r="F31" i="23"/>
  <c r="H29" i="23"/>
  <c r="F34" i="23"/>
  <c r="H18" i="23"/>
  <c r="G39" i="23"/>
  <c r="F30" i="23"/>
  <c r="H33" i="23"/>
  <c r="F23" i="23"/>
  <c r="H28" i="23"/>
  <c r="F28" i="23"/>
  <c r="H17" i="23"/>
  <c r="G42" i="23"/>
  <c r="F22" i="23"/>
  <c r="H27" i="23"/>
  <c r="F39" i="23"/>
  <c r="F18" i="23"/>
  <c r="H21" i="23"/>
  <c r="F26" i="23"/>
  <c r="H11" i="23"/>
  <c r="G32" i="23"/>
  <c r="G43" i="23"/>
  <c r="H12" i="23"/>
  <c r="AX14" i="28" s="1"/>
  <c r="F32" i="23"/>
  <c r="H34" i="23"/>
  <c r="H15" i="23"/>
  <c r="F20" i="23"/>
  <c r="H9" i="23"/>
  <c r="G18" i="23"/>
  <c r="G26" i="23"/>
  <c r="F16" i="23"/>
  <c r="G16" i="23"/>
  <c r="F15" i="23"/>
  <c r="F17" i="23"/>
  <c r="G15" i="23"/>
  <c r="G17" i="23"/>
  <c r="M6" i="27"/>
  <c r="AK109" i="27" s="1"/>
  <c r="H4" i="23"/>
  <c r="AX6" i="28" s="1"/>
  <c r="H7" i="23"/>
  <c r="AX9" i="28" s="1"/>
  <c r="F5" i="23"/>
  <c r="H6" i="23"/>
  <c r="AX8" i="28" s="1"/>
  <c r="G5" i="23"/>
  <c r="AW7" i="28" s="1"/>
  <c r="F4" i="23"/>
  <c r="H5" i="23"/>
  <c r="AX7" i="28" s="1"/>
  <c r="G4" i="23"/>
  <c r="AW6" i="28" s="1"/>
  <c r="C51" i="28" s="1"/>
  <c r="E51" i="28" l="1"/>
  <c r="AV17" i="28"/>
  <c r="Y21" i="23"/>
  <c r="AX21" i="28"/>
  <c r="Y28" i="23"/>
  <c r="AX29" i="28"/>
  <c r="Y42" i="23"/>
  <c r="AX47" i="28"/>
  <c r="Y16" i="23"/>
  <c r="AX16" i="28"/>
  <c r="AB31" i="23"/>
  <c r="BA32" i="28"/>
  <c r="AB11" i="23"/>
  <c r="BA13" i="28"/>
  <c r="X19" i="23"/>
  <c r="AW19" i="28"/>
  <c r="AV9" i="28"/>
  <c r="AB39" i="23"/>
  <c r="BA41" i="28"/>
  <c r="X10" i="23"/>
  <c r="AW12" i="28"/>
  <c r="AY11" i="28"/>
  <c r="AA17" i="23"/>
  <c r="AZ17" i="28"/>
  <c r="N20" i="23"/>
  <c r="AU20" i="28"/>
  <c r="X21" i="23"/>
  <c r="AW21" i="28"/>
  <c r="N39" i="23"/>
  <c r="AU41" i="28"/>
  <c r="N19" i="23"/>
  <c r="AU19" i="28"/>
  <c r="AY35" i="28"/>
  <c r="AV15" i="28"/>
  <c r="X18" i="23"/>
  <c r="AW18" i="28"/>
  <c r="Y34" i="23"/>
  <c r="AX35" i="28"/>
  <c r="X32" i="23"/>
  <c r="AW33" i="28"/>
  <c r="AV18" i="28"/>
  <c r="X42" i="23"/>
  <c r="AW47" i="28"/>
  <c r="AV23" i="28"/>
  <c r="Y18" i="23"/>
  <c r="AX18" i="28"/>
  <c r="X31" i="23"/>
  <c r="AW32" i="28"/>
  <c r="N18" i="23"/>
  <c r="AU18" i="28"/>
  <c r="AY39" i="28"/>
  <c r="N8" i="23"/>
  <c r="AU10" i="28"/>
  <c r="AV40" i="28"/>
  <c r="N38" i="23"/>
  <c r="AU40" i="28"/>
  <c r="AY21" i="28"/>
  <c r="AV47" i="28"/>
  <c r="AY12" i="28"/>
  <c r="AB27" i="23"/>
  <c r="BA28" i="28"/>
  <c r="N27" i="23"/>
  <c r="AU28" i="28"/>
  <c r="X30" i="23"/>
  <c r="AW31" i="28"/>
  <c r="Y39" i="23"/>
  <c r="AX41" i="28"/>
  <c r="AY9" i="28"/>
  <c r="N4" i="23"/>
  <c r="AU6" i="28"/>
  <c r="Y32" i="23"/>
  <c r="AX33" i="28"/>
  <c r="AV19" i="28"/>
  <c r="AB33" i="23"/>
  <c r="BA34" i="28"/>
  <c r="AB15" i="23"/>
  <c r="BA15" i="28"/>
  <c r="N43" i="23"/>
  <c r="AU48" i="28"/>
  <c r="AY23" i="28"/>
  <c r="AY7" i="28"/>
  <c r="AA23" i="23"/>
  <c r="AZ23" i="28"/>
  <c r="N34" i="23"/>
  <c r="AU35" i="28"/>
  <c r="N16" i="23"/>
  <c r="AU16" i="28"/>
  <c r="Y30" i="23"/>
  <c r="AX31" i="28"/>
  <c r="Y19" i="23"/>
  <c r="AX19" i="28"/>
  <c r="X37" i="23"/>
  <c r="AW39" i="28"/>
  <c r="AY18" i="28"/>
  <c r="AB42" i="23"/>
  <c r="BA47" i="28"/>
  <c r="AB30" i="23"/>
  <c r="BA31" i="28"/>
  <c r="AB20" i="23"/>
  <c r="BA20" i="28"/>
  <c r="AB10" i="23"/>
  <c r="BA12" i="28"/>
  <c r="X11" i="23"/>
  <c r="AW13" i="28"/>
  <c r="N33" i="23"/>
  <c r="AU34" i="28"/>
  <c r="N15" i="23"/>
  <c r="AU15" i="28"/>
  <c r="AV12" i="28"/>
  <c r="AY30" i="28"/>
  <c r="AZ35" i="28"/>
  <c r="AZ34" i="28"/>
  <c r="AZ28" i="28"/>
  <c r="X43" i="23"/>
  <c r="AW48" i="28"/>
  <c r="X39" i="23"/>
  <c r="AW41" i="28"/>
  <c r="X20" i="23"/>
  <c r="AW20" i="28"/>
  <c r="Y8" i="23"/>
  <c r="AX10" i="28"/>
  <c r="N37" i="23"/>
  <c r="AU39" i="28"/>
  <c r="AA20" i="23"/>
  <c r="AZ20" i="28"/>
  <c r="AY41" i="28"/>
  <c r="AA37" i="23"/>
  <c r="AZ39" i="28"/>
  <c r="AV34" i="28"/>
  <c r="AY22" i="28"/>
  <c r="AB22" i="23"/>
  <c r="BA22" i="28"/>
  <c r="AY34" i="28"/>
  <c r="X17" i="23"/>
  <c r="AW17" i="28"/>
  <c r="AV33" i="28"/>
  <c r="Y11" i="23"/>
  <c r="AX13" i="28"/>
  <c r="Y17" i="23"/>
  <c r="AX17" i="28"/>
  <c r="Y33" i="23"/>
  <c r="AX34" i="28"/>
  <c r="AV35" i="28"/>
  <c r="Y22" i="23"/>
  <c r="AX22" i="28"/>
  <c r="AV30" i="28"/>
  <c r="X34" i="23"/>
  <c r="AW35" i="28"/>
  <c r="AA38" i="23"/>
  <c r="AZ40" i="28"/>
  <c r="Y31" i="23"/>
  <c r="AX32" i="28"/>
  <c r="AA12" i="23"/>
  <c r="AZ14" i="28"/>
  <c r="Y37" i="23"/>
  <c r="AX39" i="28"/>
  <c r="AB43" i="23"/>
  <c r="BA48" i="28"/>
  <c r="AB21" i="23"/>
  <c r="BA21" i="28"/>
  <c r="N17" i="23"/>
  <c r="AU17" i="28"/>
  <c r="AV28" i="28"/>
  <c r="AV39" i="28"/>
  <c r="AA42" i="23"/>
  <c r="AZ47" i="28"/>
  <c r="AA10" i="23"/>
  <c r="AZ12" i="28"/>
  <c r="N32" i="23"/>
  <c r="AU33" i="28"/>
  <c r="X29" i="23"/>
  <c r="AW30" i="28"/>
  <c r="Y43" i="23"/>
  <c r="AX48" i="28"/>
  <c r="AY16" i="28"/>
  <c r="AB29" i="23"/>
  <c r="BA30" i="28"/>
  <c r="AB9" i="23"/>
  <c r="BA11" i="28"/>
  <c r="N31" i="23"/>
  <c r="AU32" i="28"/>
  <c r="AY19" i="28"/>
  <c r="AA43" i="23"/>
  <c r="AZ48" i="28"/>
  <c r="AA21" i="23"/>
  <c r="AZ21" i="28"/>
  <c r="AA11" i="23"/>
  <c r="AZ13" i="28"/>
  <c r="AV14" i="28"/>
  <c r="N30" i="23"/>
  <c r="AU31" i="28"/>
  <c r="N10" i="23"/>
  <c r="AU12" i="28"/>
  <c r="X28" i="23"/>
  <c r="AW29" i="28"/>
  <c r="Y10" i="23"/>
  <c r="AX12" i="28"/>
  <c r="AY6" i="28"/>
  <c r="D51" i="28" s="1"/>
  <c r="AY14" i="28"/>
  <c r="AB38" i="23"/>
  <c r="BA40" i="28"/>
  <c r="AB28" i="23"/>
  <c r="BA29" i="28"/>
  <c r="AB18" i="23"/>
  <c r="BA18" i="28"/>
  <c r="AB8" i="23"/>
  <c r="BA10" i="28"/>
  <c r="X9" i="23"/>
  <c r="AW11" i="28"/>
  <c r="N29" i="23"/>
  <c r="AU30" i="28"/>
  <c r="N9" i="23"/>
  <c r="AU11" i="28"/>
  <c r="AY33" i="28"/>
  <c r="AZ30" i="28"/>
  <c r="AV13" i="28"/>
  <c r="AZ29" i="28"/>
  <c r="X26" i="23"/>
  <c r="AW27" i="28"/>
  <c r="Y15" i="23"/>
  <c r="AX15" i="28"/>
  <c r="AV22" i="28"/>
  <c r="AV32" i="28"/>
  <c r="AA8" i="23"/>
  <c r="AZ10" i="28"/>
  <c r="AV8" i="28"/>
  <c r="AV11" i="28"/>
  <c r="AY20" i="28"/>
  <c r="X33" i="23"/>
  <c r="AW34" i="28"/>
  <c r="AY17" i="28"/>
  <c r="N12" i="23"/>
  <c r="AU14" i="28"/>
  <c r="AV21" i="28"/>
  <c r="AB19" i="23"/>
  <c r="BA19" i="28"/>
  <c r="N11" i="23"/>
  <c r="AU13" i="28"/>
  <c r="N42" i="23"/>
  <c r="AU47" i="28"/>
  <c r="Y38" i="23"/>
  <c r="AX40" i="28"/>
  <c r="AB32" i="23"/>
  <c r="BA33" i="28"/>
  <c r="AZ32" i="28"/>
  <c r="AZ31" i="28"/>
  <c r="AV7" i="28"/>
  <c r="X16" i="23"/>
  <c r="AW16" i="28"/>
  <c r="Y9" i="23"/>
  <c r="AX11" i="28"/>
  <c r="AV41" i="28"/>
  <c r="AV6" i="28"/>
  <c r="B51" i="28" s="1"/>
  <c r="X15" i="23"/>
  <c r="AW15" i="28"/>
  <c r="AV16" i="28"/>
  <c r="AV20" i="28"/>
  <c r="AV27" i="28"/>
  <c r="Y27" i="23"/>
  <c r="AX28" i="28"/>
  <c r="AV29" i="28"/>
  <c r="AV31" i="28"/>
  <c r="Y29" i="23"/>
  <c r="AX30" i="28"/>
  <c r="AY13" i="28"/>
  <c r="Y20" i="23"/>
  <c r="AX20" i="28"/>
  <c r="AA22" i="23"/>
  <c r="AZ22" i="28"/>
  <c r="X27" i="23"/>
  <c r="AW28" i="28"/>
  <c r="AA18" i="23"/>
  <c r="AZ18" i="28"/>
  <c r="X23" i="23"/>
  <c r="AW23" i="28"/>
  <c r="N28" i="23"/>
  <c r="AU29" i="28"/>
  <c r="AY48" i="28"/>
  <c r="AB37" i="23"/>
  <c r="BA39" i="28"/>
  <c r="AB17" i="23"/>
  <c r="BA17" i="28"/>
  <c r="X8" i="23"/>
  <c r="AW10" i="28"/>
  <c r="N7" i="23"/>
  <c r="AU9" i="28"/>
  <c r="X22" i="23"/>
  <c r="AW22" i="28"/>
  <c r="AY47" i="28"/>
  <c r="N22" i="23"/>
  <c r="AU22" i="28"/>
  <c r="Y26" i="23"/>
  <c r="AX27" i="28"/>
  <c r="X38" i="23"/>
  <c r="AW40" i="28"/>
  <c r="AY8" i="28"/>
  <c r="AB23" i="23"/>
  <c r="BA23" i="28"/>
  <c r="N21" i="23"/>
  <c r="AU21" i="28"/>
  <c r="AY15" i="28"/>
  <c r="AA39" i="23"/>
  <c r="AZ41" i="28"/>
  <c r="AA19" i="23"/>
  <c r="AZ19" i="28"/>
  <c r="AA9" i="23"/>
  <c r="AZ11" i="28"/>
  <c r="AV10" i="28"/>
  <c r="N26" i="23"/>
  <c r="AU27" i="28"/>
  <c r="N6" i="23"/>
  <c r="AU8" i="28"/>
  <c r="Y23" i="23"/>
  <c r="AX23" i="28"/>
  <c r="AV48" i="28"/>
  <c r="AY40" i="28"/>
  <c r="AY10" i="28"/>
  <c r="AB34" i="23"/>
  <c r="BA35" i="28"/>
  <c r="AB26" i="23"/>
  <c r="BA27" i="28"/>
  <c r="AB16" i="23"/>
  <c r="BA16" i="28"/>
  <c r="N23" i="23"/>
  <c r="AU23" i="28"/>
  <c r="N5" i="23"/>
  <c r="AU7" i="28"/>
  <c r="AY31" i="28"/>
  <c r="AY32" i="28"/>
  <c r="AZ33" i="28"/>
  <c r="AY28" i="28"/>
  <c r="AY29" i="28"/>
  <c r="M12" i="27"/>
  <c r="AK115" i="27" s="1"/>
  <c r="AA7" i="23"/>
  <c r="N6" i="27"/>
  <c r="AB12" i="23"/>
  <c r="J11" i="27"/>
  <c r="AI114" i="27" s="1"/>
  <c r="X6" i="23"/>
  <c r="J9" i="27"/>
  <c r="AI112" i="27" s="1"/>
  <c r="X4" i="23"/>
  <c r="K11" i="27"/>
  <c r="Y6" i="23"/>
  <c r="N12" i="27"/>
  <c r="AB7" i="23"/>
  <c r="M8" i="27"/>
  <c r="AK111" i="27" s="1"/>
  <c r="AA16" i="23"/>
  <c r="M7" i="27"/>
  <c r="AK110" i="27" s="1"/>
  <c r="AA15" i="23"/>
  <c r="M10" i="27"/>
  <c r="AK113" i="27" s="1"/>
  <c r="AA5" i="23"/>
  <c r="J10" i="27"/>
  <c r="AI113" i="27" s="1"/>
  <c r="X5" i="23"/>
  <c r="K9" i="27"/>
  <c r="Y4" i="23"/>
  <c r="M9" i="27"/>
  <c r="AK112" i="27" s="1"/>
  <c r="AA4" i="23"/>
  <c r="K10" i="27"/>
  <c r="Y5" i="23"/>
  <c r="N9" i="27"/>
  <c r="AB4" i="23"/>
  <c r="J6" i="27"/>
  <c r="AI109" i="27" s="1"/>
  <c r="X12" i="23"/>
  <c r="K12" i="27"/>
  <c r="Y7" i="23"/>
  <c r="K6" i="27"/>
  <c r="Y12" i="23"/>
  <c r="M11" i="27"/>
  <c r="AK114" i="27" s="1"/>
  <c r="AA6" i="23"/>
  <c r="N10" i="27"/>
  <c r="AB5" i="23"/>
  <c r="N11" i="27"/>
  <c r="AB6" i="23"/>
  <c r="J12" i="27"/>
  <c r="AI115" i="27" s="1"/>
  <c r="X7" i="23"/>
  <c r="I10" i="27"/>
  <c r="AH113" i="27" s="1"/>
  <c r="I11" i="27"/>
  <c r="AH114" i="27" s="1"/>
  <c r="I7" i="27"/>
  <c r="AH110" i="27" s="1"/>
  <c r="K7" i="27"/>
  <c r="L8" i="27"/>
  <c r="AJ111" i="27" s="1"/>
  <c r="L7" i="27"/>
  <c r="AJ110" i="27" s="1"/>
  <c r="N7" i="27"/>
  <c r="I6" i="27"/>
  <c r="AH109" i="27" s="1"/>
  <c r="L9" i="27"/>
  <c r="AJ112" i="27" s="1"/>
  <c r="N8" i="27"/>
  <c r="C128" i="27"/>
  <c r="L11" i="27"/>
  <c r="AJ114" i="27" s="1"/>
  <c r="L12" i="27"/>
  <c r="AJ115" i="27" s="1"/>
  <c r="I9" i="27"/>
  <c r="AH112" i="27" s="1"/>
  <c r="K8" i="27"/>
  <c r="I12" i="27"/>
  <c r="AH115" i="27" s="1"/>
  <c r="E128" i="27"/>
  <c r="J7" i="27"/>
  <c r="AI110" i="27" s="1"/>
  <c r="J8" i="27"/>
  <c r="AI111" i="27" s="1"/>
  <c r="L6" i="27"/>
  <c r="AJ109" i="27" s="1"/>
  <c r="L10" i="27"/>
  <c r="AJ113" i="27" s="1"/>
  <c r="I8" i="27"/>
  <c r="AH111" i="27" s="1"/>
  <c r="G12" i="5"/>
  <c r="B128" i="27" l="1"/>
  <c r="D128" i="27"/>
  <c r="F25" i="15"/>
  <c r="E25" i="15"/>
  <c r="F24" i="15"/>
  <c r="E24" i="15"/>
  <c r="F4" i="18" l="1"/>
  <c r="D2" i="18"/>
  <c r="C2" i="18"/>
  <c r="G4" i="18"/>
  <c r="D4" i="18"/>
  <c r="C4" i="18"/>
  <c r="B75" i="6" l="1"/>
  <c r="AW12" i="6"/>
  <c r="AW13" i="6"/>
  <c r="AW14" i="6"/>
  <c r="AW15" i="6"/>
  <c r="AW16" i="6"/>
  <c r="AW17" i="6"/>
  <c r="AW18" i="6"/>
  <c r="AW19" i="6"/>
  <c r="AW20" i="6"/>
  <c r="AW21" i="6"/>
  <c r="AW22" i="6"/>
  <c r="AW23" i="6"/>
  <c r="AW24" i="6"/>
  <c r="AW25" i="6"/>
  <c r="AW26" i="6"/>
  <c r="AW27" i="6"/>
  <c r="AW28" i="6"/>
  <c r="AW29" i="6"/>
  <c r="AW30" i="6"/>
  <c r="AW31" i="6"/>
  <c r="AW32" i="6"/>
  <c r="AW33" i="6"/>
  <c r="AW34" i="6"/>
  <c r="AW35" i="6"/>
  <c r="AW36" i="6"/>
  <c r="AW37" i="6"/>
  <c r="AW38" i="6"/>
  <c r="AW39" i="6"/>
  <c r="AW40" i="6"/>
  <c r="AW41" i="6"/>
  <c r="AW42" i="6"/>
  <c r="AW43" i="6"/>
  <c r="AW44" i="6"/>
  <c r="AW45" i="6"/>
  <c r="AW46" i="6"/>
  <c r="AW47" i="6"/>
  <c r="AW48" i="6"/>
  <c r="AW49" i="6"/>
  <c r="AW50" i="6"/>
  <c r="AW51" i="6"/>
  <c r="AW52" i="6"/>
  <c r="AW53" i="6"/>
  <c r="AW54" i="6"/>
  <c r="AW55" i="6"/>
  <c r="F75" i="17" l="1"/>
  <c r="E75" i="17"/>
  <c r="D75" i="17"/>
  <c r="C75" i="17"/>
  <c r="F74" i="17"/>
  <c r="E74" i="17"/>
  <c r="D74" i="17"/>
  <c r="C74" i="17"/>
  <c r="F73" i="17"/>
  <c r="E73" i="17"/>
  <c r="D73" i="17"/>
  <c r="C73" i="17"/>
  <c r="F72" i="17"/>
  <c r="E72" i="17"/>
  <c r="D72" i="17"/>
  <c r="C72" i="17"/>
  <c r="B75" i="17"/>
  <c r="B74" i="17"/>
  <c r="B73" i="17"/>
  <c r="B72" i="17"/>
  <c r="F48" i="17"/>
  <c r="E48" i="17"/>
  <c r="F47" i="17"/>
  <c r="E47" i="17"/>
  <c r="F46" i="17"/>
  <c r="E46" i="17"/>
  <c r="F45" i="17"/>
  <c r="E45" i="17"/>
  <c r="F44" i="17"/>
  <c r="E44" i="17"/>
  <c r="F43" i="17"/>
  <c r="E43" i="17"/>
  <c r="F42" i="17"/>
  <c r="E42" i="17"/>
  <c r="F41" i="17"/>
  <c r="E41" i="17"/>
  <c r="F40" i="17"/>
  <c r="E40" i="17"/>
  <c r="F39" i="17"/>
  <c r="E39" i="17"/>
  <c r="J42" i="13" l="1"/>
  <c r="J41" i="13"/>
  <c r="J38" i="13"/>
  <c r="J37" i="13"/>
  <c r="J36" i="13"/>
  <c r="J35" i="13"/>
  <c r="J34" i="13"/>
  <c r="H42" i="13"/>
  <c r="G42" i="13"/>
  <c r="G41" i="13"/>
  <c r="H41" i="13"/>
  <c r="H40" i="13"/>
  <c r="G40" i="13"/>
  <c r="G29" i="13"/>
  <c r="H29" i="13"/>
  <c r="G30" i="13"/>
  <c r="H30" i="13"/>
  <c r="G31" i="13"/>
  <c r="H31" i="13"/>
  <c r="G32" i="13"/>
  <c r="H32" i="13"/>
  <c r="G33" i="13"/>
  <c r="H33" i="13"/>
  <c r="G34" i="13"/>
  <c r="H34" i="13"/>
  <c r="G35" i="13"/>
  <c r="H35" i="13"/>
  <c r="G36" i="13"/>
  <c r="H36" i="13"/>
  <c r="G37" i="13"/>
  <c r="H37" i="13"/>
  <c r="G38" i="13"/>
  <c r="H38" i="13"/>
  <c r="P26" i="13"/>
  <c r="J13" i="13"/>
  <c r="J12" i="13"/>
  <c r="J11" i="13"/>
  <c r="J10" i="13"/>
  <c r="J9" i="13"/>
  <c r="J8" i="13"/>
  <c r="J7" i="13"/>
  <c r="J6" i="13"/>
  <c r="J5" i="13"/>
  <c r="J4" i="13"/>
  <c r="I1" i="13"/>
  <c r="E20" i="13" s="1"/>
  <c r="G5" i="13"/>
  <c r="H5" i="13"/>
  <c r="G6" i="13"/>
  <c r="H6" i="13"/>
  <c r="G7" i="13"/>
  <c r="H7" i="13"/>
  <c r="G8" i="13"/>
  <c r="H8" i="13"/>
  <c r="G9" i="13"/>
  <c r="H9" i="13"/>
  <c r="G10" i="13"/>
  <c r="H10" i="13"/>
  <c r="G11" i="13"/>
  <c r="H11" i="13"/>
  <c r="G12" i="13"/>
  <c r="H12" i="13"/>
  <c r="I12" i="13" s="1"/>
  <c r="G13" i="13"/>
  <c r="H13" i="13"/>
  <c r="G14" i="13"/>
  <c r="H14" i="13"/>
  <c r="H4" i="13"/>
  <c r="G4" i="13"/>
  <c r="G56" i="4"/>
  <c r="I56" i="4"/>
  <c r="G57" i="4"/>
  <c r="I57" i="4"/>
  <c r="G58" i="4"/>
  <c r="I58" i="4"/>
  <c r="I13" i="13" l="1"/>
  <c r="I9" i="13"/>
  <c r="I5" i="13"/>
  <c r="I37" i="13"/>
  <c r="M37" i="13" s="1"/>
  <c r="I33" i="13"/>
  <c r="I8" i="13"/>
  <c r="I4" i="13"/>
  <c r="I10" i="13"/>
  <c r="M10" i="13" s="1"/>
  <c r="I6" i="13"/>
  <c r="I7" i="13"/>
  <c r="M7" i="13" s="1"/>
  <c r="M5" i="13"/>
  <c r="M13" i="13"/>
  <c r="I36" i="13"/>
  <c r="M36" i="13" s="1"/>
  <c r="I32" i="13"/>
  <c r="I40" i="13"/>
  <c r="M6" i="13"/>
  <c r="I41" i="13"/>
  <c r="M41" i="13" s="1"/>
  <c r="I11" i="13"/>
  <c r="M11" i="13" s="1"/>
  <c r="M9" i="13"/>
  <c r="I34" i="13"/>
  <c r="M34" i="13" s="1"/>
  <c r="I30" i="13"/>
  <c r="I29" i="13"/>
  <c r="I35" i="13"/>
  <c r="I31" i="13"/>
  <c r="I38" i="13"/>
  <c r="M38" i="13" s="1"/>
  <c r="M4" i="13"/>
  <c r="M14" i="13" s="1"/>
  <c r="M8" i="13"/>
  <c r="M12" i="13"/>
  <c r="M35" i="13"/>
  <c r="I42" i="13"/>
  <c r="N13" i="5"/>
  <c r="N14" i="5" s="1"/>
  <c r="O13" i="5"/>
  <c r="O14" i="5" s="1"/>
  <c r="P13" i="5"/>
  <c r="P14" i="5" s="1"/>
  <c r="Q13" i="5"/>
  <c r="Q14" i="5" s="1"/>
  <c r="R13" i="5"/>
  <c r="R14" i="5" s="1"/>
  <c r="S13" i="5"/>
  <c r="S14" i="5" s="1"/>
  <c r="T13" i="5"/>
  <c r="T14" i="5" s="1"/>
  <c r="L19" i="5"/>
  <c r="M13" i="5" s="1"/>
  <c r="Y13" i="5" s="1"/>
  <c r="G69" i="4"/>
  <c r="I69" i="4"/>
  <c r="K29" i="20" l="1"/>
  <c r="K31" i="20"/>
  <c r="K30" i="20"/>
  <c r="G29" i="20"/>
  <c r="G28" i="20"/>
  <c r="G30" i="20"/>
  <c r="K28" i="20"/>
  <c r="G31" i="20"/>
  <c r="M42" i="13"/>
  <c r="D9" i="14" l="1"/>
  <c r="Y3" i="5" l="1"/>
  <c r="Y4" i="5"/>
  <c r="Y5" i="5"/>
  <c r="Y6" i="5"/>
  <c r="Y7" i="5"/>
  <c r="Y8" i="5"/>
  <c r="Y9" i="5"/>
  <c r="Y10" i="5"/>
  <c r="Y11" i="5"/>
  <c r="Y12" i="5"/>
  <c r="AE3" i="5"/>
  <c r="AE4" i="5"/>
  <c r="AE5" i="5"/>
  <c r="AE6" i="5"/>
  <c r="AE7" i="5"/>
  <c r="AE8" i="5"/>
  <c r="AE9" i="5"/>
  <c r="AE10" i="5"/>
  <c r="AE11" i="5"/>
  <c r="AE12" i="5"/>
  <c r="C40" i="6"/>
  <c r="F6" i="5"/>
  <c r="F9" i="5"/>
  <c r="F4" i="5"/>
  <c r="F7" i="5"/>
  <c r="F5" i="5"/>
  <c r="AW6" i="6"/>
  <c r="AW7" i="6"/>
  <c r="AW8" i="6"/>
  <c r="AW9" i="6"/>
  <c r="AW10" i="6"/>
  <c r="AW11" i="6"/>
  <c r="AW5" i="6"/>
  <c r="F8" i="5"/>
  <c r="X19" i="5"/>
  <c r="W19" i="5"/>
  <c r="G10" i="4"/>
  <c r="G22" i="4"/>
  <c r="G25" i="4"/>
  <c r="E14" i="6"/>
  <c r="E75" i="6"/>
  <c r="F75" i="6" s="1"/>
  <c r="E74" i="6"/>
  <c r="F74" i="6" s="1"/>
  <c r="C74" i="6"/>
  <c r="I10" i="4"/>
  <c r="I22" i="4"/>
  <c r="I25" i="4"/>
  <c r="E40" i="6"/>
  <c r="F40" i="6" s="1"/>
  <c r="E38" i="6"/>
  <c r="F38" i="6" s="1"/>
  <c r="E61" i="6"/>
  <c r="E60" i="6"/>
  <c r="E59" i="6"/>
  <c r="F59" i="6"/>
  <c r="C59" i="6"/>
  <c r="E45" i="6"/>
  <c r="F45" i="6" s="1"/>
  <c r="C45" i="6"/>
  <c r="E44" i="6"/>
  <c r="F44" i="6"/>
  <c r="C44" i="6"/>
  <c r="E43" i="6"/>
  <c r="E42" i="6"/>
  <c r="E41" i="6"/>
  <c r="E39" i="6"/>
  <c r="C38" i="6"/>
  <c r="E22" i="6"/>
  <c r="F22" i="6"/>
  <c r="C22" i="6"/>
  <c r="E21" i="6"/>
  <c r="E19" i="6"/>
  <c r="E18" i="6"/>
  <c r="E17" i="6"/>
  <c r="E16" i="6"/>
  <c r="E15" i="6"/>
  <c r="F15" i="6"/>
  <c r="C15" i="6"/>
  <c r="I68" i="4"/>
  <c r="G68" i="4"/>
  <c r="I67" i="4"/>
  <c r="G67" i="4"/>
  <c r="I66" i="4"/>
  <c r="G66" i="4"/>
  <c r="I65" i="4"/>
  <c r="G65" i="4"/>
  <c r="I64" i="4"/>
  <c r="G64" i="4"/>
  <c r="I63" i="4"/>
  <c r="G63" i="4"/>
  <c r="I62" i="4"/>
  <c r="G62" i="4"/>
  <c r="I61" i="4"/>
  <c r="G61" i="4"/>
  <c r="I60" i="4"/>
  <c r="G60" i="4"/>
  <c r="I59" i="4"/>
  <c r="G59" i="4"/>
  <c r="I55" i="4"/>
  <c r="G55" i="4"/>
  <c r="I54" i="4"/>
  <c r="G54" i="4"/>
  <c r="I53" i="4"/>
  <c r="G53" i="4"/>
  <c r="I52" i="4"/>
  <c r="G52" i="4"/>
  <c r="I51" i="4"/>
  <c r="G51" i="4"/>
  <c r="I50" i="4"/>
  <c r="G50" i="4"/>
  <c r="I49" i="4"/>
  <c r="G49" i="4"/>
  <c r="I48" i="4"/>
  <c r="G48" i="4"/>
  <c r="I47" i="4"/>
  <c r="G47" i="4"/>
  <c r="I46" i="4"/>
  <c r="G46" i="4"/>
  <c r="I45" i="4"/>
  <c r="G45" i="4"/>
  <c r="I44" i="4"/>
  <c r="G44" i="4"/>
  <c r="I43" i="4"/>
  <c r="G43" i="4"/>
  <c r="I42" i="4"/>
  <c r="G42" i="4"/>
  <c r="I41" i="4"/>
  <c r="G41" i="4"/>
  <c r="I40" i="4"/>
  <c r="G40" i="4"/>
  <c r="I39" i="4"/>
  <c r="G39" i="4"/>
  <c r="I38" i="4"/>
  <c r="G38" i="4"/>
  <c r="I37" i="4"/>
  <c r="G37" i="4"/>
  <c r="I36" i="4"/>
  <c r="G36" i="4"/>
  <c r="I35" i="4"/>
  <c r="G35" i="4"/>
  <c r="I34" i="4"/>
  <c r="G34" i="4"/>
  <c r="I33" i="4"/>
  <c r="G33" i="4"/>
  <c r="I32" i="4"/>
  <c r="G32" i="4"/>
  <c r="I31" i="4"/>
  <c r="G31" i="4"/>
  <c r="I30" i="4"/>
  <c r="G30" i="4"/>
  <c r="I29" i="4"/>
  <c r="G29" i="4"/>
  <c r="I28" i="4"/>
  <c r="G28" i="4"/>
  <c r="I27" i="4"/>
  <c r="G27" i="4"/>
  <c r="I26" i="4"/>
  <c r="G26" i="4"/>
  <c r="I24" i="4"/>
  <c r="G24" i="4"/>
  <c r="I23" i="4"/>
  <c r="G23" i="4"/>
  <c r="I21" i="4"/>
  <c r="G21" i="4"/>
  <c r="I20" i="4"/>
  <c r="G20" i="4"/>
  <c r="I19" i="4"/>
  <c r="G19" i="4"/>
  <c r="I18" i="4"/>
  <c r="G18" i="4"/>
  <c r="I17" i="4"/>
  <c r="G17" i="4"/>
  <c r="I16" i="4"/>
  <c r="G16" i="4"/>
  <c r="I15" i="4"/>
  <c r="G15" i="4"/>
  <c r="I14" i="4"/>
  <c r="G14" i="4"/>
  <c r="I13" i="4"/>
  <c r="G13" i="4"/>
  <c r="I12" i="4"/>
  <c r="G12" i="4"/>
  <c r="I11" i="4"/>
  <c r="G11" i="4"/>
  <c r="I9" i="4"/>
  <c r="G9" i="4"/>
  <c r="G9" i="5"/>
  <c r="G8" i="5"/>
  <c r="G7" i="5"/>
  <c r="G6" i="5"/>
  <c r="G5" i="5"/>
  <c r="G4" i="5"/>
  <c r="P3" i="5"/>
  <c r="AB3" i="5" s="1"/>
  <c r="R2" i="5"/>
  <c r="AD5" i="5" s="1"/>
  <c r="Q2" i="5"/>
  <c r="AC2" i="5" s="1"/>
  <c r="P2" i="5"/>
  <c r="AB7" i="5" s="1"/>
  <c r="O2" i="5"/>
  <c r="AA4" i="5" s="1"/>
  <c r="N2" i="5"/>
  <c r="Z5" i="5" s="1"/>
  <c r="M2" i="5"/>
  <c r="Y2" i="5" s="1"/>
  <c r="G33" i="5" l="1"/>
  <c r="G37" i="5"/>
  <c r="G34" i="5"/>
  <c r="G35" i="5"/>
  <c r="G36" i="5"/>
  <c r="G38" i="5"/>
  <c r="G39" i="5"/>
  <c r="AD12" i="5"/>
  <c r="Z12" i="5"/>
  <c r="AA11" i="5"/>
  <c r="AB10" i="5"/>
  <c r="AC9" i="5"/>
  <c r="AD8" i="5"/>
  <c r="Z8" i="5"/>
  <c r="AA7" i="5"/>
  <c r="AB6" i="5"/>
  <c r="AC5" i="5"/>
  <c r="AD4" i="5"/>
  <c r="Z4" i="5"/>
  <c r="AA3" i="5"/>
  <c r="AB2" i="5"/>
  <c r="AC12" i="5"/>
  <c r="AD11" i="5"/>
  <c r="Z11" i="5"/>
  <c r="AA10" i="5"/>
  <c r="AB9" i="5"/>
  <c r="AC8" i="5"/>
  <c r="AD7" i="5"/>
  <c r="Z7" i="5"/>
  <c r="AA6" i="5"/>
  <c r="AB5" i="5"/>
  <c r="AC4" i="5"/>
  <c r="AD3" i="5"/>
  <c r="Z3" i="5"/>
  <c r="AA2" i="5"/>
  <c r="AB12" i="5"/>
  <c r="AC11" i="5"/>
  <c r="AD10" i="5"/>
  <c r="Z10" i="5"/>
  <c r="AA9" i="5"/>
  <c r="AB8" i="5"/>
  <c r="AC7" i="5"/>
  <c r="AD6" i="5"/>
  <c r="Z6" i="5"/>
  <c r="AA5" i="5"/>
  <c r="AB4" i="5"/>
  <c r="AC3" i="5"/>
  <c r="AD2" i="5"/>
  <c r="Z2" i="5"/>
  <c r="AA12" i="5"/>
  <c r="AB11" i="5"/>
  <c r="AC10" i="5"/>
  <c r="AD9" i="5"/>
  <c r="Z9" i="5"/>
  <c r="AA8" i="5"/>
  <c r="AC6" i="5"/>
  <c r="AH45" i="6"/>
  <c r="AM45" i="6" s="1"/>
  <c r="H65" i="6"/>
  <c r="G31" i="5"/>
  <c r="H36" i="5"/>
  <c r="H32" i="5"/>
  <c r="H38" i="5"/>
  <c r="G29" i="5"/>
  <c r="G32" i="5"/>
  <c r="G27" i="5"/>
  <c r="H37" i="5"/>
  <c r="H35" i="5"/>
  <c r="H27" i="5"/>
  <c r="H26" i="5"/>
  <c r="H33" i="5"/>
  <c r="H39" i="5"/>
  <c r="G26" i="5"/>
  <c r="H29" i="5"/>
  <c r="G30" i="5"/>
  <c r="H31" i="5"/>
  <c r="H28" i="5"/>
  <c r="H34" i="5"/>
  <c r="H30" i="5"/>
  <c r="G28" i="5"/>
  <c r="AO26" i="6"/>
  <c r="AO5" i="6"/>
  <c r="AH10" i="6"/>
  <c r="AN10" i="6" s="1"/>
  <c r="AO9" i="6"/>
  <c r="AH7" i="6"/>
  <c r="AN7" i="6" s="1"/>
  <c r="AH9" i="6"/>
  <c r="AK9" i="6" s="1"/>
  <c r="AH5" i="6"/>
  <c r="AK5" i="6" s="1"/>
  <c r="AH41" i="6"/>
  <c r="AM41" i="6" s="1"/>
  <c r="AO59" i="6"/>
  <c r="AO8" i="6"/>
  <c r="D34" i="6"/>
  <c r="B43" i="6" s="1"/>
  <c r="AH6" i="6"/>
  <c r="AM6" i="6" s="1"/>
  <c r="B21" i="6"/>
  <c r="C21" i="6" s="1"/>
  <c r="AO30" i="6"/>
  <c r="AH49" i="6"/>
  <c r="AJ49" i="6" s="1"/>
  <c r="AO10" i="6"/>
  <c r="D11" i="6"/>
  <c r="B37" i="6" s="1"/>
  <c r="AO7" i="6"/>
  <c r="G80" i="6"/>
  <c r="AO34" i="6"/>
  <c r="AH11" i="6"/>
  <c r="AK11" i="6" s="1"/>
  <c r="AO6" i="6"/>
  <c r="AO11" i="6"/>
  <c r="AH8" i="6"/>
  <c r="AK8" i="6" s="1"/>
  <c r="AO22" i="6"/>
  <c r="G66" i="6"/>
  <c r="AO47" i="6"/>
  <c r="AH57" i="6"/>
  <c r="AN57" i="6" s="1"/>
  <c r="AO24" i="6"/>
  <c r="AO28" i="6"/>
  <c r="AO32" i="6"/>
  <c r="AO36" i="6"/>
  <c r="AO42" i="6"/>
  <c r="AH47" i="6"/>
  <c r="AK47" i="6" s="1"/>
  <c r="AH51" i="6"/>
  <c r="AK51" i="6" s="1"/>
  <c r="AO56" i="6"/>
  <c r="AH40" i="6"/>
  <c r="AM40" i="6" s="1"/>
  <c r="AO51" i="6"/>
  <c r="AO20" i="6"/>
  <c r="AO41" i="6"/>
  <c r="AO44" i="6"/>
  <c r="AO45" i="6"/>
  <c r="AO49" i="6"/>
  <c r="AO15" i="6"/>
  <c r="AO18" i="6"/>
  <c r="AO19" i="6"/>
  <c r="AO23" i="6"/>
  <c r="AO25" i="6"/>
  <c r="AO27" i="6"/>
  <c r="AO29" i="6"/>
  <c r="AO31" i="6"/>
  <c r="AO33" i="6"/>
  <c r="AO35" i="6"/>
  <c r="AO37" i="6"/>
  <c r="AO46" i="6"/>
  <c r="AO48" i="6"/>
  <c r="AO50" i="6"/>
  <c r="AO52" i="6"/>
  <c r="AH54" i="6"/>
  <c r="AK54" i="6" s="1"/>
  <c r="AO57" i="6"/>
  <c r="AH52" i="6"/>
  <c r="AN52" i="6" s="1"/>
  <c r="AH17" i="6"/>
  <c r="AM17" i="6" s="1"/>
  <c r="AH18" i="6"/>
  <c r="AN18" i="6" s="1"/>
  <c r="AH39" i="6"/>
  <c r="AM39" i="6" s="1"/>
  <c r="AH46" i="6"/>
  <c r="AH48" i="6"/>
  <c r="AK48" i="6" s="1"/>
  <c r="AH50" i="6"/>
  <c r="AN50" i="6" s="1"/>
  <c r="AH59" i="6"/>
  <c r="AN59" i="6" s="1"/>
  <c r="AO12" i="6"/>
  <c r="AO13" i="6"/>
  <c r="AO14" i="6"/>
  <c r="AH15" i="6"/>
  <c r="AM15" i="6" s="1"/>
  <c r="AO16" i="6"/>
  <c r="AH19" i="6"/>
  <c r="AM19" i="6" s="1"/>
  <c r="AH20" i="6"/>
  <c r="AN20" i="6" s="1"/>
  <c r="AO21" i="6"/>
  <c r="AH22" i="6"/>
  <c r="AM22" i="6" s="1"/>
  <c r="AH23" i="6"/>
  <c r="AK23" i="6" s="1"/>
  <c r="AH24" i="6"/>
  <c r="AJ24" i="6" s="1"/>
  <c r="AH25" i="6"/>
  <c r="AK25" i="6" s="1"/>
  <c r="AH26" i="6"/>
  <c r="AM26" i="6" s="1"/>
  <c r="AH27" i="6"/>
  <c r="AM27" i="6" s="1"/>
  <c r="AH28" i="6"/>
  <c r="AM28" i="6" s="1"/>
  <c r="AH29" i="6"/>
  <c r="AJ29" i="6" s="1"/>
  <c r="AH30" i="6"/>
  <c r="AM30" i="6" s="1"/>
  <c r="AH31" i="6"/>
  <c r="AM31" i="6" s="1"/>
  <c r="AH32" i="6"/>
  <c r="AN32" i="6" s="1"/>
  <c r="AH33" i="6"/>
  <c r="AM33" i="6" s="1"/>
  <c r="AH34" i="6"/>
  <c r="AM34" i="6" s="1"/>
  <c r="AH35" i="6"/>
  <c r="AM35" i="6" s="1"/>
  <c r="AH36" i="6"/>
  <c r="AK36" i="6" s="1"/>
  <c r="AH37" i="6"/>
  <c r="AM37" i="6" s="1"/>
  <c r="AO38" i="6"/>
  <c r="AH42" i="6"/>
  <c r="AM42" i="6" s="1"/>
  <c r="AO43" i="6"/>
  <c r="AH44" i="6"/>
  <c r="AK44" i="6" s="1"/>
  <c r="AO55" i="6"/>
  <c r="AH56" i="6"/>
  <c r="AK56" i="6" s="1"/>
  <c r="AO58" i="6"/>
  <c r="AH58" i="6"/>
  <c r="AJ58" i="6" s="1"/>
  <c r="AH53" i="6"/>
  <c r="AK53" i="6" s="1"/>
  <c r="AH12" i="6"/>
  <c r="AK12" i="6" s="1"/>
  <c r="AH13" i="6"/>
  <c r="AJ13" i="6" s="1"/>
  <c r="AH14" i="6"/>
  <c r="AJ14" i="6" s="1"/>
  <c r="AH16" i="6"/>
  <c r="AM16" i="6" s="1"/>
  <c r="AO17" i="6"/>
  <c r="AH21" i="6"/>
  <c r="AJ21" i="6" s="1"/>
  <c r="AH38" i="6"/>
  <c r="AJ38" i="6" s="1"/>
  <c r="AO39" i="6"/>
  <c r="AO40" i="6"/>
  <c r="AH43" i="6"/>
  <c r="AJ43" i="6" s="1"/>
  <c r="AO53" i="6"/>
  <c r="AO54" i="6"/>
  <c r="AH55" i="6"/>
  <c r="AK55" i="6" s="1"/>
  <c r="C75" i="6"/>
  <c r="F31" i="4" l="1"/>
  <c r="F35" i="4"/>
  <c r="J22" i="16" s="1"/>
  <c r="R23" i="23" s="1"/>
  <c r="Z23" i="23" s="1"/>
  <c r="F34" i="4"/>
  <c r="J21" i="16" s="1"/>
  <c r="R22" i="23" s="1"/>
  <c r="Z22" i="23" s="1"/>
  <c r="F32" i="4"/>
  <c r="H60" i="4"/>
  <c r="AL56" i="6" s="1"/>
  <c r="H61" i="4"/>
  <c r="H62" i="4"/>
  <c r="H59" i="4"/>
  <c r="AL55" i="6" s="1"/>
  <c r="H58" i="4"/>
  <c r="AL54" i="6" s="1"/>
  <c r="H63" i="4"/>
  <c r="F55" i="4"/>
  <c r="F38" i="4"/>
  <c r="F54" i="4"/>
  <c r="F39" i="4"/>
  <c r="F41" i="4"/>
  <c r="F36" i="4"/>
  <c r="F40" i="4"/>
  <c r="F37" i="4"/>
  <c r="F58" i="4"/>
  <c r="AI54" i="6" s="1"/>
  <c r="F61" i="4"/>
  <c r="F62" i="4"/>
  <c r="F60" i="4"/>
  <c r="AI56" i="6" s="1"/>
  <c r="F59" i="4"/>
  <c r="F63" i="4"/>
  <c r="H57" i="4"/>
  <c r="H44" i="4"/>
  <c r="H56" i="4"/>
  <c r="H42" i="4"/>
  <c r="H43" i="4"/>
  <c r="H47" i="4"/>
  <c r="H46" i="4"/>
  <c r="H45" i="4"/>
  <c r="H15" i="4"/>
  <c r="H9" i="4"/>
  <c r="E8" i="16" s="1"/>
  <c r="O7" i="23" s="1"/>
  <c r="H13" i="4"/>
  <c r="E6" i="16" s="1"/>
  <c r="O5" i="23" s="1"/>
  <c r="H23" i="4"/>
  <c r="E16" i="16" s="1"/>
  <c r="O17" i="23" s="1"/>
  <c r="W17" i="23" s="1"/>
  <c r="H11" i="4"/>
  <c r="E10" i="16" s="1"/>
  <c r="O9" i="23" s="1"/>
  <c r="W9" i="23" s="1"/>
  <c r="H14" i="4"/>
  <c r="E7" i="16" s="1"/>
  <c r="O6" i="23" s="1"/>
  <c r="H18" i="4"/>
  <c r="E11" i="16" s="1"/>
  <c r="O10" i="23" s="1"/>
  <c r="W10" i="23" s="1"/>
  <c r="H20" i="4"/>
  <c r="E13" i="16" s="1"/>
  <c r="O12" i="23" s="1"/>
  <c r="W12" i="23" s="1"/>
  <c r="H22" i="4"/>
  <c r="E15" i="16" s="1"/>
  <c r="O16" i="23" s="1"/>
  <c r="W16" i="23" s="1"/>
  <c r="H21" i="4"/>
  <c r="E14" i="16" s="1"/>
  <c r="O15" i="23" s="1"/>
  <c r="W15" i="23" s="1"/>
  <c r="H19" i="4"/>
  <c r="E12" i="16" s="1"/>
  <c r="O11" i="23" s="1"/>
  <c r="W11" i="23" s="1"/>
  <c r="H12" i="4"/>
  <c r="E5" i="16" s="1"/>
  <c r="O4" i="23" s="1"/>
  <c r="H17" i="4"/>
  <c r="AL46" i="6" s="1"/>
  <c r="H10" i="4"/>
  <c r="E9" i="16" s="1"/>
  <c r="O8" i="23" s="1"/>
  <c r="W8" i="23" s="1"/>
  <c r="H16" i="4"/>
  <c r="AL45" i="6" s="1"/>
  <c r="H33" i="4"/>
  <c r="E20" i="16" s="1"/>
  <c r="O21" i="23" s="1"/>
  <c r="W21" i="23" s="1"/>
  <c r="H30" i="4"/>
  <c r="H35" i="4"/>
  <c r="E22" i="16" s="1"/>
  <c r="O23" i="23" s="1"/>
  <c r="W23" i="23" s="1"/>
  <c r="H32" i="4"/>
  <c r="H34" i="4"/>
  <c r="E21" i="16" s="1"/>
  <c r="O22" i="23" s="1"/>
  <c r="W22" i="23" s="1"/>
  <c r="H31" i="4"/>
  <c r="H26" i="4"/>
  <c r="H24" i="4"/>
  <c r="H28" i="4"/>
  <c r="E18" i="16" s="1"/>
  <c r="O19" i="23" s="1"/>
  <c r="W19" i="23" s="1"/>
  <c r="H27" i="4"/>
  <c r="E17" i="16" s="1"/>
  <c r="O18" i="23" s="1"/>
  <c r="W18" i="23" s="1"/>
  <c r="H29" i="4"/>
  <c r="E19" i="16" s="1"/>
  <c r="O20" i="23" s="1"/>
  <c r="W20" i="23" s="1"/>
  <c r="H25" i="4"/>
  <c r="F19" i="4"/>
  <c r="J12" i="16" s="1"/>
  <c r="R11" i="23" s="1"/>
  <c r="Z11" i="23" s="1"/>
  <c r="F11" i="4"/>
  <c r="J10" i="16" s="1"/>
  <c r="R9" i="23" s="1"/>
  <c r="Z9" i="23" s="1"/>
  <c r="F21" i="4"/>
  <c r="J14" i="16" s="1"/>
  <c r="R15" i="23" s="1"/>
  <c r="Z15" i="23" s="1"/>
  <c r="F10" i="4"/>
  <c r="J9" i="16" s="1"/>
  <c r="R8" i="23" s="1"/>
  <c r="Z8" i="23" s="1"/>
  <c r="F16" i="4"/>
  <c r="AI45" i="6" s="1"/>
  <c r="F20" i="4"/>
  <c r="J13" i="16" s="1"/>
  <c r="R12" i="23" s="1"/>
  <c r="Z12" i="23" s="1"/>
  <c r="F17" i="4"/>
  <c r="AI46" i="6" s="1"/>
  <c r="F12" i="4"/>
  <c r="J5" i="16" s="1"/>
  <c r="R4" i="23" s="1"/>
  <c r="Z4" i="23" s="1"/>
  <c r="F23" i="4"/>
  <c r="J16" i="16" s="1"/>
  <c r="R17" i="23" s="1"/>
  <c r="Z17" i="23" s="1"/>
  <c r="F13" i="4"/>
  <c r="J6" i="16" s="1"/>
  <c r="R5" i="23" s="1"/>
  <c r="Z5" i="23" s="1"/>
  <c r="F14" i="4"/>
  <c r="J7" i="16" s="1"/>
  <c r="R6" i="23" s="1"/>
  <c r="Z6" i="23" s="1"/>
  <c r="F9" i="4"/>
  <c r="J8" i="16" s="1"/>
  <c r="R7" i="23" s="1"/>
  <c r="Z7" i="23" s="1"/>
  <c r="F15" i="4"/>
  <c r="AI26" i="6" s="1"/>
  <c r="F18" i="4"/>
  <c r="J11" i="16" s="1"/>
  <c r="R10" i="23" s="1"/>
  <c r="Z10" i="23" s="1"/>
  <c r="F22" i="4"/>
  <c r="J15" i="16" s="1"/>
  <c r="R16" i="23" s="1"/>
  <c r="Z16" i="23" s="1"/>
  <c r="H48" i="4"/>
  <c r="H51" i="4"/>
  <c r="H52" i="4"/>
  <c r="H53" i="4"/>
  <c r="H50" i="4"/>
  <c r="H49" i="4"/>
  <c r="F50" i="4"/>
  <c r="F53" i="4"/>
  <c r="F49" i="4"/>
  <c r="F51" i="4"/>
  <c r="F48" i="4"/>
  <c r="F52" i="4"/>
  <c r="F57" i="4"/>
  <c r="F43" i="4"/>
  <c r="F42" i="4"/>
  <c r="F44" i="4"/>
  <c r="F56" i="4"/>
  <c r="F47" i="4"/>
  <c r="K47" i="4" s="1"/>
  <c r="J31" i="16" s="1"/>
  <c r="R31" i="23" s="1"/>
  <c r="Z31" i="23" s="1"/>
  <c r="F45" i="4"/>
  <c r="F46" i="4"/>
  <c r="K46" i="4" s="1"/>
  <c r="J30" i="16" s="1"/>
  <c r="R30" i="23" s="1"/>
  <c r="Z30" i="23" s="1"/>
  <c r="H38" i="4"/>
  <c r="H54" i="4"/>
  <c r="H41" i="4"/>
  <c r="H36" i="4"/>
  <c r="H55" i="4"/>
  <c r="H37" i="4"/>
  <c r="H39" i="4"/>
  <c r="H40" i="4"/>
  <c r="F29" i="4"/>
  <c r="J19" i="16" s="1"/>
  <c r="R20" i="23" s="1"/>
  <c r="Z20" i="23" s="1"/>
  <c r="F27" i="4"/>
  <c r="J17" i="16" s="1"/>
  <c r="R18" i="23" s="1"/>
  <c r="Z18" i="23" s="1"/>
  <c r="F26" i="4"/>
  <c r="F24" i="4"/>
  <c r="F28" i="4"/>
  <c r="J18" i="16" s="1"/>
  <c r="R19" i="23" s="1"/>
  <c r="Z19" i="23" s="1"/>
  <c r="F25" i="4"/>
  <c r="B39" i="6"/>
  <c r="F39" i="6" s="1"/>
  <c r="B42" i="6"/>
  <c r="F42" i="6" s="1"/>
  <c r="B60" i="6"/>
  <c r="F60" i="6" s="1"/>
  <c r="AK45" i="6"/>
  <c r="AJ45" i="6"/>
  <c r="AN45" i="6"/>
  <c r="AL28" i="6"/>
  <c r="AL31" i="6"/>
  <c r="AL27" i="6"/>
  <c r="AL30" i="6"/>
  <c r="AL25" i="6"/>
  <c r="AL41" i="6"/>
  <c r="AL37" i="6"/>
  <c r="AL44" i="6"/>
  <c r="AL36" i="6"/>
  <c r="AL43" i="6"/>
  <c r="AL39" i="6"/>
  <c r="AL6" i="6"/>
  <c r="AL38" i="6"/>
  <c r="AI37" i="6"/>
  <c r="AI43" i="6"/>
  <c r="AQ43" i="6" s="1"/>
  <c r="AL10" i="6"/>
  <c r="AL23" i="6"/>
  <c r="AL22" i="6"/>
  <c r="AL17" i="6"/>
  <c r="AL8" i="6"/>
  <c r="AL20" i="6"/>
  <c r="AI19" i="6"/>
  <c r="AI15" i="6"/>
  <c r="AI22" i="6"/>
  <c r="M65" i="6"/>
  <c r="L65" i="6"/>
  <c r="J65" i="6"/>
  <c r="AL32" i="6"/>
  <c r="AI34" i="6"/>
  <c r="AL26" i="6"/>
  <c r="AL33" i="6"/>
  <c r="AL42" i="6"/>
  <c r="AL15" i="6"/>
  <c r="AL40" i="6"/>
  <c r="AL13" i="6"/>
  <c r="AI28" i="6"/>
  <c r="AI25" i="6"/>
  <c r="B73" i="6"/>
  <c r="F73" i="6" s="1"/>
  <c r="F37" i="6"/>
  <c r="AI40" i="6"/>
  <c r="AI36" i="6"/>
  <c r="AL14" i="6"/>
  <c r="AN5" i="6"/>
  <c r="AK10" i="6"/>
  <c r="AJ7" i="6"/>
  <c r="AK7" i="6"/>
  <c r="B14" i="6"/>
  <c r="F14" i="6" s="1"/>
  <c r="B18" i="6"/>
  <c r="F18" i="6" s="1"/>
  <c r="AM7" i="6"/>
  <c r="AJ41" i="6"/>
  <c r="F21" i="6"/>
  <c r="AJ10" i="6"/>
  <c r="AM10" i="6"/>
  <c r="AM5" i="6"/>
  <c r="B17" i="6"/>
  <c r="C17" i="6" s="1"/>
  <c r="AJ5" i="6"/>
  <c r="B16" i="6"/>
  <c r="F16" i="6" s="1"/>
  <c r="B19" i="6"/>
  <c r="C19" i="6" s="1"/>
  <c r="AN9" i="6"/>
  <c r="AM9" i="6"/>
  <c r="AJ9" i="6"/>
  <c r="B20" i="6"/>
  <c r="C20" i="6" s="1"/>
  <c r="AN41" i="6"/>
  <c r="AM8" i="6"/>
  <c r="B41" i="6"/>
  <c r="F41" i="6" s="1"/>
  <c r="AK41" i="6"/>
  <c r="AJ8" i="6"/>
  <c r="C43" i="6"/>
  <c r="AN6" i="6"/>
  <c r="AN8" i="6"/>
  <c r="AN49" i="6"/>
  <c r="AJ6" i="6"/>
  <c r="AJ11" i="6"/>
  <c r="AM49" i="6"/>
  <c r="AN11" i="6"/>
  <c r="AM11" i="6"/>
  <c r="AK49" i="6"/>
  <c r="AK6" i="6"/>
  <c r="AN30" i="6"/>
  <c r="AN16" i="6"/>
  <c r="AJ51" i="6"/>
  <c r="AM12" i="6"/>
  <c r="AK34" i="6"/>
  <c r="AN26" i="6"/>
  <c r="AJ54" i="6"/>
  <c r="AQ54" i="6" s="1"/>
  <c r="AN51" i="6"/>
  <c r="AN22" i="6"/>
  <c r="AJ26" i="6"/>
  <c r="AM51" i="6"/>
  <c r="AK30" i="6"/>
  <c r="AK27" i="6"/>
  <c r="AN56" i="6"/>
  <c r="AJ50" i="6"/>
  <c r="AJ28" i="6"/>
  <c r="AK57" i="6"/>
  <c r="AK31" i="6"/>
  <c r="AM57" i="6"/>
  <c r="AM23" i="6"/>
  <c r="AJ40" i="6"/>
  <c r="AN31" i="6"/>
  <c r="AN12" i="6"/>
  <c r="AM20" i="6"/>
  <c r="AM25" i="6"/>
  <c r="AN55" i="6"/>
  <c r="AK43" i="6"/>
  <c r="AM29" i="6"/>
  <c r="AM50" i="6"/>
  <c r="AM52" i="6"/>
  <c r="AM43" i="6"/>
  <c r="AM24" i="6"/>
  <c r="AK18" i="6"/>
  <c r="AJ52" i="6"/>
  <c r="AN47" i="6"/>
  <c r="AK33" i="6"/>
  <c r="AK52" i="6"/>
  <c r="AK50" i="6"/>
  <c r="AK32" i="6"/>
  <c r="AJ47" i="6"/>
  <c r="AM47" i="6"/>
  <c r="AJ57" i="6"/>
  <c r="AJ32" i="6"/>
  <c r="AK38" i="6"/>
  <c r="AJ48" i="6"/>
  <c r="AM13" i="6"/>
  <c r="AN23" i="6"/>
  <c r="AK40" i="6"/>
  <c r="AM55" i="6"/>
  <c r="AN13" i="6"/>
  <c r="AN17" i="6"/>
  <c r="AM44" i="6"/>
  <c r="AM48" i="6"/>
  <c r="AM18" i="6"/>
  <c r="AN28" i="6"/>
  <c r="AN14" i="6"/>
  <c r="AJ36" i="6"/>
  <c r="AM32" i="6"/>
  <c r="AJ18" i="6"/>
  <c r="AN48" i="6"/>
  <c r="AM58" i="6"/>
  <c r="AN19" i="6"/>
  <c r="AN40" i="6"/>
  <c r="AJ17" i="6"/>
  <c r="AJ56" i="6"/>
  <c r="AN46" i="6"/>
  <c r="AJ46" i="6"/>
  <c r="AQ46" i="6" s="1"/>
  <c r="AJ12" i="6"/>
  <c r="AN27" i="6"/>
  <c r="AK35" i="6"/>
  <c r="AK19" i="6"/>
  <c r="AJ27" i="6"/>
  <c r="AJ59" i="6"/>
  <c r="AK22" i="6"/>
  <c r="AK26" i="6"/>
  <c r="AJ19" i="6"/>
  <c r="AM54" i="6"/>
  <c r="AJ39" i="6"/>
  <c r="AK46" i="6"/>
  <c r="AJ55" i="6"/>
  <c r="AJ31" i="6"/>
  <c r="AN35" i="6"/>
  <c r="AJ35" i="6"/>
  <c r="AK42" i="6"/>
  <c r="AN42" i="6"/>
  <c r="AJ15" i="6"/>
  <c r="AK39" i="6"/>
  <c r="AM46" i="6"/>
  <c r="AN43" i="6"/>
  <c r="AK16" i="6"/>
  <c r="AK59" i="6"/>
  <c r="AN34" i="6"/>
  <c r="AJ16" i="6"/>
  <c r="AK15" i="6"/>
  <c r="AN15" i="6"/>
  <c r="AJ22" i="6"/>
  <c r="AN39" i="6"/>
  <c r="AN54" i="6"/>
  <c r="AM59" i="6"/>
  <c r="AK17" i="6"/>
  <c r="AJ42" i="6"/>
  <c r="AJ23" i="6"/>
  <c r="AJ30" i="6"/>
  <c r="AJ34" i="6"/>
  <c r="AM56" i="6"/>
  <c r="AJ33" i="6"/>
  <c r="AM53" i="6"/>
  <c r="AM14" i="6"/>
  <c r="AK14" i="6"/>
  <c r="AJ53" i="6"/>
  <c r="AK24" i="6"/>
  <c r="AK29" i="6"/>
  <c r="AK58" i="6"/>
  <c r="AK13" i="6"/>
  <c r="AN58" i="6"/>
  <c r="AK20" i="6"/>
  <c r="AN36" i="6"/>
  <c r="AJ25" i="6"/>
  <c r="AJ37" i="6"/>
  <c r="AN29" i="6"/>
  <c r="AN25" i="6"/>
  <c r="AM36" i="6"/>
  <c r="AN37" i="6"/>
  <c r="AN33" i="6"/>
  <c r="AJ20" i="6"/>
  <c r="AJ44" i="6"/>
  <c r="AK37" i="6"/>
  <c r="AN24" i="6"/>
  <c r="AM38" i="6"/>
  <c r="AK28" i="6"/>
  <c r="AK21" i="6"/>
  <c r="AN53" i="6"/>
  <c r="AN38" i="6"/>
  <c r="AM21" i="6"/>
  <c r="AN21" i="6"/>
  <c r="AN44" i="6"/>
  <c r="AL52" i="6" l="1"/>
  <c r="AL50" i="6"/>
  <c r="J47" i="16"/>
  <c r="R43" i="23" s="1"/>
  <c r="Z43" i="23" s="1"/>
  <c r="AI53" i="6"/>
  <c r="AS53" i="6" s="1"/>
  <c r="E30" i="16"/>
  <c r="O30" i="23" s="1"/>
  <c r="W30" i="23" s="1"/>
  <c r="AG42" i="6"/>
  <c r="L30" i="16" s="1"/>
  <c r="S30" i="23" s="1"/>
  <c r="AA30" i="23" s="1"/>
  <c r="K41" i="4"/>
  <c r="J28" i="16" s="1"/>
  <c r="R28" i="23" s="1"/>
  <c r="Z28" i="23" s="1"/>
  <c r="E39" i="16"/>
  <c r="O38" i="23" s="1"/>
  <c r="W38" i="23" s="1"/>
  <c r="AL58" i="6"/>
  <c r="J40" i="16"/>
  <c r="R39" i="23" s="1"/>
  <c r="Z39" i="23" s="1"/>
  <c r="AI59" i="6"/>
  <c r="AG36" i="6"/>
  <c r="L27" i="16" s="1"/>
  <c r="S27" i="23" s="1"/>
  <c r="AA27" i="23" s="1"/>
  <c r="E27" i="16"/>
  <c r="O27" i="23" s="1"/>
  <c r="W27" i="23" s="1"/>
  <c r="K52" i="4"/>
  <c r="J33" i="16" s="1"/>
  <c r="R33" i="23" s="1"/>
  <c r="Z33" i="23" s="1"/>
  <c r="AI48" i="6"/>
  <c r="AS48" i="6" s="1"/>
  <c r="AG49" i="6"/>
  <c r="L34" i="16" s="1"/>
  <c r="S34" i="23" s="1"/>
  <c r="AA34" i="23" s="1"/>
  <c r="E34" i="16"/>
  <c r="O34" i="23" s="1"/>
  <c r="W34" i="23" s="1"/>
  <c r="AL49" i="6"/>
  <c r="W6" i="23"/>
  <c r="E30" i="20"/>
  <c r="E40" i="20" s="1"/>
  <c r="L40" i="20" s="1"/>
  <c r="AG43" i="6"/>
  <c r="L31" i="16" s="1"/>
  <c r="S31" i="23" s="1"/>
  <c r="AA31" i="23" s="1"/>
  <c r="E31" i="16"/>
  <c r="O31" i="23" s="1"/>
  <c r="W31" i="23" s="1"/>
  <c r="K39" i="4"/>
  <c r="J26" i="16" s="1"/>
  <c r="R26" i="23" s="1"/>
  <c r="Z26" i="23" s="1"/>
  <c r="AI35" i="6"/>
  <c r="E38" i="16"/>
  <c r="O37" i="23" s="1"/>
  <c r="W37" i="23" s="1"/>
  <c r="AL57" i="6"/>
  <c r="AI33" i="6"/>
  <c r="AG35" i="6"/>
  <c r="L26" i="16" s="1"/>
  <c r="S26" i="23" s="1"/>
  <c r="AA26" i="23" s="1"/>
  <c r="E26" i="16"/>
  <c r="O26" i="23" s="1"/>
  <c r="W26" i="23" s="1"/>
  <c r="AL35" i="6"/>
  <c r="K45" i="4"/>
  <c r="J29" i="16" s="1"/>
  <c r="R29" i="23" s="1"/>
  <c r="Z29" i="23" s="1"/>
  <c r="E33" i="16"/>
  <c r="O33" i="23" s="1"/>
  <c r="W33" i="23" s="1"/>
  <c r="AG48" i="6"/>
  <c r="L33" i="16" s="1"/>
  <c r="S33" i="23" s="1"/>
  <c r="AA33" i="23" s="1"/>
  <c r="AL48" i="6"/>
  <c r="J39" i="16"/>
  <c r="R38" i="23" s="1"/>
  <c r="Z38" i="23" s="1"/>
  <c r="AI58" i="6"/>
  <c r="AI50" i="6"/>
  <c r="AI52" i="6"/>
  <c r="AS52" i="6" s="1"/>
  <c r="K51" i="4"/>
  <c r="J32" i="16" s="1"/>
  <c r="R32" i="23" s="1"/>
  <c r="Z32" i="23" s="1"/>
  <c r="AI47" i="6"/>
  <c r="AG47" i="6"/>
  <c r="L32" i="16" s="1"/>
  <c r="S32" i="23" s="1"/>
  <c r="AA32" i="23" s="1"/>
  <c r="E32" i="16"/>
  <c r="O32" i="23" s="1"/>
  <c r="W32" i="23" s="1"/>
  <c r="AL47" i="6"/>
  <c r="W4" i="23"/>
  <c r="E28" i="20"/>
  <c r="C40" i="20" s="1"/>
  <c r="J40" i="20" s="1"/>
  <c r="J38" i="16"/>
  <c r="R37" i="23" s="1"/>
  <c r="Z37" i="23" s="1"/>
  <c r="AI57" i="6"/>
  <c r="E46" i="16"/>
  <c r="O42" i="23" s="1"/>
  <c r="W42" i="23" s="1"/>
  <c r="AL51" i="6"/>
  <c r="W5" i="23"/>
  <c r="E29" i="20"/>
  <c r="D40" i="20" s="1"/>
  <c r="K40" i="20" s="1"/>
  <c r="J46" i="16"/>
  <c r="R42" i="23" s="1"/>
  <c r="Z42" i="23" s="1"/>
  <c r="AI51" i="6"/>
  <c r="AS51" i="6" s="1"/>
  <c r="AT51" i="6" s="1"/>
  <c r="AS50" i="6"/>
  <c r="E29" i="16"/>
  <c r="O29" i="23" s="1"/>
  <c r="W29" i="23" s="1"/>
  <c r="AG41" i="6"/>
  <c r="L29" i="16" s="1"/>
  <c r="S29" i="23" s="1"/>
  <c r="AA29" i="23" s="1"/>
  <c r="AL29" i="6"/>
  <c r="AL16" i="6"/>
  <c r="AI39" i="6"/>
  <c r="K53" i="4"/>
  <c r="J34" i="16" s="1"/>
  <c r="R34" i="23" s="1"/>
  <c r="Z34" i="23" s="1"/>
  <c r="AI49" i="6"/>
  <c r="W7" i="23"/>
  <c r="E31" i="20"/>
  <c r="F40" i="20" s="1"/>
  <c r="M40" i="20" s="1"/>
  <c r="E40" i="16"/>
  <c r="O39" i="23" s="1"/>
  <c r="W39" i="23" s="1"/>
  <c r="AL59" i="6"/>
  <c r="AS47" i="6"/>
  <c r="AL24" i="6"/>
  <c r="AS45" i="6"/>
  <c r="AG37" i="6"/>
  <c r="L28" i="16" s="1"/>
  <c r="S28" i="23" s="1"/>
  <c r="AA28" i="23" s="1"/>
  <c r="E28" i="16"/>
  <c r="O28" i="23" s="1"/>
  <c r="W28" i="23" s="1"/>
  <c r="E47" i="16"/>
  <c r="O43" i="23" s="1"/>
  <c r="W43" i="23" s="1"/>
  <c r="AL53" i="6"/>
  <c r="K40" i="4"/>
  <c r="J27" i="16" s="1"/>
  <c r="R27" i="23" s="1"/>
  <c r="Z27" i="23" s="1"/>
  <c r="C60" i="6"/>
  <c r="B61" i="6"/>
  <c r="AT45" i="6"/>
  <c r="AQ45" i="6"/>
  <c r="AU45" i="6" s="1"/>
  <c r="AV45" i="6" s="1"/>
  <c r="B88" i="6"/>
  <c r="AL9" i="6"/>
  <c r="AI8" i="6"/>
  <c r="AS8" i="6" s="1"/>
  <c r="AL7" i="6"/>
  <c r="AL5" i="6"/>
  <c r="AI9" i="6"/>
  <c r="AQ9" i="6" s="1"/>
  <c r="K65" i="4"/>
  <c r="AX37" i="6"/>
  <c r="AI32" i="6"/>
  <c r="AQ32" i="6" s="1"/>
  <c r="AR32" i="6" s="1"/>
  <c r="AL34" i="6"/>
  <c r="AI31" i="6"/>
  <c r="AX31" i="6" s="1"/>
  <c r="K69" i="4"/>
  <c r="AI30" i="6"/>
  <c r="AL11" i="6"/>
  <c r="AI21" i="6"/>
  <c r="AQ21" i="6" s="1"/>
  <c r="AU21" i="6" s="1"/>
  <c r="AV21" i="6" s="1"/>
  <c r="K6" i="13"/>
  <c r="L6" i="13" s="1"/>
  <c r="AX29" i="6"/>
  <c r="AI27" i="6"/>
  <c r="AS43" i="6"/>
  <c r="AX34" i="6"/>
  <c r="K9" i="13"/>
  <c r="L9" i="13" s="1"/>
  <c r="AI10" i="6"/>
  <c r="K34" i="13" s="1"/>
  <c r="L34" i="13" s="1"/>
  <c r="AQ25" i="6"/>
  <c r="AR25" i="6" s="1"/>
  <c r="AX15" i="6"/>
  <c r="AI18" i="6"/>
  <c r="AQ18" i="6" s="1"/>
  <c r="AI6" i="6"/>
  <c r="AQ6" i="6" s="1"/>
  <c r="AI41" i="6"/>
  <c r="K67" i="4"/>
  <c r="AI13" i="6"/>
  <c r="AX13" i="6" s="1"/>
  <c r="AL21" i="6"/>
  <c r="AQ36" i="6"/>
  <c r="AR36" i="6" s="1"/>
  <c r="AI55" i="6"/>
  <c r="AS55" i="6" s="1"/>
  <c r="AI7" i="6"/>
  <c r="AS7" i="6" s="1"/>
  <c r="AL19" i="6"/>
  <c r="AL18" i="6"/>
  <c r="AI42" i="6"/>
  <c r="AI16" i="6"/>
  <c r="AS16" i="6" s="1"/>
  <c r="AI23" i="6"/>
  <c r="I65" i="6"/>
  <c r="AI12" i="6"/>
  <c r="AQ12" i="6" s="1"/>
  <c r="AI5" i="6"/>
  <c r="AI11" i="6"/>
  <c r="AS11" i="6" s="1"/>
  <c r="AI44" i="6"/>
  <c r="AI38" i="6"/>
  <c r="AI20" i="6"/>
  <c r="AQ20" i="6" s="1"/>
  <c r="AU20" i="6" s="1"/>
  <c r="AV20" i="6" s="1"/>
  <c r="AI24" i="6"/>
  <c r="AI14" i="6"/>
  <c r="K65" i="6"/>
  <c r="AL12" i="6"/>
  <c r="AI17" i="6"/>
  <c r="AS17" i="6" s="1"/>
  <c r="AQ48" i="6"/>
  <c r="AU48" i="6" s="1"/>
  <c r="AV48" i="6" s="1"/>
  <c r="AS54" i="6"/>
  <c r="AS40" i="6"/>
  <c r="AS36" i="6"/>
  <c r="AS46" i="6"/>
  <c r="AQ50" i="6"/>
  <c r="AR50" i="6" s="1"/>
  <c r="AQ40" i="6"/>
  <c r="AU40" i="6" s="1"/>
  <c r="AV40" i="6" s="1"/>
  <c r="AS35" i="6"/>
  <c r="AU43" i="6"/>
  <c r="AV43" i="6" s="1"/>
  <c r="AR43" i="6"/>
  <c r="AQ26" i="6"/>
  <c r="AS34" i="6"/>
  <c r="AQ53" i="6"/>
  <c r="AS22" i="6"/>
  <c r="AQ39" i="6"/>
  <c r="AQ15" i="6"/>
  <c r="AQ51" i="6"/>
  <c r="AQ34" i="6"/>
  <c r="AQ47" i="6"/>
  <c r="AS25" i="6"/>
  <c r="AQ35" i="6"/>
  <c r="AS19" i="6"/>
  <c r="AQ22" i="6"/>
  <c r="AS15" i="6"/>
  <c r="AU46" i="6"/>
  <c r="AV46" i="6" s="1"/>
  <c r="AR46" i="6"/>
  <c r="AU54" i="6"/>
  <c r="AV54" i="6" s="1"/>
  <c r="AR54" i="6"/>
  <c r="AX51" i="6"/>
  <c r="AQ37" i="6"/>
  <c r="AS39" i="6"/>
  <c r="AS33" i="6"/>
  <c r="AQ28" i="6"/>
  <c r="AS37" i="6"/>
  <c r="AQ33" i="6"/>
  <c r="AS26" i="6"/>
  <c r="AQ19" i="6"/>
  <c r="AS28" i="6"/>
  <c r="C73" i="6"/>
  <c r="K66" i="4"/>
  <c r="K68" i="4"/>
  <c r="C18" i="6"/>
  <c r="C14" i="6"/>
  <c r="F19" i="6"/>
  <c r="F17" i="6"/>
  <c r="C16" i="6"/>
  <c r="C42" i="6"/>
  <c r="C37" i="6"/>
  <c r="F20" i="6"/>
  <c r="F43" i="6"/>
  <c r="F46" i="6" s="1"/>
  <c r="C41" i="6"/>
  <c r="C39" i="6"/>
  <c r="AX49" i="6" l="1"/>
  <c r="AT35" i="6"/>
  <c r="AT48" i="6"/>
  <c r="AX41" i="6"/>
  <c r="AX35" i="6"/>
  <c r="AQ52" i="6"/>
  <c r="AS49" i="6"/>
  <c r="AT49" i="6" s="1"/>
  <c r="AQ49" i="6"/>
  <c r="AX45" i="6"/>
  <c r="I30" i="20"/>
  <c r="I31" i="20"/>
  <c r="I29" i="20"/>
  <c r="AR45" i="6"/>
  <c r="J29" i="13"/>
  <c r="M29" i="13" s="1"/>
  <c r="AQ8" i="6"/>
  <c r="AR8" i="6" s="1"/>
  <c r="AS9" i="6"/>
  <c r="J33" i="13"/>
  <c r="M33" i="13" s="1"/>
  <c r="J30" i="13"/>
  <c r="M30" i="13" s="1"/>
  <c r="J31" i="13"/>
  <c r="M31" i="13" s="1"/>
  <c r="J32" i="13"/>
  <c r="M32" i="13" s="1"/>
  <c r="AS32" i="6"/>
  <c r="AQ23" i="6"/>
  <c r="AU23" i="6" s="1"/>
  <c r="AV23" i="6" s="1"/>
  <c r="AX21" i="6"/>
  <c r="AQ27" i="6"/>
  <c r="AR27" i="6" s="1"/>
  <c r="AT37" i="6"/>
  <c r="AS31" i="6"/>
  <c r="AT31" i="6" s="1"/>
  <c r="AQ7" i="6"/>
  <c r="AU7" i="6" s="1"/>
  <c r="AV7" i="6" s="1"/>
  <c r="J40" i="13"/>
  <c r="M40" i="13" s="1"/>
  <c r="AQ31" i="6"/>
  <c r="AR31" i="6" s="1"/>
  <c r="AS18" i="6"/>
  <c r="AQ30" i="6"/>
  <c r="AR30" i="6" s="1"/>
  <c r="AX22" i="6"/>
  <c r="AX30" i="6"/>
  <c r="AS27" i="6"/>
  <c r="AT27" i="6" s="1"/>
  <c r="AR21" i="6"/>
  <c r="AT22" i="6"/>
  <c r="AS30" i="6"/>
  <c r="AT30" i="6" s="1"/>
  <c r="AS21" i="6"/>
  <c r="K7" i="13"/>
  <c r="L7" i="13" s="1"/>
  <c r="AT43" i="6"/>
  <c r="AT28" i="6"/>
  <c r="AX43" i="6"/>
  <c r="AX19" i="6"/>
  <c r="AT34" i="6"/>
  <c r="AT19" i="6"/>
  <c r="AX28" i="6"/>
  <c r="AX33" i="6"/>
  <c r="AT33" i="6"/>
  <c r="AU32" i="6"/>
  <c r="AV32" i="6" s="1"/>
  <c r="AX39" i="6"/>
  <c r="AT39" i="6"/>
  <c r="AT26" i="6"/>
  <c r="AX26" i="6"/>
  <c r="AS6" i="6"/>
  <c r="AS10" i="6"/>
  <c r="AT10" i="6" s="1"/>
  <c r="AQ10" i="6"/>
  <c r="AR10" i="6" s="1"/>
  <c r="K13" i="13"/>
  <c r="L13" i="13" s="1"/>
  <c r="AU25" i="6"/>
  <c r="AV25" i="6" s="1"/>
  <c r="AT15" i="6"/>
  <c r="AX18" i="6"/>
  <c r="AU50" i="6"/>
  <c r="AV50" i="6" s="1"/>
  <c r="AX27" i="6"/>
  <c r="K35" i="13"/>
  <c r="L35" i="13" s="1"/>
  <c r="AX40" i="6"/>
  <c r="AR48" i="6"/>
  <c r="AQ42" i="6"/>
  <c r="AR42" i="6" s="1"/>
  <c r="AS42" i="6"/>
  <c r="AT42" i="6" s="1"/>
  <c r="AS41" i="6"/>
  <c r="AT41" i="6" s="1"/>
  <c r="AQ5" i="6"/>
  <c r="AU5" i="6" s="1"/>
  <c r="AV5" i="6" s="1"/>
  <c r="AS44" i="6"/>
  <c r="AT44" i="6" s="1"/>
  <c r="AT40" i="6"/>
  <c r="AX42" i="6"/>
  <c r="AS23" i="6"/>
  <c r="AT23" i="6" s="1"/>
  <c r="AQ11" i="6"/>
  <c r="AU11" i="6" s="1"/>
  <c r="AV11" i="6" s="1"/>
  <c r="AQ55" i="6"/>
  <c r="AR55" i="6" s="1"/>
  <c r="AR40" i="6"/>
  <c r="AU36" i="6"/>
  <c r="AV36" i="6" s="1"/>
  <c r="AQ41" i="6"/>
  <c r="AR41" i="6" s="1"/>
  <c r="AS12" i="6"/>
  <c r="AS20" i="6"/>
  <c r="AT36" i="6"/>
  <c r="K8" i="13"/>
  <c r="L8" i="13" s="1"/>
  <c r="K42" i="13"/>
  <c r="L42" i="13" s="1"/>
  <c r="AQ44" i="6"/>
  <c r="AX17" i="6"/>
  <c r="AS5" i="6"/>
  <c r="AT5" i="6" s="1"/>
  <c r="AQ16" i="6"/>
  <c r="AU16" i="6" s="1"/>
  <c r="AV16" i="6" s="1"/>
  <c r="AQ17" i="6"/>
  <c r="C61" i="6"/>
  <c r="F61" i="6"/>
  <c r="AT16" i="6"/>
  <c r="AS14" i="6"/>
  <c r="AT14" i="6" s="1"/>
  <c r="AQ14" i="6"/>
  <c r="AS24" i="6"/>
  <c r="AQ24" i="6"/>
  <c r="AQ38" i="6"/>
  <c r="AS38" i="6"/>
  <c r="AS13" i="6"/>
  <c r="AT13" i="6" s="1"/>
  <c r="AQ13" i="6"/>
  <c r="AR20" i="6"/>
  <c r="AX50" i="6"/>
  <c r="AU19" i="6"/>
  <c r="AV19" i="6" s="1"/>
  <c r="AR19" i="6"/>
  <c r="AU28" i="6"/>
  <c r="AV28" i="6" s="1"/>
  <c r="AR28" i="6"/>
  <c r="AU35" i="6"/>
  <c r="AV35" i="6" s="1"/>
  <c r="AR35" i="6"/>
  <c r="AU51" i="6"/>
  <c r="AV51" i="6" s="1"/>
  <c r="AR51" i="6"/>
  <c r="AU15" i="6"/>
  <c r="AV15" i="6" s="1"/>
  <c r="AR15" i="6"/>
  <c r="AU53" i="6"/>
  <c r="AV53" i="6" s="1"/>
  <c r="AR53" i="6"/>
  <c r="AT50" i="6"/>
  <c r="AX14" i="6"/>
  <c r="AX54" i="6"/>
  <c r="AX44" i="6"/>
  <c r="AU37" i="6"/>
  <c r="AV37" i="6" s="1"/>
  <c r="AR37" i="6"/>
  <c r="AT25" i="6"/>
  <c r="AT52" i="6"/>
  <c r="AT54" i="6"/>
  <c r="AU12" i="6"/>
  <c r="AV12" i="6" s="1"/>
  <c r="AR12" i="6"/>
  <c r="AX46" i="6"/>
  <c r="AX47" i="6"/>
  <c r="AX53" i="6"/>
  <c r="AX48" i="6"/>
  <c r="AU33" i="6"/>
  <c r="AV33" i="6" s="1"/>
  <c r="AR33" i="6"/>
  <c r="AU47" i="6"/>
  <c r="AV47" i="6" s="1"/>
  <c r="AR47" i="6"/>
  <c r="AU39" i="6"/>
  <c r="AV39" i="6" s="1"/>
  <c r="AR39" i="6"/>
  <c r="AT46" i="6"/>
  <c r="AU26" i="6"/>
  <c r="AV26" i="6" s="1"/>
  <c r="AR26" i="6"/>
  <c r="K40" i="13"/>
  <c r="AX25" i="6"/>
  <c r="K5" i="13"/>
  <c r="L5" i="13" s="1"/>
  <c r="AX23" i="6"/>
  <c r="AX52" i="6"/>
  <c r="AX36" i="6"/>
  <c r="AU22" i="6"/>
  <c r="AV22" i="6" s="1"/>
  <c r="AR22" i="6"/>
  <c r="AU34" i="6"/>
  <c r="AV34" i="6" s="1"/>
  <c r="AR34" i="6"/>
  <c r="AU18" i="6"/>
  <c r="AV18" i="6" s="1"/>
  <c r="AR18" i="6"/>
  <c r="AT53" i="6"/>
  <c r="AT47" i="6"/>
  <c r="AX5" i="6"/>
  <c r="K37" i="13"/>
  <c r="L37" i="13" s="1"/>
  <c r="K38" i="13"/>
  <c r="L38" i="13" s="1"/>
  <c r="F23" i="6"/>
  <c r="C46" i="6"/>
  <c r="C47" i="6" s="1"/>
  <c r="B58" i="6" s="1"/>
  <c r="C58" i="6" s="1"/>
  <c r="C23" i="6"/>
  <c r="C24" i="6" s="1"/>
  <c r="B72" i="6" s="1"/>
  <c r="C72" i="6" s="1"/>
  <c r="C76" i="6" s="1"/>
  <c r="C77" i="6" s="1"/>
  <c r="AU9" i="6"/>
  <c r="AV9" i="6" s="1"/>
  <c r="AR9" i="6"/>
  <c r="AU6" i="6"/>
  <c r="AV6" i="6" s="1"/>
  <c r="AR6" i="6"/>
  <c r="AX10" i="6"/>
  <c r="AU49" i="6" l="1"/>
  <c r="AV49" i="6" s="1"/>
  <c r="AR49" i="6"/>
  <c r="AU52" i="6"/>
  <c r="AV52" i="6" s="1"/>
  <c r="AR52" i="6"/>
  <c r="D30" i="20"/>
  <c r="D29" i="20"/>
  <c r="I28" i="20"/>
  <c r="D31" i="20"/>
  <c r="D28" i="20"/>
  <c r="K33" i="13"/>
  <c r="L33" i="13" s="1"/>
  <c r="AX12" i="6"/>
  <c r="AX9" i="6"/>
  <c r="AT9" i="6"/>
  <c r="AT8" i="6"/>
  <c r="AX8" i="6"/>
  <c r="AU8" i="6"/>
  <c r="AV8" i="6" s="1"/>
  <c r="AT32" i="6"/>
  <c r="AR23" i="6"/>
  <c r="AR7" i="6"/>
  <c r="AT21" i="6"/>
  <c r="AU31" i="6"/>
  <c r="AV31" i="6" s="1"/>
  <c r="AX32" i="6"/>
  <c r="AU27" i="6"/>
  <c r="AV27" i="6" s="1"/>
  <c r="AU30" i="6"/>
  <c r="AV30" i="6" s="1"/>
  <c r="L40" i="13"/>
  <c r="AX11" i="6"/>
  <c r="AT6" i="6"/>
  <c r="AX6" i="6"/>
  <c r="AT11" i="6"/>
  <c r="AU10" i="6"/>
  <c r="AV10" i="6" s="1"/>
  <c r="AX7" i="6"/>
  <c r="AT7" i="6"/>
  <c r="K41" i="13"/>
  <c r="L41" i="13" s="1"/>
  <c r="AT20" i="6"/>
  <c r="AT18" i="6"/>
  <c r="K10" i="13"/>
  <c r="L10" i="13" s="1"/>
  <c r="AU55" i="6"/>
  <c r="AV55" i="6" s="1"/>
  <c r="AR16" i="6"/>
  <c r="AU42" i="6"/>
  <c r="AV42" i="6" s="1"/>
  <c r="AR11" i="6"/>
  <c r="AR5" i="6"/>
  <c r="AU41" i="6"/>
  <c r="AV41" i="6" s="1"/>
  <c r="AT55" i="6"/>
  <c r="AX55" i="6"/>
  <c r="AX20" i="6"/>
  <c r="AT12" i="6"/>
  <c r="K11" i="13"/>
  <c r="L11" i="13" s="1"/>
  <c r="K36" i="13"/>
  <c r="L36" i="13" s="1"/>
  <c r="AT17" i="6"/>
  <c r="C62" i="6"/>
  <c r="C63" i="6" s="1"/>
  <c r="AR13" i="6"/>
  <c r="AU13" i="6"/>
  <c r="AV13" i="6" s="1"/>
  <c r="AU38" i="6"/>
  <c r="AV38" i="6" s="1"/>
  <c r="AR38" i="6"/>
  <c r="AR17" i="6"/>
  <c r="AU17" i="6"/>
  <c r="AV17" i="6" s="1"/>
  <c r="AR44" i="6"/>
  <c r="AU44" i="6"/>
  <c r="AV44" i="6" s="1"/>
  <c r="AX24" i="6"/>
  <c r="AX38" i="6"/>
  <c r="AU24" i="6"/>
  <c r="AV24" i="6" s="1"/>
  <c r="AR24" i="6"/>
  <c r="AT38" i="6"/>
  <c r="AT24" i="6"/>
  <c r="AR14" i="6"/>
  <c r="AU14" i="6"/>
  <c r="AV14" i="6" s="1"/>
  <c r="AX16" i="6"/>
  <c r="F24" i="6"/>
  <c r="E72" i="6" s="1"/>
  <c r="F72" i="6" s="1"/>
  <c r="F76" i="6" s="1"/>
  <c r="F77" i="6" s="1"/>
  <c r="F78" i="6" s="1"/>
  <c r="AD4" i="6" s="1"/>
  <c r="F47" i="6"/>
  <c r="E58" i="6" s="1"/>
  <c r="F58" i="6" s="1"/>
  <c r="F62" i="6" s="1"/>
  <c r="J28" i="20" l="1"/>
  <c r="K30" i="13"/>
  <c r="L30" i="13" s="1"/>
  <c r="K31" i="13"/>
  <c r="L31" i="13" s="1"/>
  <c r="K32" i="13"/>
  <c r="L32" i="13" s="1"/>
  <c r="K29" i="13"/>
  <c r="L29" i="13" s="1"/>
  <c r="F63" i="6"/>
  <c r="F64" i="6" s="1"/>
  <c r="AF4" i="6" s="1"/>
  <c r="K12" i="13"/>
  <c r="L12" i="13" s="1"/>
  <c r="K4" i="13"/>
  <c r="L4" i="13" s="1"/>
  <c r="F25" i="6"/>
  <c r="F26" i="6" s="1"/>
  <c r="F48" i="6"/>
  <c r="F49" i="6" s="1"/>
  <c r="F79" i="6"/>
  <c r="F80" i="6" s="1"/>
  <c r="AC4" i="6" s="1"/>
  <c r="J31" i="20" l="1"/>
  <c r="J30" i="20"/>
  <c r="J29" i="20"/>
  <c r="F65" i="6"/>
  <c r="F66" i="6" s="1"/>
  <c r="AE4" i="6" s="1"/>
  <c r="F30" i="4" l="1"/>
  <c r="F33" i="4"/>
  <c r="J20" i="16" l="1"/>
  <c r="R21" i="23" s="1"/>
  <c r="Z21" i="23" s="1"/>
  <c r="AI29" i="6"/>
  <c r="AQ29" i="6" l="1"/>
  <c r="AS29" i="6"/>
  <c r="AT29" i="6" s="1"/>
  <c r="AR29" i="6" l="1"/>
  <c r="AU29" i="6"/>
  <c r="AV29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Corney</author>
    <author>k.jones</author>
  </authors>
  <commentList>
    <comment ref="M9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N9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O9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P9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Q9" authorId="0" shapeId="0" xr:uid="{00000000-0006-0000-0800-000005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R9" authorId="0" shapeId="0" xr:uid="{00000000-0006-0000-0800-000006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V18" authorId="1" shapeId="0" xr:uid="{00000000-0006-0000-0800-000007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AH2700A check of 1 M at 1.5915 k.  AI VII, p.42</t>
        </r>
      </text>
    </comment>
    <comment ref="M41" authorId="1" shapeId="0" xr:uid="{00000000-0006-0000-0800-000008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The n/f or m/f factor for CMC calculation.</t>
        </r>
      </text>
    </comment>
    <comment ref="L47" authorId="1" shapeId="0" xr:uid="{00000000-0006-0000-0800-000009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just 1.0 in source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t.stewart</author>
    <author>k.jones</author>
    <author>Keith Jones</author>
  </authors>
  <commentList>
    <comment ref="B18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Assume 0.5 degree as have below?
KJ: agreed and modified</t>
        </r>
      </text>
    </comment>
    <comment ref="B20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in
2014, safer to stay with 16</t>
        </r>
      </text>
    </comment>
    <comment ref="B21" authorId="1" shapeId="0" xr:uid="{00000000-0006-0000-0900-000003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Sensitivity falls with f, 1 ppm at 2 kHz</t>
        </r>
      </text>
    </comment>
    <comment ref="B37" authorId="0" shapeId="0" xr:uid="{00000000-0006-0000-0900-000004000000}">
      <text>
        <r>
          <rPr>
            <sz val="8"/>
            <color indexed="81"/>
            <rFont val="Tahoma"/>
            <family val="2"/>
          </rPr>
          <t xml:space="preserve">t.stewart:
5 or 16 ppm??  Latest comment and MSLT.E023.005 suggests 5 ppm.
</t>
        </r>
        <r>
          <rPr>
            <b/>
            <sz val="8"/>
            <color indexed="81"/>
            <rFont val="Tahoma"/>
            <family val="2"/>
          </rPr>
          <t>KJ: agree 5 in 2011 but revert to 16 in 2014</t>
        </r>
      </text>
    </comment>
    <comment ref="L37" authorId="1" shapeId="0" xr:uid="{00000000-0006-0000-0900-000005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Revert after new CMCs developed and accepted.</t>
        </r>
      </text>
    </comment>
    <comment ref="D38" authorId="1" shapeId="0" xr:uid="{00000000-0006-0000-0900-000006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changed from 50 to 30 %, has impact on dof.</t>
        </r>
      </text>
    </comment>
    <comment ref="B40" authorId="1" shapeId="0" xr:uid="{00000000-0006-0000-0900-000007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say 1/f noise of 1 ppm at 100 Hz
TJS: or 1000 Hz?
KJ:in counts so 10x100/f</t>
        </r>
      </text>
    </comment>
    <comment ref="D40" authorId="1" shapeId="0" xr:uid="{00000000-0006-0000-0900-000008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set to 1%, 30% compatible with CMC calculation</t>
        </r>
      </text>
    </comment>
    <comment ref="L40" authorId="1" shapeId="0" xr:uid="{00000000-0006-0000-0900-000009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10 in last dial is more consistent with CMCs.</t>
        </r>
      </text>
    </comment>
    <comment ref="B41" authorId="1" shapeId="0" xr:uid="{00000000-0006-0000-0900-00000A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with x10 but!!! the dial setting takes care of the fact that there are 7 dials!!!!</t>
        </r>
      </text>
    </comment>
    <comment ref="B57" authorId="1" shapeId="0" xr:uid="{00000000-0006-0000-0900-00000B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done in % for the Muirhead inductors.</t>
        </r>
      </text>
    </comment>
    <comment ref="B59" authorId="1" shapeId="0" xr:uid="{00000000-0006-0000-0900-00000C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until rest of calculation is correct.</t>
        </r>
      </text>
    </comment>
    <comment ref="B60" authorId="1" shapeId="0" xr:uid="{00000000-0006-0000-0900-00000D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61" authorId="2" shapeId="0" xr:uid="{00000000-0006-0000-0900-00000E000000}">
      <text>
        <r>
          <rPr>
            <b/>
            <sz val="9"/>
            <color indexed="81"/>
            <rFont val="Tahoma"/>
            <family val="2"/>
          </rPr>
          <t>Keith Jones:</t>
        </r>
        <r>
          <rPr>
            <sz val="9"/>
            <color indexed="81"/>
            <rFont val="Tahoma"/>
            <family val="2"/>
          </rPr>
          <t xml:space="preserve">
series R not an issue with four term pair definition</t>
        </r>
      </text>
    </comment>
    <comment ref="B63" authorId="0" shapeId="0" xr:uid="{00000000-0006-0000-0900-00000F000000}">
      <text>
        <r>
          <rPr>
            <b/>
            <sz val="8"/>
            <color indexed="81"/>
            <rFont val="Tahoma"/>
            <family val="2"/>
          </rPr>
          <t>t.stewart:</t>
        </r>
        <r>
          <rPr>
            <sz val="8"/>
            <color indexed="81"/>
            <rFont val="Tahoma"/>
            <family val="2"/>
          </rPr>
          <t xml:space="preserve">
Should it be "u combined (%)" ??
KJ: agree %</t>
        </r>
      </text>
    </comment>
    <comment ref="B72" authorId="1" shapeId="0" xr:uid="{00000000-0006-0000-0900-000010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Was % for Muirheads</t>
        </r>
      </text>
    </comment>
    <comment ref="B73" authorId="1" shapeId="0" xr:uid="{00000000-0006-0000-0900-000011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  <comment ref="B74" authorId="1" shapeId="0" xr:uid="{00000000-0006-0000-0900-000012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for now</t>
        </r>
      </text>
    </comment>
    <comment ref="B75" authorId="2" shapeId="0" xr:uid="{00000000-0006-0000-0900-000013000000}">
      <text>
        <r>
          <rPr>
            <b/>
            <sz val="9"/>
            <color indexed="81"/>
            <rFont val="Tahoma"/>
            <family val="2"/>
          </rPr>
          <t>Keith Jones:</t>
        </r>
        <r>
          <rPr>
            <sz val="9"/>
            <color indexed="81"/>
            <rFont val="Tahoma"/>
            <family val="2"/>
          </rPr>
          <t xml:space="preserve">
1 pF is 1000 counts on range 6Y.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k.jones</author>
  </authors>
  <commentList>
    <comment ref="X112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set to zero in report for all four low value caps.</t>
        </r>
      </text>
    </comment>
  </commentList>
</comments>
</file>

<file path=xl/sharedStrings.xml><?xml version="1.0" encoding="utf-8"?>
<sst xmlns="http://schemas.openxmlformats.org/spreadsheetml/2006/main" count="2719" uniqueCount="808">
  <si>
    <t>C</t>
  </si>
  <si>
    <t>nS</t>
  </si>
  <si>
    <t>E1</t>
  </si>
  <si>
    <t>E2</t>
  </si>
  <si>
    <t>E3</t>
  </si>
  <si>
    <t>D1</t>
  </si>
  <si>
    <t>UNCERTAINTY</t>
  </si>
  <si>
    <t>Information for calculating expanded uncertainties</t>
  </si>
  <si>
    <t>GEUM uncertainty calculation template</t>
  </si>
  <si>
    <t>k-factor from degrees of freedom</t>
  </si>
  <si>
    <t>a</t>
  </si>
  <si>
    <t>b</t>
  </si>
  <si>
    <t xml:space="preserve">The 95% level of confidence expanded uncertainties are calculated using the Welch-Satterthwaite </t>
  </si>
  <si>
    <t>c</t>
  </si>
  <si>
    <t xml:space="preserve">formula to combine standard uncertainties.   The individual degrees of freedom are derived either </t>
  </si>
  <si>
    <t>d</t>
  </si>
  <si>
    <t>Label</t>
  </si>
  <si>
    <t>k</t>
  </si>
  <si>
    <t xml:space="preserve">from the number of measurements used to derive the uncertainty or an estimate </t>
  </si>
  <si>
    <t>of the percentage uncertainty in the uncertainty.</t>
  </si>
  <si>
    <t>k=a+b/v+c/v^2+d/v^3</t>
  </si>
  <si>
    <t>Standard</t>
  </si>
  <si>
    <t>Source of uncertainty</t>
  </si>
  <si>
    <t>Uncertainties</t>
  </si>
  <si>
    <t xml:space="preserve">Degrees of </t>
  </si>
  <si>
    <t>Variances</t>
  </si>
  <si>
    <t>% Accuracy</t>
  </si>
  <si>
    <t>Freedom, v</t>
  </si>
  <si>
    <t>u^4/v</t>
  </si>
  <si>
    <t>Sum of variance</t>
  </si>
  <si>
    <t>Sum of u^4/v</t>
  </si>
  <si>
    <t>effective v</t>
  </si>
  <si>
    <t>Assumptions</t>
  </si>
  <si>
    <t>Range</t>
  </si>
  <si>
    <t>Capacitance</t>
  </si>
  <si>
    <t>Conductance</t>
  </si>
  <si>
    <t>6Y</t>
  </si>
  <si>
    <t>3Y</t>
  </si>
  <si>
    <t>A1</t>
  </si>
  <si>
    <t>B10</t>
  </si>
  <si>
    <t>C1</t>
  </si>
  <si>
    <t>5Y</t>
  </si>
  <si>
    <t>C10</t>
  </si>
  <si>
    <t>7Y</t>
  </si>
  <si>
    <t>This table is the usual form for calculating spreadsheet corrections</t>
  </si>
  <si>
    <t>Date</t>
  </si>
  <si>
    <t>R4A</t>
  </si>
  <si>
    <t>R4B</t>
  </si>
  <si>
    <t>R4C</t>
  </si>
  <si>
    <t>G1</t>
  </si>
  <si>
    <t>G2</t>
  </si>
  <si>
    <t xml:space="preserve">Component </t>
  </si>
  <si>
    <t>Value</t>
  </si>
  <si>
    <t>1.6 kHz</t>
  </si>
  <si>
    <t>(ppm)</t>
  </si>
  <si>
    <t>DC for resistors</t>
  </si>
  <si>
    <t>Record</t>
  </si>
  <si>
    <t>Comments</t>
  </si>
  <si>
    <t>C_1</t>
  </si>
  <si>
    <t>PEL Meas V</t>
  </si>
  <si>
    <t>Check Y&amp;Z ranges 6 &amp; 4 @ 400 Hz</t>
  </si>
  <si>
    <t>R_4A</t>
  </si>
  <si>
    <t>Universal Bridge II</t>
  </si>
  <si>
    <t>Full calibration of standards and of all dial ratios and performance checks.</t>
  </si>
  <si>
    <t>R_4B</t>
  </si>
  <si>
    <t>completion of above</t>
  </si>
  <si>
    <t>R_4C</t>
  </si>
  <si>
    <t>UB II</t>
  </si>
  <si>
    <t>component values measured</t>
  </si>
  <si>
    <t>G_1</t>
  </si>
  <si>
    <t>G_2</t>
  </si>
  <si>
    <t>Zeros</t>
  </si>
  <si>
    <t>problem with '6' dial, repaired!</t>
  </si>
  <si>
    <t>AI III</t>
  </si>
  <si>
    <r>
      <t xml:space="preserve">problem with 0.01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 on range 5Y, lack of DC path for current pump, AVOID</t>
    </r>
  </si>
  <si>
    <r>
      <t>Z3=(R4/G2)(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</si>
  <si>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t>bridge calibration</t>
  </si>
  <si>
    <t>where Z3=R+jwC</t>
  </si>
  <si>
    <r>
      <t>Y4=(G3/G2)(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</si>
  <si>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r>
      <t>where Y4=G+j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</t>
    </r>
  </si>
  <si>
    <t>R4A is used for ranges 5 to 1 inclusive</t>
  </si>
  <si>
    <t>R4B is used on range 6 only</t>
  </si>
  <si>
    <t>R4C is used on range 7 only</t>
  </si>
  <si>
    <r>
      <t>a</t>
    </r>
    <r>
      <rPr>
        <b/>
        <sz val="10"/>
        <rFont val="Arial"/>
        <family val="2"/>
      </rPr>
      <t xml:space="preserve"> correction</t>
    </r>
  </si>
  <si>
    <r>
      <t>b</t>
    </r>
    <r>
      <rPr>
        <b/>
        <sz val="10"/>
        <rFont val="Arial"/>
        <family val="2"/>
      </rPr>
      <t xml:space="preserve"> correction</t>
    </r>
  </si>
  <si>
    <t>1Z</t>
  </si>
  <si>
    <t>2Z</t>
  </si>
  <si>
    <t>3Z</t>
  </si>
  <si>
    <t>4Z</t>
  </si>
  <si>
    <t>5Z</t>
  </si>
  <si>
    <t>6Z</t>
  </si>
  <si>
    <t>7Z</t>
  </si>
  <si>
    <t>1Y</t>
  </si>
  <si>
    <t>2Y</t>
  </si>
  <si>
    <t>4Y</t>
  </si>
  <si>
    <t>Unit Multiplier</t>
  </si>
  <si>
    <t>Multiplier (C&amp;L)</t>
  </si>
  <si>
    <t>Unit Name</t>
  </si>
  <si>
    <t>Multiplier (G&amp;R)</t>
  </si>
  <si>
    <r>
      <t>m</t>
    </r>
    <r>
      <rPr>
        <sz val="12"/>
        <rFont val="Symbol"/>
        <family val="1"/>
        <charset val="2"/>
      </rPr>
      <t>W</t>
    </r>
  </si>
  <si>
    <t>W</t>
  </si>
  <si>
    <t>ohm</t>
  </si>
  <si>
    <t>H</t>
  </si>
  <si>
    <r>
      <t>k</t>
    </r>
    <r>
      <rPr>
        <sz val="12"/>
        <rFont val="Symbol"/>
        <family val="1"/>
        <charset val="2"/>
      </rPr>
      <t>W</t>
    </r>
  </si>
  <si>
    <t>mS</t>
  </si>
  <si>
    <t>nF</t>
  </si>
  <si>
    <t>pF</t>
  </si>
  <si>
    <t>Model for uncertainty calculation.</t>
  </si>
  <si>
    <t>Loss angle</t>
  </si>
  <si>
    <t>Base on formula for Universal bridge....ie assign an uncertainty to each term.</t>
  </si>
  <si>
    <t xml:space="preserve">ac/dc error of standards </t>
  </si>
  <si>
    <t>5ppm considered two sigma limit, essentially relying on dc values of resistors</t>
  </si>
  <si>
    <t>dial linearity</t>
  </si>
  <si>
    <t>1 ppm of full scale</t>
  </si>
  <si>
    <t>amplifier/ratio</t>
  </si>
  <si>
    <t>temperature coefficient of resistors</t>
  </si>
  <si>
    <t>depends on matching of Vishay components</t>
  </si>
  <si>
    <t>temperature coefficient of capacitor</t>
  </si>
  <si>
    <t>2 ppm per degree for capacitor</t>
  </si>
  <si>
    <t>component stability</t>
  </si>
  <si>
    <t>resolution</t>
  </si>
  <si>
    <t>this might be range and frequency dependent</t>
  </si>
  <si>
    <t>expanded u (counts)</t>
  </si>
  <si>
    <t>2/ Phase angle assumed small, ie no dial interaction.</t>
  </si>
  <si>
    <r>
      <t>3/ Con</t>
    </r>
    <r>
      <rPr>
        <sz val="10"/>
        <rFont val="Arial"/>
        <family val="2"/>
      </rPr>
      <t>sist</t>
    </r>
    <r>
      <rPr>
        <sz val="10"/>
        <rFont val="Arial"/>
        <family val="2"/>
      </rPr>
      <t xml:space="preserve">ent with 1984 </t>
    </r>
    <r>
      <rPr>
        <sz val="10"/>
        <rFont val="Arial"/>
        <family val="2"/>
      </rPr>
      <t>calibration</t>
    </r>
    <r>
      <rPr>
        <sz val="10"/>
        <rFont val="Arial"/>
        <family val="2"/>
      </rPr>
      <t>, the IEEE paper and recent complement checks</t>
    </r>
  </si>
  <si>
    <t>-</t>
  </si>
  <si>
    <t>based on standard deviation of 1984 determinations, 160 counts (16 ppm) for C at full scale</t>
  </si>
  <si>
    <t>stability of resistors only</t>
  </si>
  <si>
    <t>ubridge uncertainty</t>
  </si>
  <si>
    <t>temperature coefficient</t>
  </si>
  <si>
    <t xml:space="preserve">Expanded </t>
  </si>
  <si>
    <t>uncertainty</t>
  </si>
  <si>
    <t>bridge calibration, using HP3458 as transfer instrument</t>
  </si>
  <si>
    <t>change</t>
  </si>
  <si>
    <t>(milliradian)</t>
  </si>
  <si>
    <t>UBII</t>
  </si>
  <si>
    <t>bridge calibration, using HP3458 as transfer instrument: Range 5Y problem fixed</t>
  </si>
  <si>
    <t>bridge calibration, using HP3458 as transfer instrument: Range 5Y problem REALLY fixed</t>
  </si>
  <si>
    <t>remeasure capacitor, same dc resistance values as for 22/01/04</t>
  </si>
  <si>
    <t>correction_c</t>
  </si>
  <si>
    <t>Latest comment</t>
  </si>
  <si>
    <t>Increase from 2 to 5 ppm to account for short-term instability of 1000 pF capacitor</t>
  </si>
  <si>
    <t>G</t>
  </si>
  <si>
    <t>Frequency</t>
  </si>
  <si>
    <t>Hz</t>
  </si>
  <si>
    <t>GR1000A</t>
  </si>
  <si>
    <t>bridge calibration, following MSLT.E.023.004.  Uncertainties have increased.</t>
  </si>
  <si>
    <t>Client</t>
  </si>
  <si>
    <t>Job number</t>
  </si>
  <si>
    <t>S Number</t>
  </si>
  <si>
    <t>Template for decade and individual capacitors measured on Universal Bridge</t>
  </si>
  <si>
    <t>Checked by:</t>
  </si>
  <si>
    <t>uC</t>
  </si>
  <si>
    <t>delta</t>
  </si>
  <si>
    <t>Start with S21580a</t>
  </si>
  <si>
    <t>Copy 'Universal Bridge' from most recent S21814 for RLC standards.</t>
  </si>
  <si>
    <t>Update history page for easier plotting.</t>
  </si>
  <si>
    <t>New UB calibrations need to be entered in Data block and accessed through the Date</t>
  </si>
  <si>
    <t>&lt;10</t>
  </si>
  <si>
    <t>except for range  4, up to 44?</t>
  </si>
  <si>
    <t>assume negligible c,d</t>
  </si>
  <si>
    <t>(G3=1/R4*)</t>
  </si>
  <si>
    <t>UBIII</t>
  </si>
  <si>
    <t>bridge calibration, following MSLT.E.023.004/5.  Uncertainties have increased slightly from 2005.</t>
  </si>
  <si>
    <t>Symbol font versions</t>
  </si>
  <si>
    <t>Plain version</t>
  </si>
  <si>
    <t>CMC n for L</t>
  </si>
  <si>
    <t>CMC m for R</t>
  </si>
  <si>
    <t>microH</t>
  </si>
  <si>
    <t>milliohm</t>
  </si>
  <si>
    <r>
      <t>m</t>
    </r>
    <r>
      <rPr>
        <sz val="12"/>
        <rFont val="Palatino"/>
        <family val="1"/>
      </rPr>
      <t>H</t>
    </r>
  </si>
  <si>
    <t>milliH</t>
  </si>
  <si>
    <t>mH</t>
  </si>
  <si>
    <t>kilohm</t>
  </si>
  <si>
    <t>microF</t>
  </si>
  <si>
    <t>milliS</t>
  </si>
  <si>
    <r>
      <t>m</t>
    </r>
    <r>
      <rPr>
        <sz val="12"/>
        <rFont val="Palatino"/>
        <family val="1"/>
      </rPr>
      <t>F</t>
    </r>
  </si>
  <si>
    <t>microS</t>
  </si>
  <si>
    <r>
      <t>m</t>
    </r>
    <r>
      <rPr>
        <sz val="12"/>
        <rFont val="Palatino"/>
        <family val="1"/>
      </rPr>
      <t>S</t>
    </r>
  </si>
  <si>
    <t>Carefully redefine critical block names.</t>
  </si>
  <si>
    <t>Item</t>
  </si>
  <si>
    <t>10 pF</t>
  </si>
  <si>
    <t>1 pF</t>
  </si>
  <si>
    <t>Alter label structure on Results page, could try to use vlookup to find range zeros on UniversalBridge sheet?</t>
  </si>
  <si>
    <t>Parameters dependent on component</t>
  </si>
  <si>
    <t>This is a data table with B9 as the column input cell.</t>
  </si>
  <si>
    <t>CMC</t>
  </si>
  <si>
    <t>IANZ</t>
  </si>
  <si>
    <t>This must be re-calculated with new data sets.</t>
  </si>
  <si>
    <t>The component label is the key variable for the table</t>
  </si>
  <si>
    <t>R alpha</t>
  </si>
  <si>
    <t>u_R alpha</t>
  </si>
  <si>
    <t>L/C alpha</t>
  </si>
  <si>
    <t>u_L/C alpha</t>
  </si>
  <si>
    <t>Aux L</t>
  </si>
  <si>
    <t>Aux R</t>
  </si>
  <si>
    <t>L/C uncertainty</t>
  </si>
  <si>
    <t>L/C</t>
  </si>
  <si>
    <t>mult</t>
  </si>
  <si>
    <t>n</t>
  </si>
  <si>
    <t>R/G</t>
  </si>
  <si>
    <t>m</t>
  </si>
  <si>
    <t>f</t>
  </si>
  <si>
    <t>CMC/U</t>
  </si>
  <si>
    <t>Component label</t>
  </si>
  <si>
    <t>Universal bridge reactance uncertainty</t>
  </si>
  <si>
    <t>for</t>
  </si>
  <si>
    <t xml:space="preserve"> u (counts)</t>
  </si>
  <si>
    <t>based on scatter of results in 1984, increased in 2004 and 2005</t>
  </si>
  <si>
    <t xml:space="preserve">Previous value was 7 ppm, now increased to 17 ppm to acount for errors on RHS of bridge.  </t>
  </si>
  <si>
    <t>some doubt on stability of capacitor in particular, increased in 2004</t>
  </si>
  <si>
    <t>16 ppm of resistance dial setting, see comment for resistance, reduced to 5 ppm after 2004 cal</t>
  </si>
  <si>
    <t>Link to conductance setting, previously just 2 counts</t>
  </si>
  <si>
    <t>Previous was 2, use latest value from MSLT.E.023.005, 200/f</t>
  </si>
  <si>
    <t>u combined (counts)</t>
  </si>
  <si>
    <t>1/ For all frequencies.  Additional noise typical at 50 Hz needs to be added</t>
  </si>
  <si>
    <t>4/ Updated following 2004/5 UB calibration, see AUDIREGC</t>
  </si>
  <si>
    <t>Universal bridge resistance uncertainty</t>
  </si>
  <si>
    <t>conductance dial setting</t>
  </si>
  <si>
    <t>all references to the conductance dial are now to cell D34 (previously separate lookups back to results page)</t>
  </si>
  <si>
    <t>Previous was 16, use latest value of 5 from MSLT.E.023.005</t>
  </si>
  <si>
    <t xml:space="preserve">Previous value was 2, now decreased to 1 ppm following MSLT.E023.005 </t>
  </si>
  <si>
    <t>this might be dependent on frequency and range, included below, increased from 0 to 1 in 2006, now 2000/f</t>
  </si>
  <si>
    <t>based on scatter of results in 1984, increased following 2004 and 2005 calibration</t>
  </si>
  <si>
    <t xml:space="preserve">Previous value was 1, now increased to 2 ppm following MSLT.E023.005 </t>
  </si>
  <si>
    <t>1/ This scatter is consistent with Thompson's phase standards.</t>
  </si>
  <si>
    <t>2/ Updated following 200/54 UB calibration see AUDIREGC</t>
  </si>
  <si>
    <t>ubridge count uncertainty</t>
  </si>
  <si>
    <t>3 month drift in resistance</t>
  </si>
  <si>
    <t xml:space="preserve">assume u_t = 0.5 degree </t>
  </si>
  <si>
    <t>C uncert = (0.2/f +22C) pF with C in microF, f in Hz</t>
  </si>
  <si>
    <t>1/</t>
  </si>
  <si>
    <t>3 month drift of standard</t>
  </si>
  <si>
    <t>u combined (count)</t>
  </si>
  <si>
    <t>expanded u (count)</t>
  </si>
  <si>
    <t>Replace uncertainty sheet with the uncertainty sheet from S21814</t>
  </si>
  <si>
    <t>R/G uncertainty</t>
  </si>
  <si>
    <t>AH2700A</t>
  </si>
  <si>
    <t>ppm</t>
  </si>
  <si>
    <t>L/C dial setting</t>
  </si>
  <si>
    <t>G/R error due to phase error in L/C</t>
  </si>
  <si>
    <t>L/C error due to phase error in R/G</t>
  </si>
  <si>
    <t>mrad</t>
  </si>
  <si>
    <t>Alter treatment of range 7Y and 6Y by applying corrections as at bottom of Results sheet</t>
  </si>
  <si>
    <t>Modify Report to pick up corrected results</t>
  </si>
  <si>
    <t>delta uncert = 0.000027+0.00027/C</t>
  </si>
  <si>
    <t>C uncert = 0.2/f+22C</t>
  </si>
  <si>
    <t>Now return to 16 to stay consistent with CMCS</t>
  </si>
  <si>
    <t>Increase to 5 for 2011 measurements.</t>
  </si>
  <si>
    <t>Start with S21815.xls</t>
  </si>
  <si>
    <t>As S21815.xls</t>
  </si>
  <si>
    <t>As S21942.xlsx</t>
  </si>
  <si>
    <t>bridge calibration, following MSLT.E.023.006.  Uncertainties unchanged from 2009.</t>
  </si>
  <si>
    <t>Enter Ubridge calibration data of 7/7/14</t>
  </si>
  <si>
    <t>Add graph history of UB cal constants,  just for interest.</t>
  </si>
  <si>
    <t>Delays in calibrating the UB (and repairing the permutable) are the reason for having the standards so long, and hence measuring them twice.</t>
  </si>
  <si>
    <t>Range 7 results remain a problem for loss angle measurements, see 'Range7' worksheet.</t>
  </si>
  <si>
    <t>Range 7 was a design afterthought on the Universal Bridge and is expected to perform less well than the other ranges.</t>
  </si>
  <si>
    <t>Consider the 2014 calibration of the UB that has, for the first time, included a 1 M Vishay in the calibration.</t>
  </si>
  <si>
    <t>We have no resistance phase standard for range 7.</t>
  </si>
  <si>
    <t>At 1.6 kHz the G and R ac-dc differences look OK at -10.5 and 0.3 ppm respectively (using the same 'c' correction as for all other ranges, see 'Resistors' page).</t>
  </si>
  <si>
    <t>The 1 M Vishay gives a reading of -35 mH, which is much larger than the intrinsic &lt;0.08 uH, but consistent with a mere 0.035 pF in parallel with the 1 M resistor</t>
  </si>
  <si>
    <t>GR100 is measured ('L and C' sheet) to have a 144 urad loss angle.</t>
  </si>
  <si>
    <t>AH2700 measures</t>
  </si>
  <si>
    <t>urad for GR100 (see p.23 of UB III)</t>
  </si>
  <si>
    <t>Calc cap  suggests</t>
  </si>
  <si>
    <t>urad for GR100 (see Y:\Ongoing\Farad\CalcCap\Cap2014\Simple_buildup_July2014.xls)</t>
  </si>
  <si>
    <t>Item 1 gives basic confidence of ratio performance.</t>
  </si>
  <si>
    <t>Item 2 is inconclusive.</t>
  </si>
  <si>
    <t>Items 3 to 5 suggest a correction is required for phase on Range 7Y of the UB.</t>
  </si>
  <si>
    <t>AH2700</t>
  </si>
  <si>
    <t>Unfortunately the difference in loss angles measured by the UB in July and August exceed the estimated uncertainty.</t>
  </si>
  <si>
    <t>It is possible that the phase of the UB's 1 M internal standard was changed during the July calibration (physical knock?)</t>
  </si>
  <si>
    <t>Universal Bridge</t>
  </si>
  <si>
    <t>Therefore it seems prudent to rely on the AH2700 for the loss angle of capacitors below 1 nF.</t>
  </si>
  <si>
    <t>See AH2700 manual page C-6 (appendix C), 'Accuracy of D vs. Frequency' graph</t>
  </si>
  <si>
    <t>100 pF/ 1 nF</t>
  </si>
  <si>
    <t>6 urad</t>
  </si>
  <si>
    <t>4 urad</t>
  </si>
  <si>
    <t>3 urad</t>
  </si>
  <si>
    <t>D accuracy</t>
  </si>
  <si>
    <t>These are a factor of 10 or more better than our UB based CMCs.</t>
  </si>
  <si>
    <t>Therefore use AH2700 results, but UB uncertainties (for CMC compliance).</t>
  </si>
  <si>
    <t>Therefore for reporting loss angle for the 1, 10 and 100 pF capacitors, use AH2700 results with UB uncertainties (for CMC compliance).</t>
  </si>
  <si>
    <t>As there is doubt about the 1 June loss angle measurements, only the 12 August results are reported</t>
  </si>
  <si>
    <t>As S21959</t>
  </si>
  <si>
    <t>Start with S21942b.xls as an up to date UB calculator for capacitance and loss angle</t>
  </si>
  <si>
    <t xml:space="preserve">Reference S21745_v3.xls for structure of previous calibration of the Olex capacitance box </t>
  </si>
  <si>
    <t>S21959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</si>
  <si>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</si>
  <si>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</si>
  <si>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</si>
  <si>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</si>
  <si>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</si>
  <si>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</si>
  <si>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</si>
  <si>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</si>
  <si>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</si>
  <si>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</si>
  <si>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</si>
  <si>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</si>
  <si>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</si>
  <si>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</si>
  <si>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</si>
  <si>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</si>
  <si>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</si>
  <si>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</si>
  <si>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C2</t>
  </si>
  <si>
    <t>C3</t>
  </si>
  <si>
    <t>C4</t>
  </si>
  <si>
    <t>C5</t>
  </si>
  <si>
    <t>C6</t>
  </si>
  <si>
    <t>C7</t>
  </si>
  <si>
    <t>C8</t>
  </si>
  <si>
    <t>C9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</si>
  <si>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</si>
  <si>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</si>
  <si>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</si>
  <si>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</si>
  <si>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</si>
  <si>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</si>
  <si>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</si>
  <si>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</si>
  <si>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</si>
  <si>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E0</t>
  </si>
  <si>
    <t>E4</t>
  </si>
  <si>
    <t>E5</t>
  </si>
  <si>
    <t>E6</t>
  </si>
  <si>
    <t>E7</t>
  </si>
  <si>
    <t>E8</t>
  </si>
  <si>
    <t>E9</t>
  </si>
  <si>
    <t>E10</t>
  </si>
  <si>
    <t>Modify labels in results, labelling box with dials A to E (slightly different from S21745)</t>
  </si>
  <si>
    <t>Update Zeros table in 'Universal Bridge' to pick up correct zeros from 'Results' page</t>
  </si>
  <si>
    <t>Note that E0 and D0 will likely have had a dial movement and so would not be identical</t>
  </si>
  <si>
    <t>Use trick of labelling with a slightly different frequency!!</t>
  </si>
  <si>
    <t>Dial</t>
  </si>
  <si>
    <t>Setting</t>
  </si>
  <si>
    <t>1pF</t>
  </si>
  <si>
    <t>DIV</t>
  </si>
  <si>
    <t>'100'</t>
  </si>
  <si>
    <t>100pF</t>
  </si>
  <si>
    <t>STEPS</t>
  </si>
  <si>
    <t>X</t>
  </si>
  <si>
    <t>1000pF</t>
  </si>
  <si>
    <t>0.01mF</t>
  </si>
  <si>
    <t>0.1mF</t>
  </si>
  <si>
    <t>All dials</t>
  </si>
  <si>
    <t>E06Y</t>
  </si>
  <si>
    <t>E16Y</t>
  </si>
  <si>
    <t>E26Y</t>
  </si>
  <si>
    <t>E36Y</t>
  </si>
  <si>
    <t>E46Y</t>
  </si>
  <si>
    <t>E56Y</t>
  </si>
  <si>
    <t>E66Y</t>
  </si>
  <si>
    <t>E76Y</t>
  </si>
  <si>
    <t>E86Y</t>
  </si>
  <si>
    <t>E96Y</t>
  </si>
  <si>
    <t>E106Y</t>
  </si>
  <si>
    <t>D16Y</t>
  </si>
  <si>
    <t>D26Y</t>
  </si>
  <si>
    <t>D36Y</t>
  </si>
  <si>
    <t>D46Y</t>
  </si>
  <si>
    <t>D56Y</t>
  </si>
  <si>
    <t>D66Y</t>
  </si>
  <si>
    <t>D76Y</t>
  </si>
  <si>
    <t>D86Y</t>
  </si>
  <si>
    <t>D96Y</t>
  </si>
  <si>
    <t>D106Y</t>
  </si>
  <si>
    <t>Build report page afresh, copying format from S21745.</t>
  </si>
  <si>
    <t>UB1000 jump</t>
  </si>
  <si>
    <t>AH2700 readings</t>
  </si>
  <si>
    <t>increase</t>
  </si>
  <si>
    <t>New value for UB1000 inserted in 'Unversal Bridge' sheet. Result of likely step change, see p.33 of UBIII</t>
  </si>
  <si>
    <t>shift in C1, likely due to shifting of UB to power lab while air con ducting being worked on.</t>
  </si>
  <si>
    <t>coaxial zero</t>
  </si>
  <si>
    <t>Connection definition</t>
  </si>
  <si>
    <t>Use 'connection definition' uncertainty as in S21745.</t>
  </si>
  <si>
    <t>Set capacitance temperature coefficient uncertainty as 70 ppm one sigma, based on manufacture's claim that coefficient is -140 ppm.</t>
  </si>
  <si>
    <t>series resistance</t>
  </si>
  <si>
    <t>a series R will map to a conductance, worst case 10 milliohm in series, G = (wC)^2*R</t>
  </si>
  <si>
    <t>range</t>
  </si>
  <si>
    <t>cap</t>
  </si>
  <si>
    <t>Cmult</t>
  </si>
  <si>
    <t>Gmult</t>
  </si>
  <si>
    <t>unit mult</t>
  </si>
  <si>
    <t>Formula for series resistance mapping as conductance brought into uncertainty from S21745</t>
  </si>
  <si>
    <t>.Dial</t>
  </si>
  <si>
    <t>t</t>
  </si>
  <si>
    <t>delta C</t>
  </si>
  <si>
    <t>delta G</t>
  </si>
  <si>
    <t>deg celsius</t>
  </si>
  <si>
    <t>report</t>
  </si>
  <si>
    <t>uncert</t>
  </si>
  <si>
    <t>En</t>
  </si>
  <si>
    <t>Note</t>
  </si>
  <si>
    <t>The dials each use 4 capacitors with values 1, 2, 2 and 5.</t>
  </si>
  <si>
    <t>1+2</t>
  </si>
  <si>
    <t>2+2</t>
  </si>
  <si>
    <t>1</t>
  </si>
  <si>
    <t>2</t>
  </si>
  <si>
    <t>1+2+2</t>
  </si>
  <si>
    <t>1+5</t>
  </si>
  <si>
    <t>2+5</t>
  </si>
  <si>
    <t>1+2+5</t>
  </si>
  <si>
    <t>2+2+5</t>
  </si>
  <si>
    <t>1+2+2+5</t>
  </si>
  <si>
    <t>All dial settings that include the single 100 pF cap (highlighted in red) have an 'excess' G of about 0.2 nS</t>
  </si>
  <si>
    <t>So might have once had 0.05 nS for the 100 pF (additional to box zero), but now have 0.3 nS.</t>
  </si>
  <si>
    <t>ohms additional leakage across the capacitor could account for the change.</t>
  </si>
  <si>
    <t>100 pF dial</t>
  </si>
  <si>
    <t>UB1000 measurement from p.33 of UBIII</t>
  </si>
  <si>
    <t>The UB calculation does not assume a 50 urad phase for UB1000</t>
  </si>
  <si>
    <t>Long leads might compromise the AH2700A measurement of UB1000 loss angle.</t>
  </si>
  <si>
    <t>AH2700-report</t>
  </si>
  <si>
    <t>AH2700Results carries the AH2700 measurements of the 100 pF/step and 1pF/div dial.</t>
  </si>
  <si>
    <t>1pF DIV</t>
  </si>
  <si>
    <t>1000 pF step</t>
  </si>
  <si>
    <t>100 pF step</t>
  </si>
  <si>
    <t>Cu jig</t>
  </si>
  <si>
    <t>zero if AH used for report</t>
  </si>
  <si>
    <t>Report page now selectively uses AH2700 results for phase angle for 100 pF dial down.</t>
  </si>
  <si>
    <t>Update RoomLogger sheet from Planck1 logging system.</t>
  </si>
  <si>
    <t>.01mF</t>
  </si>
  <si>
    <t>2004 report</t>
  </si>
  <si>
    <r>
      <t>0.01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F</t>
    </r>
  </si>
  <si>
    <r>
      <t>0.1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F</t>
    </r>
  </si>
  <si>
    <t>2009 report</t>
  </si>
  <si>
    <t>S21745</t>
  </si>
  <si>
    <t>E36040128</t>
  </si>
  <si>
    <t>S21567</t>
  </si>
  <si>
    <t>E7140017</t>
  </si>
  <si>
    <t>S21341</t>
  </si>
  <si>
    <t>E73015</t>
  </si>
  <si>
    <t>1999 report</t>
  </si>
  <si>
    <t>0.01µF</t>
  </si>
  <si>
    <t>0.1µF</t>
  </si>
  <si>
    <t>2015 report</t>
  </si>
  <si>
    <t>E96040236</t>
  </si>
  <si>
    <t>D</t>
  </si>
  <si>
    <t>uD</t>
  </si>
  <si>
    <t>GRhistory page now set up to display history graph for each setting by entering the dial label in the highlighted box.</t>
  </si>
  <si>
    <t>Conditions page just summarises temp and humidity.</t>
  </si>
  <si>
    <t>temperature</t>
  </si>
  <si>
    <t>RH</t>
  </si>
  <si>
    <t>Starting with S21959final</t>
  </si>
  <si>
    <t>Note there is no need to invoke AH2700 for mesurements on Muirhead caps (500 pF to 1 microF)</t>
  </si>
  <si>
    <t>Babcock</t>
  </si>
  <si>
    <t>Look to match notation of previous S21759_post_check.xls in 2010 where possible.</t>
  </si>
  <si>
    <t>Range Label</t>
  </si>
  <si>
    <t>differentzero</t>
  </si>
  <si>
    <t>Differentzero</t>
  </si>
  <si>
    <t>C1 jumped?</t>
  </si>
  <si>
    <t>C1 settled</t>
  </si>
  <si>
    <t>KJLabDiary1</t>
  </si>
  <si>
    <t>C1 appears to have recovered</t>
  </si>
  <si>
    <t>Modify (again) the labels for zero pickup in 'Universal Bridge' page. Now use 'differentzero' column to differentiate rather than previous fiddling with frequency.</t>
  </si>
  <si>
    <t>New value for UB1000 inserted in 'Unversal Bridge' sheet. Result of likely step change, see p.239 of KJ lab diary 1</t>
  </si>
  <si>
    <t>Nominal</t>
  </si>
  <si>
    <t>Formatting of result table modified to put all values in nF and to comply with decimal point alignment and minimalist use of lines</t>
  </si>
  <si>
    <t>Review uncertainty specific to Muirhead specifications.</t>
  </si>
  <si>
    <t>Conductance uncertainty for Muirhead capacitors</t>
  </si>
  <si>
    <t>Reactance uncertainty for Muirhead capacitors</t>
  </si>
  <si>
    <t>assume 0.5 deg at one sigma and look up the temp coefficient, 50 ppm for the temp coefficient (ref. Kibble &amp;Rayner p. 61)</t>
  </si>
  <si>
    <t>0.1 pF for all capacitors at 2 sigma level, see AI V 1/11/95</t>
  </si>
  <si>
    <t>Connection definition changed to 0.1 pF/2, as in S21759 (but note that S21759 was still using % rather than counts).</t>
  </si>
  <si>
    <t>As S21986MuirheadCaps2016</t>
  </si>
  <si>
    <t>Loss Angle</t>
  </si>
  <si>
    <t>Uncertainty</t>
  </si>
  <si>
    <t>S21438</t>
  </si>
  <si>
    <t>Nominal Value</t>
  </si>
  <si>
    <t>Coverage</t>
  </si>
  <si>
    <t>Factor</t>
  </si>
  <si>
    <t>(milliradians)</t>
  </si>
  <si>
    <t>1 mF</t>
  </si>
  <si>
    <t>100 nF</t>
  </si>
  <si>
    <t>10 nF</t>
  </si>
  <si>
    <t>1 nF</t>
  </si>
  <si>
    <t>500 pF</t>
  </si>
  <si>
    <t>mF</t>
  </si>
  <si>
    <t>All GMH5I readings</t>
  </si>
  <si>
    <t>Room</t>
  </si>
  <si>
    <t>Temp</t>
  </si>
  <si>
    <t>S22012</t>
  </si>
  <si>
    <t xml:space="preserve"> Value</t>
  </si>
  <si>
    <t>S21283</t>
  </si>
  <si>
    <t>S21584</t>
  </si>
  <si>
    <t>Nominal value</t>
  </si>
  <si>
    <t>Expanded 
uncertainty</t>
  </si>
  <si>
    <t>Coverage
factor</t>
  </si>
  <si>
    <t>Loss angle
(milliradians)</t>
  </si>
  <si>
    <t>Expanded 
uncertainty
(milliradians)</t>
  </si>
  <si>
    <t>100nF</t>
  </si>
  <si>
    <t>10nF</t>
  </si>
  <si>
    <t>1nF</t>
  </si>
  <si>
    <t>500pF</t>
  </si>
  <si>
    <t>1mF</t>
  </si>
  <si>
    <t>partial calibration</t>
  </si>
  <si>
    <t>Partial recalibration</t>
  </si>
  <si>
    <t>Capacitors</t>
  </si>
  <si>
    <t>1 sigma uncertainties from specifications</t>
  </si>
  <si>
    <t>Data from lab book</t>
  </si>
  <si>
    <t>Data from specifications and other sources</t>
  </si>
  <si>
    <t>Nominal Frequency</t>
  </si>
  <si>
    <t>xdial</t>
  </si>
  <si>
    <t>rdial</t>
  </si>
  <si>
    <t>Temperature</t>
  </si>
  <si>
    <t>u</t>
  </si>
  <si>
    <t>df</t>
  </si>
  <si>
    <t>Temp coeff R</t>
  </si>
  <si>
    <t>Other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</si>
  <si>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</si>
  <si>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coax zero</t>
  </si>
  <si>
    <t>xDial</t>
  </si>
  <si>
    <t>rDial</t>
  </si>
  <si>
    <t>frequency</t>
  </si>
  <si>
    <t>utemp</t>
  </si>
  <si>
    <t>dftemp</t>
  </si>
  <si>
    <t>alphax</t>
  </si>
  <si>
    <t>ualphax</t>
  </si>
  <si>
    <t>dfalphax</t>
  </si>
  <si>
    <t>alphar</t>
  </si>
  <si>
    <t>ualphar</t>
  </si>
  <si>
    <t>dfalphr</t>
  </si>
  <si>
    <t>x</t>
  </si>
  <si>
    <t>ux</t>
  </si>
  <si>
    <t>kx</t>
  </si>
  <si>
    <t>r</t>
  </si>
  <si>
    <t>ur</t>
  </si>
  <si>
    <t>kr</t>
  </si>
  <si>
    <t>cmcx</t>
  </si>
  <si>
    <t>cmcr</t>
  </si>
  <si>
    <t>ux/cmcx</t>
  </si>
  <si>
    <t>ur/cmcr</t>
  </si>
  <si>
    <t>label</t>
  </si>
  <si>
    <t>Differences</t>
  </si>
  <si>
    <t>As S21960</t>
  </si>
  <si>
    <t>Start with S1959final (for capacitance) as most up to date UB corrections etc.</t>
  </si>
  <si>
    <t>Look to S21784checkedTJS for report formatting for the Muirhead inductors.</t>
  </si>
  <si>
    <t>Results page has inductance data entered with suitable labels for processing.</t>
  </si>
  <si>
    <t>Universal Bridge page points to the relevant zeros in the Results page for these decade inductors.</t>
  </si>
  <si>
    <t>Insert Lreport page based on S21784 report format.</t>
  </si>
  <si>
    <t>Change uncertainty to point to ub_uncertainty block.</t>
  </si>
  <si>
    <t>Use the new labels consistent with the Results page</t>
  </si>
  <si>
    <t>Add Lhistory page to capture trends</t>
  </si>
  <si>
    <t>Uncertainty, row 61 effect of series resistance on loss angle of a capacitor</t>
  </si>
  <si>
    <t>Enter copper temperature coefficient in the parameters block</t>
  </si>
  <si>
    <t>Did not add 3 month change as an uncertainty (c.f.S21784). Assume client will monitor history/stability.</t>
  </si>
  <si>
    <t>Add CMC for inductors block at far right of Uncertainty page.</t>
  </si>
  <si>
    <t>Capacitor worksheets grouped away from inductor worksheets.</t>
  </si>
  <si>
    <t>As S1997</t>
  </si>
  <si>
    <t>Transition to python analysis</t>
  </si>
  <si>
    <t>Note that the item names 'coax zero' and 'coax open' are reserved names.</t>
  </si>
  <si>
    <t>There should be a zero/open for each range and nominal frequency that is used.</t>
  </si>
  <si>
    <t>The zero or open dial readings are calculated as an immittance to be subtracted from the measured immittances.</t>
  </si>
  <si>
    <t>In some cases there will be alternative zeros specific to the UUT that are subtracted instead.</t>
  </si>
  <si>
    <t>An essentially standalone python calculation takes data from 'pyUBreadings' to 'pyUBresults' from which a report is made in 'pyReport'.</t>
  </si>
  <si>
    <t>py4284readings' contains results from the HP4284 as a cross-check, but not contributing directly to the report.</t>
  </si>
  <si>
    <t>At the same time the data has also been copied into 'excelResults' and this has been processed, with minor updates, to give the report in 'Lreport'.</t>
  </si>
  <si>
    <t>This uses UB constants and calculation in the 'Universal Bridge' sheet, with uncertainties calculated in the 'Uncertainty' sheet.</t>
  </si>
  <si>
    <t>As S22012</t>
  </si>
  <si>
    <t>For the Babcock Muirhead capacitors.</t>
  </si>
  <si>
    <t>Post processing to cope with loss angle calculations and a 0.1 pF definition uncertainty.</t>
  </si>
  <si>
    <t>This has been merged with S21986 for the cross-check with previous Excel calculations (see 'ExcelCommentary').</t>
  </si>
  <si>
    <t>from GMH</t>
  </si>
  <si>
    <t>RH correction</t>
  </si>
  <si>
    <t>from Y:\Quality\TECHPROC\E058-Lab Air Cond\loggercalibration_2017.xls</t>
  </si>
  <si>
    <t>% difference from start</t>
  </si>
  <si>
    <t>S22013</t>
  </si>
  <si>
    <t>Babcock HP16380</t>
  </si>
  <si>
    <t>1000 pF</t>
  </si>
  <si>
    <t>AH11C</t>
  </si>
  <si>
    <t>100 pF</t>
  </si>
  <si>
    <t>AH11A</t>
  </si>
  <si>
    <t>set to zero for 4 terminal-pair definition</t>
  </si>
  <si>
    <t>Enter, say, 5 ppm as 5e-6</t>
  </si>
  <si>
    <t>Capacitance
(pF)</t>
  </si>
  <si>
    <t>Expanded Uncertainty
(pF)</t>
  </si>
  <si>
    <t>Measurements were also made with the AH2700 at 1591.5 Hz</t>
  </si>
  <si>
    <t>page 70 of AIVII</t>
  </si>
  <si>
    <t>tand</t>
  </si>
  <si>
    <t>Python</t>
  </si>
  <si>
    <t>Excel</t>
  </si>
  <si>
    <t>HISTORY</t>
  </si>
  <si>
    <t>ACC</t>
  </si>
  <si>
    <t>Instructions</t>
  </si>
  <si>
    <t>Select rows 24:33 and carry out "Insert Rows".  Copy cells in green block  A14:N22 and "Paste" to cells A24:N32. Copy cells in blue block and "Paste Special, Values" to green block A14:N22.</t>
  </si>
  <si>
    <r>
      <t>(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F) or (pF)</t>
    </r>
  </si>
  <si>
    <t>unc ppm</t>
  </si>
  <si>
    <t>Lookup Label</t>
  </si>
  <si>
    <t>Previous</t>
  </si>
  <si>
    <t>Current</t>
  </si>
  <si>
    <t>Days</t>
  </si>
  <si>
    <t>3 month change, ppm</t>
  </si>
  <si>
    <t>HP 16387A 1 µF</t>
  </si>
  <si>
    <t>HP 16386A 0.1 µF</t>
  </si>
  <si>
    <t>HP 16385A 0.01 µF</t>
  </si>
  <si>
    <t>HP 16384A 1000 pF</t>
  </si>
  <si>
    <t>HP 16383A 100 pF</t>
  </si>
  <si>
    <t>HP 16382A 10 pF</t>
  </si>
  <si>
    <t>HP 16381A 1 pF</t>
  </si>
  <si>
    <t>S21815</t>
  </si>
  <si>
    <t>(mF) or (pF)</t>
  </si>
  <si>
    <t>S21580</t>
  </si>
  <si>
    <t>S21385</t>
  </si>
  <si>
    <t>Component</t>
  </si>
  <si>
    <t>15/8/2000</t>
  </si>
  <si>
    <t>True C</t>
  </si>
  <si>
    <t>True G</t>
  </si>
  <si>
    <t>tan _</t>
  </si>
  <si>
    <t>µF</t>
  </si>
  <si>
    <t>µS</t>
  </si>
  <si>
    <t>Results 27 November 1997</t>
  </si>
  <si>
    <t>Capcitance</t>
  </si>
  <si>
    <t>Results 17 October 1995</t>
  </si>
  <si>
    <t>Results 5 August 1993</t>
  </si>
  <si>
    <t>Job</t>
  </si>
  <si>
    <t>Report S No.</t>
  </si>
  <si>
    <t>udelta</t>
  </si>
  <si>
    <t>S21942</t>
  </si>
  <si>
    <t>As S22013</t>
  </si>
  <si>
    <t>For the Babcock HP16380 sets.</t>
  </si>
  <si>
    <t>Adjust Excel uncertainty for 16380 temperature coefficients and to remove series resistance effect.</t>
  </si>
  <si>
    <t>Minor change to Python results to mix in AH2700A loss angle results.</t>
  </si>
  <si>
    <t>Python table points to pyUbesults as in S21997, i.e. no need for a special Python post processing.</t>
  </si>
  <si>
    <t>HP history updated.</t>
  </si>
  <si>
    <t>Higher python loss angle uncertainty due to including uncertainty from the zero, whereas Excel just subtracts the zero reading with no uncertainty.</t>
  </si>
  <si>
    <t>Temperature in pyUBresults forced to 20. This avoids Python trying to correct the roughly 21 degree results back to 20, but leaves the correct uncertainty.</t>
  </si>
  <si>
    <t>0 ohm</t>
  </si>
  <si>
    <t>Short</t>
  </si>
  <si>
    <t>0.1 ohm</t>
  </si>
  <si>
    <t>1 ohm</t>
  </si>
  <si>
    <t>10 ohm</t>
  </si>
  <si>
    <t>100 ohm</t>
  </si>
  <si>
    <t>1000 ohm</t>
  </si>
  <si>
    <t>10 k ohm</t>
  </si>
  <si>
    <t>100 k ohm</t>
  </si>
  <si>
    <t>100 micro</t>
  </si>
  <si>
    <t>100 milli</t>
  </si>
  <si>
    <t>Open</t>
  </si>
  <si>
    <t>Impedance</t>
  </si>
  <si>
    <t>Babcock HP16074A</t>
  </si>
  <si>
    <t>S22014</t>
  </si>
  <si>
    <t>Template for impedances</t>
  </si>
  <si>
    <t>Short53</t>
  </si>
  <si>
    <t>Short400</t>
  </si>
  <si>
    <t>Short1000</t>
  </si>
  <si>
    <t>0 ohm53</t>
  </si>
  <si>
    <t>0 ohm400</t>
  </si>
  <si>
    <t>0 ohm1000</t>
  </si>
  <si>
    <t>0.1 ohm53</t>
  </si>
  <si>
    <t>0.1 ohm400</t>
  </si>
  <si>
    <t>0.1 ohm1000</t>
  </si>
  <si>
    <t>1 ohm53</t>
  </si>
  <si>
    <t>1 ohm400</t>
  </si>
  <si>
    <t>1 ohm1000</t>
  </si>
  <si>
    <t>10 ohm53</t>
  </si>
  <si>
    <t>10 ohm400</t>
  </si>
  <si>
    <t>100 ohm400</t>
  </si>
  <si>
    <t>100 ohm53</t>
  </si>
  <si>
    <t>10 ohm1000</t>
  </si>
  <si>
    <t>100 ohm1000</t>
  </si>
  <si>
    <t>1000 ohm400</t>
  </si>
  <si>
    <t>1000 ohm1000</t>
  </si>
  <si>
    <t>10 k ohm53</t>
  </si>
  <si>
    <t>10 k ohm400</t>
  </si>
  <si>
    <t>100 k ohm400</t>
  </si>
  <si>
    <t>100 k ohm53</t>
  </si>
  <si>
    <t>10 k ohm1000</t>
  </si>
  <si>
    <t>100 k ohm1000</t>
  </si>
  <si>
    <t>Open53</t>
  </si>
  <si>
    <t>Open400</t>
  </si>
  <si>
    <t>Open1000</t>
  </si>
  <si>
    <t>100 micro1600</t>
  </si>
  <si>
    <t>100 milli1600</t>
  </si>
  <si>
    <t>SHORT</t>
  </si>
  <si>
    <t>0 Ω</t>
  </si>
  <si>
    <t>0.1 Ω</t>
  </si>
  <si>
    <t>1 Ω</t>
  </si>
  <si>
    <t>10 Ω</t>
  </si>
  <si>
    <t>100 Ω</t>
  </si>
  <si>
    <t>1 kΩ</t>
  </si>
  <si>
    <t>10 kΩ</t>
  </si>
  <si>
    <t>100 kΩ</t>
  </si>
  <si>
    <t>OPEN</t>
  </si>
  <si>
    <t>100 μH</t>
  </si>
  <si>
    <t>100 mH</t>
  </si>
  <si>
    <t>multiplier for R</t>
  </si>
  <si>
    <t>R</t>
  </si>
  <si>
    <t>uR</t>
  </si>
  <si>
    <t>multiplier for L</t>
  </si>
  <si>
    <t>L</t>
  </si>
  <si>
    <t>uL</t>
  </si>
  <si>
    <t>nom Freq</t>
  </si>
  <si>
    <t>Temp coeff L</t>
  </si>
  <si>
    <r>
      <t>Inductance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H)</t>
    </r>
  </si>
  <si>
    <r>
      <t>Expanded Uncertainty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H)</t>
    </r>
  </si>
  <si>
    <t>Module Name</t>
  </si>
  <si>
    <t>Frequency
(Hz)</t>
  </si>
  <si>
    <r>
      <t>Resistance
(m</t>
    </r>
    <r>
      <rPr>
        <sz val="10"/>
        <rFont val="Calibri"/>
        <family val="2"/>
      </rPr>
      <t>Ω)</t>
    </r>
  </si>
  <si>
    <r>
      <t>Resistance
(</t>
    </r>
    <r>
      <rPr>
        <sz val="10"/>
        <rFont val="Calibri"/>
        <family val="2"/>
      </rPr>
      <t>Ω)</t>
    </r>
  </si>
  <si>
    <r>
      <t>Expanded Uncertainty
(m</t>
    </r>
    <r>
      <rPr>
        <sz val="10"/>
        <rFont val="Calibri"/>
        <family val="2"/>
      </rPr>
      <t>Ω</t>
    </r>
    <r>
      <rPr>
        <sz val="10"/>
        <rFont val="Times New Roman"/>
        <family val="1"/>
      </rPr>
      <t>)</t>
    </r>
  </si>
  <si>
    <r>
      <t>Expanded Uncertainty
(</t>
    </r>
    <r>
      <rPr>
        <sz val="10"/>
        <rFont val="Calibri"/>
        <family val="2"/>
      </rPr>
      <t>Ω</t>
    </r>
    <r>
      <rPr>
        <sz val="10"/>
        <rFont val="Times New Roman"/>
        <family val="1"/>
      </rPr>
      <t>)</t>
    </r>
  </si>
  <si>
    <t>1000 ohm53</t>
  </si>
  <si>
    <r>
      <t>Conductance
(nS</t>
    </r>
    <r>
      <rPr>
        <sz val="10"/>
        <rFont val="Calibri"/>
        <family val="2"/>
      </rPr>
      <t>)</t>
    </r>
  </si>
  <si>
    <t>Expanded Uncertainty
(nS)</t>
  </si>
  <si>
    <t>Convert to C, -L/R^2</t>
  </si>
  <si>
    <t>coax 0</t>
  </si>
  <si>
    <t>coax open</t>
  </si>
  <si>
    <t>53_0 ohm</t>
  </si>
  <si>
    <t>400_0 ohm</t>
  </si>
  <si>
    <t>1000_0 ohm</t>
  </si>
  <si>
    <t>53_Short</t>
  </si>
  <si>
    <t>400_Short</t>
  </si>
  <si>
    <t>1000_Short</t>
  </si>
  <si>
    <t>53_coax 0</t>
  </si>
  <si>
    <t>400_coax 0</t>
  </si>
  <si>
    <t>1000_coax 0</t>
  </si>
  <si>
    <t>53_0.1 ohm</t>
  </si>
  <si>
    <t>400_0.1 ohm</t>
  </si>
  <si>
    <t>1000_0.1 ohm</t>
  </si>
  <si>
    <t>53_1 ohm</t>
  </si>
  <si>
    <t>400_1 ohm</t>
  </si>
  <si>
    <t>1000_1 ohm</t>
  </si>
  <si>
    <t>53_10 ohm</t>
  </si>
  <si>
    <t>400_10 ohm</t>
  </si>
  <si>
    <t>1000_10 ohm</t>
  </si>
  <si>
    <t>53_100 ohm</t>
  </si>
  <si>
    <t>400_100 ohm</t>
  </si>
  <si>
    <t>1000_100 ohm</t>
  </si>
  <si>
    <t>53_1000 ohm</t>
  </si>
  <si>
    <t>400_1000 ohm</t>
  </si>
  <si>
    <t>1000_1000 ohm</t>
  </si>
  <si>
    <t>53_10 k ohm</t>
  </si>
  <si>
    <t>400_10 k ohm</t>
  </si>
  <si>
    <t>1000_10 k ohm</t>
  </si>
  <si>
    <t>53_100 k ohm</t>
  </si>
  <si>
    <t>400_100 k ohm</t>
  </si>
  <si>
    <t>1000_100 k ohm</t>
  </si>
  <si>
    <t>1600_coax 0</t>
  </si>
  <si>
    <t>1600_100 micro</t>
  </si>
  <si>
    <t>1600_100 milli</t>
  </si>
  <si>
    <t>53_coax open</t>
  </si>
  <si>
    <t>400_coax open</t>
  </si>
  <si>
    <t>1000_coax open</t>
  </si>
  <si>
    <t>53_Open</t>
  </si>
  <si>
    <t>400_Open</t>
  </si>
  <si>
    <t>1000_Open</t>
  </si>
  <si>
    <t>Module</t>
  </si>
  <si>
    <t>Resistance</t>
  </si>
  <si>
    <t>Expanded
uncertainty</t>
  </si>
  <si>
    <t>Inductance</t>
  </si>
  <si>
    <t>(Hz)</t>
  </si>
  <si>
    <t>(Ω)</t>
  </si>
  <si>
    <t>(μH)</t>
  </si>
  <si>
    <t>1 k</t>
  </si>
  <si>
    <t>(kΩ)</t>
  </si>
  <si>
    <t>(pF)</t>
  </si>
  <si>
    <t>(nS)</t>
  </si>
  <si>
    <t>(kHz)</t>
  </si>
  <si>
    <t>(H)</t>
  </si>
  <si>
    <t>μ</t>
  </si>
  <si>
    <t>As S22014 for HP16074A R/L</t>
  </si>
  <si>
    <t>UB uncertainty for R had mistakenly multiplied by 10 on the R dial for ac-dc etc.</t>
  </si>
  <si>
    <t>As S22014</t>
  </si>
  <si>
    <t>note that the temperature coefficient for the quasi inductors (i.e. the capacitor) was measured in S21950 in November 2014</t>
  </si>
  <si>
    <t>Convert</t>
  </si>
  <si>
    <t>L to C</t>
  </si>
  <si>
    <t>=-L/R^2, pF</t>
  </si>
  <si>
    <t>Resistance
(mΩ)</t>
  </si>
  <si>
    <t>Expanded Uncertainty
(mΩ)</t>
  </si>
  <si>
    <t>Inductance
(µH)</t>
  </si>
  <si>
    <t>Expanded Uncertainty
(µH)</t>
  </si>
  <si>
    <t>Resistance
(Ω)</t>
  </si>
  <si>
    <t>Expanded Uncertainty
(Ω)</t>
  </si>
  <si>
    <t>Resistance
(kΩ)</t>
  </si>
  <si>
    <t>Expanded Uncertainty
(kΩ)</t>
  </si>
  <si>
    <t>Conductance
(nS)</t>
  </si>
  <si>
    <t>S21814</t>
  </si>
  <si>
    <t>2001 Values</t>
  </si>
  <si>
    <r>
      <t>(</t>
    </r>
    <r>
      <rPr>
        <sz val="11.95"/>
        <color indexed="8"/>
        <rFont val="Symbol"/>
        <family val="1"/>
        <charset val="2"/>
      </rPr>
      <t>W</t>
    </r>
    <r>
      <rPr>
        <sz val="11.95"/>
        <color indexed="8"/>
        <rFont val="Palatino"/>
        <family val="1"/>
      </rPr>
      <t>)</t>
    </r>
  </si>
  <si>
    <r>
      <t>(</t>
    </r>
    <r>
      <rPr>
        <sz val="11.95"/>
        <color indexed="8"/>
        <rFont val="Symbol"/>
        <family val="1"/>
        <charset val="2"/>
      </rPr>
      <t>m</t>
    </r>
    <r>
      <rPr>
        <sz val="11.95"/>
        <color indexed="8"/>
        <rFont val="Palatino"/>
        <family val="1"/>
      </rPr>
      <t>H)</t>
    </r>
  </si>
  <si>
    <t>(W)</t>
  </si>
  <si>
    <t>(mH)</t>
  </si>
  <si>
    <r>
      <t xml:space="preserve">0 </t>
    </r>
    <r>
      <rPr>
        <sz val="11.95"/>
        <color indexed="8"/>
        <rFont val="Symbol"/>
        <family val="1"/>
        <charset val="2"/>
      </rPr>
      <t>W</t>
    </r>
  </si>
  <si>
    <t>0 W</t>
  </si>
  <si>
    <r>
      <t xml:space="preserve">0.1 </t>
    </r>
    <r>
      <rPr>
        <sz val="11.95"/>
        <color indexed="8"/>
        <rFont val="Symbol"/>
        <family val="1"/>
        <charset val="2"/>
      </rPr>
      <t>W</t>
    </r>
  </si>
  <si>
    <t>0.1 W</t>
  </si>
  <si>
    <r>
      <t xml:space="preserve">1 </t>
    </r>
    <r>
      <rPr>
        <sz val="11.95"/>
        <color indexed="8"/>
        <rFont val="Symbol"/>
        <family val="1"/>
        <charset val="2"/>
      </rPr>
      <t>W</t>
    </r>
  </si>
  <si>
    <t>1 W</t>
  </si>
  <si>
    <r>
      <t xml:space="preserve">10 </t>
    </r>
    <r>
      <rPr>
        <sz val="11.95"/>
        <color indexed="8"/>
        <rFont val="Symbol"/>
        <family val="1"/>
        <charset val="2"/>
      </rPr>
      <t>W</t>
    </r>
  </si>
  <si>
    <t>10Ω</t>
  </si>
  <si>
    <t>10 W</t>
  </si>
  <si>
    <r>
      <t>100</t>
    </r>
    <r>
      <rPr>
        <sz val="11.95"/>
        <color indexed="8"/>
        <rFont val="Symbol"/>
        <family val="1"/>
        <charset val="2"/>
      </rPr>
      <t xml:space="preserve"> W</t>
    </r>
  </si>
  <si>
    <t>100 W</t>
  </si>
  <si>
    <t>1k</t>
  </si>
  <si>
    <r>
      <t>(k</t>
    </r>
    <r>
      <rPr>
        <sz val="11.95"/>
        <color indexed="8"/>
        <rFont val="Symbol"/>
        <family val="1"/>
        <charset val="2"/>
      </rPr>
      <t>W</t>
    </r>
    <r>
      <rPr>
        <sz val="11.95"/>
        <color indexed="8"/>
        <rFont val="Palatino"/>
        <family val="1"/>
      </rPr>
      <t>)</t>
    </r>
  </si>
  <si>
    <t>(kW)</t>
  </si>
  <si>
    <r>
      <t>1 k</t>
    </r>
    <r>
      <rPr>
        <sz val="11.95"/>
        <color indexed="8"/>
        <rFont val="Symbol"/>
        <family val="1"/>
        <charset val="2"/>
      </rPr>
      <t>W</t>
    </r>
  </si>
  <si>
    <t>1 kW</t>
  </si>
  <si>
    <r>
      <t>10 k</t>
    </r>
    <r>
      <rPr>
        <sz val="11.95"/>
        <color indexed="8"/>
        <rFont val="Symbol"/>
        <family val="1"/>
        <charset val="2"/>
      </rPr>
      <t>W</t>
    </r>
  </si>
  <si>
    <t>10 kW</t>
  </si>
  <si>
    <r>
      <t>100 k</t>
    </r>
    <r>
      <rPr>
        <sz val="11.95"/>
        <color indexed="8"/>
        <rFont val="Symbol"/>
        <family val="1"/>
        <charset val="2"/>
      </rPr>
      <t>W</t>
    </r>
  </si>
  <si>
    <t>100 kW</t>
  </si>
  <si>
    <r>
      <t xml:space="preserve">100 </t>
    </r>
    <r>
      <rPr>
        <sz val="11.95"/>
        <color indexed="8"/>
        <rFont val="Symbol"/>
        <family val="1"/>
        <charset val="2"/>
      </rPr>
      <t>m</t>
    </r>
    <r>
      <rPr>
        <sz val="11.95"/>
        <color indexed="8"/>
        <rFont val="Palatino"/>
        <family val="1"/>
      </rPr>
      <t>H</t>
    </r>
  </si>
  <si>
    <t>Reactance</t>
  </si>
  <si>
    <t>S21950</t>
  </si>
  <si>
    <t>GMHI1 readout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</si>
</sst>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164" formatCode="0.00000"/>
    <numFmt numFmtId="165" formatCode="0.000000"/>
    <numFmt numFmtId="166" formatCode="0E+00"/>
    <numFmt numFmtId="167" formatCode="0.000"/>
    <numFmt numFmtId="168" formatCode="0.0000"/>
    <numFmt numFmtId="169" formatCode="0.0E+00"/>
    <numFmt numFmtId="170" formatCode="General_)"/>
    <numFmt numFmtId="171" formatCode="dd/mmm/yy_)"/>
    <numFmt numFmtId="172" formatCode="0.0"/>
    <numFmt numFmtId="173" formatCode="0.000000_)"/>
    <numFmt numFmtId="174" formatCode="0.0_)"/>
    <numFmt numFmtId="175" formatCode="0.0E+00_)"/>
    <numFmt numFmtId="176" formatCode="0_)"/>
    <numFmt numFmtId="177" formatCode="0.00_)"/>
    <numFmt numFmtId="178" formatCode="0.000_)"/>
    <numFmt numFmtId="179" formatCode="0.00E+00_)"/>
    <numFmt numFmtId="180" formatCode="0.0000_)"/>
    <numFmt numFmtId="181" formatCode="0.00000_)"/>
    <numFmt numFmtId="182" formatCode="0.E+00"/>
    <numFmt numFmtId="183" formatCode="0.0.E+00"/>
    <numFmt numFmtId="184" formatCode="0.00000E+00"/>
    <numFmt numFmtId="185" formatCode="#0.000\ \ \ \ \ \ \ \ \ \ "/>
    <numFmt numFmtId="186" formatCode="0.00\ \ \ \ \ \ \ "/>
    <numFmt numFmtId="187" formatCode="#0.0000\ \ \ \ \ \ \ \ "/>
    <numFmt numFmtId="188" formatCode="0.000\ \ \ \ \ "/>
    <numFmt numFmtId="189" formatCode="#0.00000\ \ \ \ \ \ "/>
    <numFmt numFmtId="190" formatCode="0.0\ \ \ \ \ \ \ \ \ "/>
    <numFmt numFmtId="191" formatCode="dd\-mmm\-yy"/>
    <numFmt numFmtId="192" formatCode="#0.000000\ \ \ \ "/>
    <numFmt numFmtId="193" formatCode="#0\ \ \ \ "/>
    <numFmt numFmtId="194" formatCode="0.0\ \ \ \ \ \ "/>
    <numFmt numFmtId="195" formatCode="0\ \ \ \ \ \ \ \ \ "/>
    <numFmt numFmtId="196" formatCode="0.0000\ \ \ "/>
    <numFmt numFmtId="197" formatCode="0.00000\ "/>
  </numFmts>
  <fonts count="3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2"/>
      <name val="Symbol"/>
      <family val="1"/>
      <charset val="2"/>
    </font>
    <font>
      <sz val="12"/>
      <name val="Palatino"/>
      <family val="1"/>
    </font>
    <font>
      <sz val="10"/>
      <name val="Arial"/>
      <family val="2"/>
    </font>
    <font>
      <b/>
      <sz val="10"/>
      <name val="Helv"/>
    </font>
    <font>
      <b/>
      <sz val="12"/>
      <name val="Helv"/>
    </font>
    <font>
      <b/>
      <sz val="10"/>
      <color indexed="14"/>
      <name val="Helv"/>
    </font>
    <font>
      <b/>
      <sz val="10"/>
      <color indexed="8"/>
      <name val="Helv"/>
    </font>
    <font>
      <sz val="10"/>
      <color indexed="12"/>
      <name val="Helv"/>
    </font>
    <font>
      <sz val="10"/>
      <color indexed="14"/>
      <name val="Helv"/>
    </font>
    <font>
      <sz val="10"/>
      <name val="Palatino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10"/>
      <color indexed="33"/>
      <name val="Helv"/>
    </font>
    <font>
      <sz val="10"/>
      <color indexed="14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name val="Times New Roman"/>
      <family val="1"/>
    </font>
    <font>
      <sz val="10"/>
      <name val="Arial"/>
      <family val="2"/>
    </font>
    <font>
      <i/>
      <sz val="10"/>
      <name val="Times New Roman"/>
      <family val="1"/>
    </font>
    <font>
      <sz val="10"/>
      <name val="Calibri"/>
      <family val="2"/>
    </font>
    <font>
      <sz val="10"/>
      <color indexed="8"/>
      <name val="Arial"/>
      <family val="2"/>
    </font>
    <font>
      <sz val="11.95"/>
      <color indexed="8"/>
      <name val="Symbol"/>
      <family val="1"/>
      <charset val="2"/>
    </font>
    <font>
      <sz val="11.95"/>
      <color indexed="8"/>
      <name val="Palatino"/>
      <family val="1"/>
    </font>
  </fonts>
  <fills count="2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485"/>
        <bgColor indexed="64"/>
      </patternFill>
    </fill>
  </fills>
  <borders count="5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Border="0"/>
    <xf numFmtId="0" fontId="3" fillId="0" borderId="0" applyNumberFormat="0" applyFill="0" applyBorder="0" applyAlignment="0" applyProtection="0"/>
    <xf numFmtId="0" fontId="2" fillId="0" borderId="0" applyBorder="0"/>
    <xf numFmtId="0" fontId="2" fillId="0" borderId="0" applyBorder="0"/>
  </cellStyleXfs>
  <cellXfs count="61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1" fontId="5" fillId="0" borderId="0" xfId="0" applyNumberFormat="1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/>
    <xf numFmtId="0" fontId="7" fillId="0" borderId="0" xfId="0" applyFont="1"/>
    <xf numFmtId="0" fontId="8" fillId="0" borderId="0" xfId="0" applyFont="1"/>
    <xf numFmtId="0" fontId="3" fillId="0" borderId="0" xfId="0" applyFont="1" applyBorder="1" applyAlignment="1">
      <alignment horizontal="center"/>
    </xf>
    <xf numFmtId="170" fontId="10" fillId="0" borderId="0" xfId="0" applyNumberFormat="1" applyFont="1" applyAlignment="1" applyProtection="1">
      <alignment horizontal="left"/>
    </xf>
    <xf numFmtId="170" fontId="11" fillId="0" borderId="0" xfId="0" applyNumberFormat="1" applyFont="1" applyAlignment="1" applyProtection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171" fontId="0" fillId="0" borderId="0" xfId="0" applyNumberFormat="1" applyProtection="1"/>
    <xf numFmtId="169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Protection="1"/>
    <xf numFmtId="167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2" borderId="0" xfId="0" applyFont="1" applyFill="1"/>
    <xf numFmtId="173" fontId="1" fillId="2" borderId="0" xfId="0" applyNumberFormat="1" applyFont="1" applyFill="1" applyProtection="1"/>
    <xf numFmtId="170" fontId="11" fillId="3" borderId="9" xfId="0" applyNumberFormat="1" applyFont="1" applyFill="1" applyBorder="1" applyAlignment="1" applyProtection="1">
      <alignment horizontal="left"/>
    </xf>
    <xf numFmtId="173" fontId="0" fillId="3" borderId="10" xfId="0" applyNumberFormat="1" applyFill="1" applyBorder="1" applyProtection="1"/>
    <xf numFmtId="170" fontId="0" fillId="3" borderId="10" xfId="0" applyNumberFormat="1" applyFill="1" applyBorder="1" applyProtection="1"/>
    <xf numFmtId="170" fontId="0" fillId="3" borderId="11" xfId="0" applyNumberFormat="1" applyFill="1" applyBorder="1" applyProtection="1"/>
    <xf numFmtId="170" fontId="10" fillId="0" borderId="0" xfId="0" applyNumberFormat="1" applyFont="1" applyProtection="1"/>
    <xf numFmtId="173" fontId="10" fillId="0" borderId="0" xfId="0" applyNumberFormat="1" applyFont="1" applyAlignment="1" applyProtection="1">
      <alignment horizontal="center"/>
    </xf>
    <xf numFmtId="170" fontId="10" fillId="0" borderId="0" xfId="0" applyNumberFormat="1" applyFont="1" applyAlignment="1" applyProtection="1">
      <alignment horizontal="center"/>
    </xf>
    <xf numFmtId="170" fontId="13" fillId="0" borderId="0" xfId="0" applyNumberFormat="1" applyFont="1" applyAlignment="1" applyProtection="1">
      <alignment horizontal="center"/>
    </xf>
    <xf numFmtId="170" fontId="11" fillId="0" borderId="0" xfId="0" applyNumberFormat="1" applyFont="1" applyProtection="1"/>
    <xf numFmtId="170" fontId="14" fillId="0" borderId="0" xfId="0" applyNumberFormat="1" applyFont="1" applyAlignment="1" applyProtection="1">
      <alignment horizontal="left"/>
    </xf>
    <xf numFmtId="172" fontId="15" fillId="0" borderId="0" xfId="0" applyNumberFormat="1" applyFont="1" applyProtection="1"/>
    <xf numFmtId="175" fontId="0" fillId="0" borderId="0" xfId="0" applyNumberFormat="1" applyProtection="1"/>
    <xf numFmtId="170" fontId="0" fillId="0" borderId="0" xfId="0" applyNumberFormat="1" applyProtection="1"/>
    <xf numFmtId="176" fontId="0" fillId="0" borderId="0" xfId="0" applyNumberFormat="1" applyProtection="1"/>
    <xf numFmtId="174" fontId="0" fillId="0" borderId="0" xfId="0" applyNumberFormat="1" applyProtection="1"/>
    <xf numFmtId="170" fontId="14" fillId="0" borderId="0" xfId="0" applyNumberFormat="1" applyFont="1" applyProtection="1"/>
    <xf numFmtId="170" fontId="0" fillId="0" borderId="0" xfId="0" applyNumberFormat="1" applyAlignment="1" applyProtection="1">
      <alignment horizontal="right"/>
    </xf>
    <xf numFmtId="173" fontId="10" fillId="0" borderId="0" xfId="0" applyNumberFormat="1" applyFont="1" applyAlignment="1" applyProtection="1">
      <alignment horizontal="left"/>
    </xf>
    <xf numFmtId="170" fontId="10" fillId="0" borderId="12" xfId="0" applyNumberFormat="1" applyFont="1" applyBorder="1" applyAlignment="1" applyProtection="1">
      <alignment horizontal="center"/>
    </xf>
    <xf numFmtId="170" fontId="10" fillId="0" borderId="13" xfId="0" applyNumberFormat="1" applyFont="1" applyBorder="1" applyAlignment="1" applyProtection="1">
      <alignment horizontal="center"/>
    </xf>
    <xf numFmtId="170" fontId="10" fillId="0" borderId="14" xfId="0" applyNumberFormat="1" applyFont="1" applyBorder="1" applyAlignment="1" applyProtection="1">
      <alignment horizontal="center"/>
    </xf>
    <xf numFmtId="178" fontId="0" fillId="0" borderId="0" xfId="0" applyNumberFormat="1" applyProtection="1"/>
    <xf numFmtId="170" fontId="0" fillId="0" borderId="0" xfId="0" applyNumberFormat="1" applyAlignment="1" applyProtection="1">
      <alignment horizontal="center"/>
    </xf>
    <xf numFmtId="170" fontId="0" fillId="0" borderId="0" xfId="0" applyNumberFormat="1" applyFont="1" applyProtection="1"/>
    <xf numFmtId="179" fontId="0" fillId="0" borderId="0" xfId="0" applyNumberFormat="1" applyFont="1" applyProtection="1"/>
    <xf numFmtId="170" fontId="1" fillId="3" borderId="11" xfId="0" applyNumberFormat="1" applyFont="1" applyFill="1" applyBorder="1" applyProtection="1"/>
    <xf numFmtId="167" fontId="0" fillId="0" borderId="0" xfId="0" applyNumberFormat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8" xfId="0" applyFill="1" applyBorder="1"/>
    <xf numFmtId="168" fontId="0" fillId="7" borderId="18" xfId="0" applyNumberFormat="1" applyFill="1" applyBorder="1" applyAlignment="1">
      <alignment horizontal="center"/>
    </xf>
    <xf numFmtId="169" fontId="9" fillId="7" borderId="18" xfId="0" applyNumberFormat="1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8" fontId="0" fillId="7" borderId="18" xfId="0" applyNumberFormat="1" applyFill="1" applyBorder="1"/>
    <xf numFmtId="165" fontId="0" fillId="7" borderId="18" xfId="0" applyNumberFormat="1" applyFill="1" applyBorder="1" applyAlignment="1">
      <alignment horizontal="right"/>
    </xf>
    <xf numFmtId="2" fontId="0" fillId="0" borderId="0" xfId="0" applyNumberFormat="1"/>
    <xf numFmtId="0" fontId="16" fillId="0" borderId="0" xfId="0" applyFont="1"/>
    <xf numFmtId="0" fontId="3" fillId="0" borderId="0" xfId="0" applyFont="1" applyAlignment="1">
      <alignment horizontal="left"/>
    </xf>
    <xf numFmtId="172" fontId="0" fillId="0" borderId="0" xfId="0" applyNumberFormat="1"/>
    <xf numFmtId="1" fontId="0" fillId="0" borderId="0" xfId="0" applyNumberFormat="1"/>
    <xf numFmtId="0" fontId="0" fillId="8" borderId="0" xfId="0" applyFill="1" applyAlignment="1">
      <alignment horizontal="center"/>
    </xf>
    <xf numFmtId="0" fontId="0" fillId="6" borderId="18" xfId="0" applyFill="1" applyBorder="1" applyProtection="1">
      <protection locked="0"/>
    </xf>
    <xf numFmtId="0" fontId="0" fillId="6" borderId="18" xfId="0" applyFill="1" applyBorder="1" applyAlignment="1" applyProtection="1">
      <alignment horizontal="center"/>
      <protection locked="0"/>
    </xf>
    <xf numFmtId="0" fontId="0" fillId="9" borderId="0" xfId="0" applyFill="1"/>
    <xf numFmtId="0" fontId="0" fillId="10" borderId="0" xfId="0" applyFill="1"/>
    <xf numFmtId="0" fontId="0" fillId="8" borderId="0" xfId="0" applyFill="1"/>
    <xf numFmtId="168" fontId="0" fillId="0" borderId="0" xfId="0" applyNumberFormat="1"/>
    <xf numFmtId="168" fontId="0" fillId="0" borderId="0" xfId="0" applyNumberFormat="1" applyAlignment="1">
      <alignment horizontal="center"/>
    </xf>
    <xf numFmtId="0" fontId="9" fillId="9" borderId="0" xfId="0" applyFont="1" applyFill="1"/>
    <xf numFmtId="0" fontId="0" fillId="2" borderId="0" xfId="0" applyFill="1" applyAlignment="1">
      <alignment horizontal="left"/>
    </xf>
    <xf numFmtId="15" fontId="9" fillId="9" borderId="0" xfId="0" applyNumberFormat="1" applyFont="1" applyFill="1" applyAlignment="1">
      <alignment horizontal="left"/>
    </xf>
    <xf numFmtId="0" fontId="9" fillId="6" borderId="0" xfId="0" applyFont="1" applyFill="1" applyBorder="1" applyAlignment="1">
      <alignment horizontal="center"/>
    </xf>
    <xf numFmtId="0" fontId="0" fillId="6" borderId="18" xfId="0" applyFill="1" applyBorder="1"/>
    <xf numFmtId="169" fontId="9" fillId="6" borderId="18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19" fillId="0" borderId="0" xfId="0" applyFont="1"/>
    <xf numFmtId="14" fontId="0" fillId="10" borderId="0" xfId="0" applyNumberFormat="1" applyFill="1"/>
    <xf numFmtId="14" fontId="1" fillId="11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172" fontId="0" fillId="10" borderId="0" xfId="0" applyNumberFormat="1" applyFill="1"/>
    <xf numFmtId="1" fontId="0" fillId="10" borderId="0" xfId="0" applyNumberFormat="1" applyFill="1"/>
    <xf numFmtId="2" fontId="0" fillId="10" borderId="0" xfId="0" applyNumberFormat="1" applyFill="1"/>
    <xf numFmtId="0" fontId="0" fillId="0" borderId="22" xfId="0" applyBorder="1" applyAlignment="1">
      <alignment horizontal="center"/>
    </xf>
    <xf numFmtId="0" fontId="0" fillId="0" borderId="23" xfId="0" applyBorder="1"/>
    <xf numFmtId="0" fontId="4" fillId="0" borderId="2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/>
    <xf numFmtId="14" fontId="2" fillId="0" borderId="0" xfId="3" applyNumberFormat="1"/>
    <xf numFmtId="0" fontId="2" fillId="0" borderId="0" xfId="3"/>
    <xf numFmtId="0" fontId="0" fillId="0" borderId="29" xfId="0" applyBorder="1"/>
    <xf numFmtId="166" fontId="0" fillId="0" borderId="0" xfId="0" applyNumberFormat="1" applyFill="1" applyBorder="1"/>
    <xf numFmtId="166" fontId="0" fillId="8" borderId="0" xfId="0" applyNumberFormat="1" applyFill="1"/>
    <xf numFmtId="16" fontId="0" fillId="0" borderId="0" xfId="0" quotePrefix="1" applyNumberFormat="1"/>
    <xf numFmtId="0" fontId="0" fillId="0" borderId="0" xfId="0" quotePrefix="1" applyAlignment="1">
      <alignment horizontal="center"/>
    </xf>
    <xf numFmtId="169" fontId="0" fillId="8" borderId="0" xfId="0" applyNumberFormat="1" applyFill="1" applyAlignment="1">
      <alignment horizontal="center"/>
    </xf>
    <xf numFmtId="172" fontId="0" fillId="8" borderId="0" xfId="0" applyNumberFormat="1" applyFill="1" applyAlignment="1">
      <alignment horizontal="center"/>
    </xf>
    <xf numFmtId="182" fontId="0" fillId="0" borderId="0" xfId="0" applyNumberFormat="1"/>
    <xf numFmtId="169" fontId="0" fillId="0" borderId="0" xfId="0" applyNumberFormat="1"/>
    <xf numFmtId="170" fontId="12" fillId="0" borderId="0" xfId="0" applyNumberFormat="1" applyFont="1" applyProtection="1"/>
    <xf numFmtId="170" fontId="12" fillId="0" borderId="0" xfId="0" applyNumberFormat="1" applyFont="1" applyFill="1" applyProtection="1"/>
    <xf numFmtId="170" fontId="21" fillId="0" borderId="0" xfId="0" applyNumberFormat="1" applyFont="1" applyProtection="1"/>
    <xf numFmtId="0" fontId="5" fillId="10" borderId="0" xfId="2" applyFont="1" applyFill="1"/>
    <xf numFmtId="172" fontId="15" fillId="0" borderId="0" xfId="0" applyNumberFormat="1" applyFont="1" applyFill="1" applyProtection="1"/>
    <xf numFmtId="175" fontId="0" fillId="0" borderId="0" xfId="0" applyNumberFormat="1" applyFill="1" applyProtection="1"/>
    <xf numFmtId="0" fontId="2" fillId="0" borderId="0" xfId="2"/>
    <xf numFmtId="174" fontId="0" fillId="0" borderId="0" xfId="0" applyNumberFormat="1" applyFill="1" applyProtection="1"/>
    <xf numFmtId="0" fontId="2" fillId="10" borderId="0" xfId="2" applyFill="1"/>
    <xf numFmtId="1" fontId="15" fillId="0" borderId="0" xfId="0" applyNumberFormat="1" applyFont="1" applyFill="1" applyProtection="1"/>
    <xf numFmtId="178" fontId="22" fillId="0" borderId="0" xfId="0" applyNumberFormat="1" applyFont="1" applyFill="1" applyProtection="1"/>
    <xf numFmtId="0" fontId="2" fillId="10" borderId="0" xfId="2" applyFont="1" applyFill="1"/>
    <xf numFmtId="177" fontId="0" fillId="0" borderId="0" xfId="0" applyNumberFormat="1" applyFill="1" applyProtection="1"/>
    <xf numFmtId="176" fontId="0" fillId="0" borderId="31" xfId="0" applyNumberFormat="1" applyFill="1" applyBorder="1" applyProtection="1"/>
    <xf numFmtId="177" fontId="0" fillId="0" borderId="32" xfId="0" applyNumberFormat="1" applyFill="1" applyBorder="1" applyProtection="1"/>
    <xf numFmtId="176" fontId="0" fillId="0" borderId="33" xfId="0" applyNumberFormat="1" applyFill="1" applyBorder="1" applyProtection="1"/>
    <xf numFmtId="170" fontId="12" fillId="0" borderId="0" xfId="2" applyNumberFormat="1" applyFont="1" applyProtection="1"/>
    <xf numFmtId="170" fontId="12" fillId="0" borderId="0" xfId="2" applyNumberFormat="1" applyFont="1" applyFill="1" applyProtection="1"/>
    <xf numFmtId="170" fontId="21" fillId="0" borderId="0" xfId="2" applyNumberFormat="1" applyFont="1" applyProtection="1"/>
    <xf numFmtId="170" fontId="10" fillId="0" borderId="0" xfId="2" applyNumberFormat="1" applyFont="1" applyProtection="1"/>
    <xf numFmtId="179" fontId="0" fillId="0" borderId="0" xfId="0" applyNumberFormat="1" applyFill="1" applyProtection="1"/>
    <xf numFmtId="180" fontId="0" fillId="0" borderId="0" xfId="0" applyNumberFormat="1" applyFill="1" applyProtection="1"/>
    <xf numFmtId="0" fontId="0" fillId="0" borderId="0" xfId="0" applyFill="1"/>
    <xf numFmtId="182" fontId="0" fillId="12" borderId="0" xfId="0" applyNumberFormat="1" applyFill="1"/>
    <xf numFmtId="2" fontId="0" fillId="12" borderId="0" xfId="0" applyNumberFormat="1" applyFill="1"/>
    <xf numFmtId="176" fontId="0" fillId="0" borderId="0" xfId="0" applyNumberFormat="1" applyFill="1" applyProtection="1"/>
    <xf numFmtId="181" fontId="22" fillId="0" borderId="0" xfId="0" applyNumberFormat="1" applyFont="1" applyFill="1" applyProtection="1"/>
    <xf numFmtId="174" fontId="0" fillId="0" borderId="32" xfId="0" applyNumberFormat="1" applyFill="1" applyBorder="1" applyProtection="1"/>
    <xf numFmtId="177" fontId="0" fillId="0" borderId="33" xfId="0" applyNumberFormat="1" applyFill="1" applyBorder="1" applyProtection="1"/>
    <xf numFmtId="11" fontId="0" fillId="0" borderId="0" xfId="0" applyNumberFormat="1" applyFill="1"/>
    <xf numFmtId="180" fontId="22" fillId="0" borderId="0" xfId="0" applyNumberFormat="1" applyFont="1" applyFill="1" applyProtection="1"/>
    <xf numFmtId="173" fontId="10" fillId="0" borderId="0" xfId="0" applyNumberFormat="1" applyFont="1" applyFill="1" applyAlignment="1" applyProtection="1">
      <alignment horizontal="left"/>
    </xf>
    <xf numFmtId="170" fontId="10" fillId="0" borderId="0" xfId="0" applyNumberFormat="1" applyFont="1" applyFill="1" applyAlignment="1" applyProtection="1">
      <alignment horizontal="left"/>
    </xf>
    <xf numFmtId="170" fontId="10" fillId="0" borderId="12" xfId="0" applyNumberFormat="1" applyFont="1" applyFill="1" applyBorder="1" applyAlignment="1" applyProtection="1">
      <alignment horizontal="center"/>
    </xf>
    <xf numFmtId="170" fontId="10" fillId="0" borderId="13" xfId="0" applyNumberFormat="1" applyFont="1" applyFill="1" applyBorder="1" applyAlignment="1" applyProtection="1">
      <alignment horizontal="center"/>
    </xf>
    <xf numFmtId="170" fontId="10" fillId="0" borderId="14" xfId="0" applyNumberFormat="1" applyFont="1" applyFill="1" applyBorder="1" applyAlignment="1" applyProtection="1">
      <alignment horizontal="center"/>
    </xf>
    <xf numFmtId="178" fontId="0" fillId="0" borderId="33" xfId="0" applyNumberFormat="1" applyFill="1" applyBorder="1" applyProtection="1"/>
    <xf numFmtId="167" fontId="0" fillId="0" borderId="0" xfId="0" applyNumberFormat="1" applyFill="1"/>
    <xf numFmtId="172" fontId="5" fillId="0" borderId="0" xfId="0" applyNumberFormat="1" applyFont="1"/>
    <xf numFmtId="168" fontId="5" fillId="0" borderId="0" xfId="0" applyNumberFormat="1" applyFont="1"/>
    <xf numFmtId="183" fontId="0" fillId="0" borderId="0" xfId="0" applyNumberFormat="1"/>
    <xf numFmtId="0" fontId="2" fillId="0" borderId="0" xfId="2" applyFont="1"/>
    <xf numFmtId="0" fontId="23" fillId="0" borderId="19" xfId="0" applyFont="1" applyBorder="1" applyAlignment="1">
      <alignment horizontal="center"/>
    </xf>
    <xf numFmtId="172" fontId="23" fillId="0" borderId="19" xfId="0" applyNumberFormat="1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172" fontId="23" fillId="0" borderId="21" xfId="0" applyNumberFormat="1" applyFont="1" applyBorder="1" applyAlignment="1">
      <alignment horizontal="center"/>
    </xf>
    <xf numFmtId="167" fontId="23" fillId="0" borderId="19" xfId="0" applyNumberFormat="1" applyFont="1" applyBorder="1" applyAlignment="1">
      <alignment horizontal="center"/>
    </xf>
    <xf numFmtId="165" fontId="23" fillId="0" borderId="19" xfId="0" applyNumberFormat="1" applyFont="1" applyBorder="1" applyAlignment="1">
      <alignment horizontal="center"/>
    </xf>
    <xf numFmtId="0" fontId="2" fillId="0" borderId="0" xfId="0" applyFont="1"/>
    <xf numFmtId="0" fontId="2" fillId="4" borderId="1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0" borderId="0" xfId="0" applyFont="1" applyFill="1"/>
    <xf numFmtId="0" fontId="2" fillId="8" borderId="0" xfId="0" applyFont="1" applyFill="1" applyAlignment="1">
      <alignment horizontal="center"/>
    </xf>
    <xf numFmtId="0" fontId="1" fillId="0" borderId="0" xfId="0" applyFont="1"/>
    <xf numFmtId="22" fontId="0" fillId="0" borderId="0" xfId="0" applyNumberFormat="1"/>
    <xf numFmtId="0" fontId="2" fillId="9" borderId="0" xfId="0" applyFont="1" applyFill="1"/>
    <xf numFmtId="0" fontId="2" fillId="6" borderId="18" xfId="0" applyFont="1" applyFill="1" applyBorder="1" applyAlignment="1" applyProtection="1">
      <alignment horizontal="center"/>
      <protection locked="0"/>
    </xf>
    <xf numFmtId="0" fontId="24" fillId="0" borderId="1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34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35" xfId="0" applyFont="1" applyBorder="1" applyAlignment="1">
      <alignment horizontal="center"/>
    </xf>
    <xf numFmtId="0" fontId="24" fillId="0" borderId="19" xfId="0" applyFont="1" applyBorder="1" applyAlignment="1">
      <alignment horizontal="center"/>
    </xf>
    <xf numFmtId="0" fontId="24" fillId="0" borderId="21" xfId="0" applyFont="1" applyBorder="1" applyAlignment="1">
      <alignment horizontal="center"/>
    </xf>
    <xf numFmtId="0" fontId="24" fillId="0" borderId="19" xfId="0" applyFont="1" applyBorder="1"/>
    <xf numFmtId="0" fontId="24" fillId="0" borderId="36" xfId="0" applyFont="1" applyBorder="1" applyAlignment="1">
      <alignment horizontal="center"/>
    </xf>
    <xf numFmtId="0" fontId="24" fillId="0" borderId="0" xfId="0" applyFont="1" applyBorder="1"/>
    <xf numFmtId="172" fontId="24" fillId="0" borderId="19" xfId="0" applyNumberFormat="1" applyFont="1" applyBorder="1" applyAlignment="1">
      <alignment horizontal="center"/>
    </xf>
    <xf numFmtId="167" fontId="24" fillId="0" borderId="19" xfId="0" applyNumberFormat="1" applyFont="1" applyBorder="1" applyAlignment="1">
      <alignment horizontal="center"/>
    </xf>
    <xf numFmtId="2" fontId="24" fillId="0" borderId="19" xfId="0" applyNumberFormat="1" applyFont="1" applyBorder="1" applyAlignment="1">
      <alignment horizontal="center"/>
    </xf>
    <xf numFmtId="164" fontId="24" fillId="0" borderId="19" xfId="0" applyNumberFormat="1" applyFont="1" applyBorder="1" applyAlignment="1">
      <alignment horizontal="center"/>
    </xf>
    <xf numFmtId="168" fontId="24" fillId="0" borderId="19" xfId="0" applyNumberFormat="1" applyFont="1" applyBorder="1" applyAlignment="1">
      <alignment horizontal="center"/>
    </xf>
    <xf numFmtId="165" fontId="24" fillId="0" borderId="19" xfId="0" applyNumberFormat="1" applyFont="1" applyBorder="1" applyAlignment="1">
      <alignment horizontal="center"/>
    </xf>
    <xf numFmtId="164" fontId="24" fillId="0" borderId="36" xfId="0" applyNumberFormat="1" applyFont="1" applyBorder="1" applyAlignment="1">
      <alignment horizontal="center"/>
    </xf>
    <xf numFmtId="172" fontId="24" fillId="0" borderId="36" xfId="0" applyNumberFormat="1" applyFont="1" applyBorder="1" applyAlignment="1">
      <alignment horizontal="center"/>
    </xf>
    <xf numFmtId="172" fontId="24" fillId="0" borderId="35" xfId="0" applyNumberFormat="1" applyFont="1" applyBorder="1" applyAlignment="1">
      <alignment horizontal="center"/>
    </xf>
    <xf numFmtId="172" fontId="24" fillId="0" borderId="21" xfId="0" applyNumberFormat="1" applyFont="1" applyBorder="1" applyAlignment="1">
      <alignment horizontal="center"/>
    </xf>
    <xf numFmtId="172" fontId="24" fillId="0" borderId="19" xfId="0" applyNumberFormat="1" applyFont="1" applyBorder="1"/>
    <xf numFmtId="2" fontId="24" fillId="0" borderId="36" xfId="0" applyNumberFormat="1" applyFont="1" applyBorder="1" applyAlignment="1">
      <alignment horizontal="center"/>
    </xf>
    <xf numFmtId="167" fontId="24" fillId="0" borderId="36" xfId="0" applyNumberFormat="1" applyFont="1" applyBorder="1" applyAlignment="1">
      <alignment horizontal="center"/>
    </xf>
    <xf numFmtId="167" fontId="24" fillId="0" borderId="19" xfId="0" applyNumberFormat="1" applyFont="1" applyBorder="1"/>
    <xf numFmtId="172" fontId="24" fillId="0" borderId="24" xfId="0" applyNumberFormat="1" applyFont="1" applyBorder="1" applyAlignment="1">
      <alignment horizontal="center"/>
    </xf>
    <xf numFmtId="172" fontId="24" fillId="0" borderId="27" xfId="0" applyNumberFormat="1" applyFont="1" applyBorder="1" applyAlignment="1">
      <alignment horizontal="center"/>
    </xf>
    <xf numFmtId="172" fontId="24" fillId="0" borderId="37" xfId="0" applyNumberFormat="1" applyFont="1" applyBorder="1" applyAlignment="1">
      <alignment horizontal="center"/>
    </xf>
    <xf numFmtId="172" fontId="24" fillId="0" borderId="27" xfId="0" applyNumberFormat="1" applyFont="1" applyBorder="1"/>
    <xf numFmtId="172" fontId="24" fillId="0" borderId="30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35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172" fontId="23" fillId="0" borderId="27" xfId="0" applyNumberFormat="1" applyFont="1" applyBorder="1" applyAlignment="1">
      <alignment horizontal="center"/>
    </xf>
    <xf numFmtId="0" fontId="23" fillId="0" borderId="34" xfId="0" applyFont="1" applyBorder="1" applyAlignment="1">
      <alignment horizontal="center"/>
    </xf>
    <xf numFmtId="172" fontId="23" fillId="0" borderId="37" xfId="0" applyNumberFormat="1" applyFont="1" applyBorder="1" applyAlignment="1">
      <alignment horizontal="center"/>
    </xf>
    <xf numFmtId="2" fontId="23" fillId="0" borderId="19" xfId="0" applyNumberFormat="1" applyFont="1" applyBorder="1" applyAlignment="1">
      <alignment horizontal="center"/>
    </xf>
    <xf numFmtId="0" fontId="23" fillId="0" borderId="19" xfId="0" applyFont="1" applyBorder="1"/>
    <xf numFmtId="172" fontId="23" fillId="0" borderId="19" xfId="0" applyNumberFormat="1" applyFont="1" applyBorder="1"/>
    <xf numFmtId="172" fontId="23" fillId="0" borderId="27" xfId="0" applyNumberFormat="1" applyFont="1" applyBorder="1"/>
    <xf numFmtId="164" fontId="23" fillId="0" borderId="19" xfId="0" applyNumberFormat="1" applyFont="1" applyBorder="1" applyAlignment="1">
      <alignment horizontal="center"/>
    </xf>
    <xf numFmtId="168" fontId="23" fillId="0" borderId="19" xfId="0" applyNumberFormat="1" applyFont="1" applyBorder="1" applyAlignment="1">
      <alignment horizontal="center"/>
    </xf>
    <xf numFmtId="167" fontId="23" fillId="0" borderId="19" xfId="0" applyNumberFormat="1" applyFont="1" applyBorder="1"/>
    <xf numFmtId="0" fontId="23" fillId="0" borderId="6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164" fontId="23" fillId="0" borderId="36" xfId="0" applyNumberFormat="1" applyFont="1" applyBorder="1" applyAlignment="1">
      <alignment horizontal="center"/>
    </xf>
    <xf numFmtId="172" fontId="23" fillId="0" borderId="36" xfId="0" applyNumberFormat="1" applyFont="1" applyBorder="1" applyAlignment="1">
      <alignment horizontal="center"/>
    </xf>
    <xf numFmtId="2" fontId="23" fillId="0" borderId="36" xfId="0" applyNumberFormat="1" applyFont="1" applyBorder="1" applyAlignment="1">
      <alignment horizontal="center"/>
    </xf>
    <xf numFmtId="172" fontId="23" fillId="0" borderId="30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 applyBorder="1"/>
    <xf numFmtId="0" fontId="9" fillId="14" borderId="0" xfId="0" applyFont="1" applyFill="1" applyBorder="1" applyAlignment="1">
      <alignment horizontal="center"/>
    </xf>
    <xf numFmtId="0" fontId="9" fillId="13" borderId="0" xfId="0" applyFont="1" applyFill="1" applyBorder="1" applyAlignment="1">
      <alignment horizontal="center"/>
    </xf>
    <xf numFmtId="0" fontId="25" fillId="0" borderId="0" xfId="0" applyFont="1"/>
    <xf numFmtId="0" fontId="9" fillId="15" borderId="0" xfId="0" applyFont="1" applyFill="1" applyBorder="1" applyAlignment="1">
      <alignment horizontal="center"/>
    </xf>
    <xf numFmtId="2" fontId="15" fillId="0" borderId="0" xfId="0" applyNumberFormat="1" applyFont="1" applyFill="1" applyProtection="1"/>
    <xf numFmtId="172" fontId="28" fillId="0" borderId="35" xfId="0" applyNumberFormat="1" applyFont="1" applyBorder="1" applyAlignment="1">
      <alignment horizontal="center"/>
    </xf>
    <xf numFmtId="172" fontId="28" fillId="0" borderId="24" xfId="0" applyNumberFormat="1" applyFont="1" applyBorder="1" applyAlignment="1">
      <alignment horizontal="center"/>
    </xf>
    <xf numFmtId="14" fontId="2" fillId="0" borderId="0" xfId="0" applyNumberFormat="1" applyFont="1"/>
    <xf numFmtId="168" fontId="2" fillId="0" borderId="0" xfId="0" applyNumberFormat="1" applyFont="1"/>
    <xf numFmtId="167" fontId="2" fillId="0" borderId="0" xfId="0" applyNumberFormat="1" applyFont="1"/>
    <xf numFmtId="2" fontId="2" fillId="0" borderId="0" xfId="0" applyNumberFormat="1" applyFont="1"/>
    <xf numFmtId="0" fontId="25" fillId="0" borderId="0" xfId="0" applyFont="1" applyAlignment="1">
      <alignment horizontal="center"/>
    </xf>
    <xf numFmtId="11" fontId="0" fillId="0" borderId="0" xfId="0" applyNumberFormat="1"/>
    <xf numFmtId="0" fontId="0" fillId="16" borderId="0" xfId="0" applyFill="1"/>
    <xf numFmtId="0" fontId="2" fillId="16" borderId="0" xfId="0" applyFont="1" applyFill="1"/>
    <xf numFmtId="0" fontId="16" fillId="0" borderId="1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172" fontId="16" fillId="0" borderId="35" xfId="0" applyNumberFormat="1" applyFont="1" applyBorder="1" applyAlignment="1">
      <alignment horizontal="center"/>
    </xf>
    <xf numFmtId="172" fontId="16" fillId="0" borderId="2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172" fontId="16" fillId="0" borderId="19" xfId="0" applyNumberFormat="1" applyFont="1" applyBorder="1" applyAlignment="1">
      <alignment horizontal="center"/>
    </xf>
    <xf numFmtId="172" fontId="16" fillId="0" borderId="27" xfId="0" applyNumberFormat="1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172" fontId="16" fillId="0" borderId="21" xfId="0" applyNumberFormat="1" applyFont="1" applyBorder="1" applyAlignment="1">
      <alignment horizontal="center"/>
    </xf>
    <xf numFmtId="172" fontId="16" fillId="0" borderId="37" xfId="0" applyNumberFormat="1" applyFont="1" applyBorder="1" applyAlignment="1">
      <alignment horizontal="center"/>
    </xf>
    <xf numFmtId="167" fontId="16" fillId="0" borderId="19" xfId="0" applyNumberFormat="1" applyFont="1" applyBorder="1" applyAlignment="1">
      <alignment horizontal="center"/>
    </xf>
    <xf numFmtId="0" fontId="16" fillId="0" borderId="19" xfId="0" applyFont="1" applyBorder="1"/>
    <xf numFmtId="172" fontId="16" fillId="0" borderId="19" xfId="0" applyNumberFormat="1" applyFont="1" applyBorder="1"/>
    <xf numFmtId="172" fontId="16" fillId="0" borderId="27" xfId="0" applyNumberFormat="1" applyFont="1" applyBorder="1"/>
    <xf numFmtId="2" fontId="16" fillId="0" borderId="19" xfId="0" applyNumberFormat="1" applyFont="1" applyBorder="1" applyAlignment="1">
      <alignment horizontal="center"/>
    </xf>
    <xf numFmtId="164" fontId="16" fillId="0" borderId="19" xfId="0" applyNumberFormat="1" applyFont="1" applyBorder="1" applyAlignment="1">
      <alignment horizontal="center"/>
    </xf>
    <xf numFmtId="168" fontId="16" fillId="0" borderId="19" xfId="0" applyNumberFormat="1" applyFont="1" applyBorder="1" applyAlignment="1">
      <alignment horizontal="center"/>
    </xf>
    <xf numFmtId="165" fontId="16" fillId="0" borderId="19" xfId="0" applyNumberFormat="1" applyFont="1" applyBorder="1" applyAlignment="1">
      <alignment horizontal="center"/>
    </xf>
    <xf numFmtId="167" fontId="16" fillId="0" borderId="19" xfId="0" applyNumberFormat="1" applyFont="1" applyBorder="1"/>
    <xf numFmtId="0" fontId="16" fillId="0" borderId="6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164" fontId="16" fillId="0" borderId="36" xfId="0" applyNumberFormat="1" applyFont="1" applyBorder="1" applyAlignment="1">
      <alignment horizontal="center"/>
    </xf>
    <xf numFmtId="172" fontId="16" fillId="0" borderId="36" xfId="0" applyNumberFormat="1" applyFont="1" applyBorder="1" applyAlignment="1">
      <alignment horizontal="center"/>
    </xf>
    <xf numFmtId="2" fontId="16" fillId="0" borderId="36" xfId="0" applyNumberFormat="1" applyFont="1" applyBorder="1" applyAlignment="1">
      <alignment horizontal="center"/>
    </xf>
    <xf numFmtId="172" fontId="16" fillId="0" borderId="30" xfId="0" applyNumberFormat="1" applyFont="1" applyBorder="1" applyAlignment="1">
      <alignment horizontal="center"/>
    </xf>
    <xf numFmtId="167" fontId="16" fillId="0" borderId="36" xfId="0" applyNumberFormat="1" applyFont="1" applyBorder="1" applyAlignment="1">
      <alignment horizontal="center"/>
    </xf>
    <xf numFmtId="0" fontId="0" fillId="14" borderId="0" xfId="0" applyFill="1"/>
    <xf numFmtId="2" fontId="1" fillId="0" borderId="0" xfId="0" applyNumberFormat="1" applyFont="1"/>
    <xf numFmtId="0" fontId="2" fillId="0" borderId="23" xfId="0" applyFont="1" applyBorder="1" applyAlignment="1">
      <alignment horizontal="center"/>
    </xf>
    <xf numFmtId="170" fontId="8" fillId="0" borderId="1" xfId="0" applyNumberFormat="1" applyFont="1" applyBorder="1" applyAlignment="1" applyProtection="1">
      <alignment horizontal="center"/>
    </xf>
    <xf numFmtId="170" fontId="8" fillId="0" borderId="35" xfId="0" applyNumberFormat="1" applyFont="1" applyBorder="1" applyAlignment="1" applyProtection="1">
      <alignment horizontal="center"/>
    </xf>
    <xf numFmtId="0" fontId="8" fillId="0" borderId="35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170" fontId="8" fillId="0" borderId="4" xfId="0" applyNumberFormat="1" applyFont="1" applyBorder="1" applyAlignment="1" applyProtection="1">
      <alignment horizontal="center"/>
    </xf>
    <xf numFmtId="170" fontId="8" fillId="0" borderId="19" xfId="0" applyNumberFormat="1" applyFont="1" applyBorder="1" applyAlignment="1" applyProtection="1">
      <alignment horizontal="center"/>
    </xf>
    <xf numFmtId="0" fontId="8" fillId="0" borderId="19" xfId="0" applyFont="1" applyBorder="1" applyAlignment="1">
      <alignment horizontal="center"/>
    </xf>
    <xf numFmtId="177" fontId="8" fillId="0" borderId="19" xfId="0" applyNumberFormat="1" applyFont="1" applyBorder="1" applyAlignment="1" applyProtection="1">
      <alignment horizontal="center"/>
    </xf>
    <xf numFmtId="0" fontId="8" fillId="0" borderId="27" xfId="0" applyFont="1" applyBorder="1" applyAlignment="1">
      <alignment horizontal="center"/>
    </xf>
    <xf numFmtId="170" fontId="8" fillId="0" borderId="39" xfId="0" applyNumberFormat="1" applyFont="1" applyBorder="1" applyAlignment="1" applyProtection="1">
      <alignment horizontal="center"/>
    </xf>
    <xf numFmtId="177" fontId="8" fillId="0" borderId="40" xfId="0" applyNumberFormat="1" applyFont="1" applyBorder="1" applyAlignment="1">
      <alignment horizontal="center"/>
    </xf>
    <xf numFmtId="167" fontId="8" fillId="0" borderId="40" xfId="0" applyNumberFormat="1" applyFont="1" applyBorder="1" applyAlignment="1" applyProtection="1">
      <alignment horizontal="center"/>
    </xf>
    <xf numFmtId="167" fontId="8" fillId="0" borderId="40" xfId="0" applyNumberFormat="1" applyFont="1" applyBorder="1" applyAlignment="1">
      <alignment horizontal="center"/>
    </xf>
    <xf numFmtId="2" fontId="8" fillId="0" borderId="41" xfId="0" applyNumberFormat="1" applyFont="1" applyBorder="1" applyAlignment="1">
      <alignment horizontal="center"/>
    </xf>
    <xf numFmtId="177" fontId="8" fillId="0" borderId="19" xfId="0" applyNumberFormat="1" applyFont="1" applyBorder="1" applyAlignment="1">
      <alignment horizontal="center"/>
    </xf>
    <xf numFmtId="167" fontId="8" fillId="0" borderId="19" xfId="0" applyNumberFormat="1" applyFont="1" applyBorder="1" applyAlignment="1" applyProtection="1">
      <alignment horizontal="center"/>
    </xf>
    <xf numFmtId="167" fontId="8" fillId="0" borderId="19" xfId="0" applyNumberFormat="1" applyFont="1" applyBorder="1" applyAlignment="1">
      <alignment horizontal="center"/>
    </xf>
    <xf numFmtId="2" fontId="8" fillId="0" borderId="27" xfId="0" applyNumberFormat="1" applyFont="1" applyBorder="1" applyAlignment="1">
      <alignment horizontal="center"/>
    </xf>
    <xf numFmtId="2" fontId="8" fillId="0" borderId="19" xfId="0" applyNumberFormat="1" applyFont="1" applyBorder="1" applyAlignment="1" applyProtection="1">
      <alignment horizontal="center"/>
    </xf>
    <xf numFmtId="2" fontId="8" fillId="0" borderId="19" xfId="0" applyNumberFormat="1" applyFont="1" applyBorder="1" applyAlignment="1">
      <alignment horizontal="center"/>
    </xf>
    <xf numFmtId="170" fontId="8" fillId="0" borderId="6" xfId="0" applyNumberFormat="1" applyFont="1" applyBorder="1" applyAlignment="1" applyProtection="1">
      <alignment horizontal="center"/>
    </xf>
    <xf numFmtId="2" fontId="8" fillId="0" borderId="36" xfId="0" applyNumberFormat="1" applyFont="1" applyBorder="1" applyAlignment="1" applyProtection="1">
      <alignment horizontal="center"/>
    </xf>
    <xf numFmtId="177" fontId="8" fillId="0" borderId="36" xfId="0" applyNumberFormat="1" applyFont="1" applyBorder="1" applyAlignment="1">
      <alignment horizontal="center"/>
    </xf>
    <xf numFmtId="2" fontId="8" fillId="0" borderId="36" xfId="0" applyNumberFormat="1" applyFont="1" applyBorder="1" applyAlignment="1">
      <alignment horizontal="center"/>
    </xf>
    <xf numFmtId="2" fontId="8" fillId="0" borderId="30" xfId="0" applyNumberFormat="1" applyFont="1" applyBorder="1" applyAlignment="1">
      <alignment horizontal="center"/>
    </xf>
    <xf numFmtId="170" fontId="8" fillId="0" borderId="35" xfId="0" applyNumberFormat="1" applyFont="1" applyBorder="1" applyAlignment="1" applyProtection="1">
      <alignment horizontal="centerContinuous"/>
    </xf>
    <xf numFmtId="0" fontId="8" fillId="0" borderId="35" xfId="0" applyFont="1" applyBorder="1" applyAlignment="1">
      <alignment horizontal="centerContinuous"/>
    </xf>
    <xf numFmtId="170" fontId="8" fillId="0" borderId="20" xfId="0" applyNumberFormat="1" applyFont="1" applyBorder="1" applyAlignment="1" applyProtection="1">
      <alignment horizontal="center"/>
    </xf>
    <xf numFmtId="0" fontId="8" fillId="0" borderId="20" xfId="0" applyFont="1" applyBorder="1" applyAlignment="1">
      <alignment horizontal="center"/>
    </xf>
    <xf numFmtId="181" fontId="8" fillId="0" borderId="40" xfId="0" applyNumberFormat="1" applyFont="1" applyBorder="1" applyAlignment="1" applyProtection="1">
      <alignment horizontal="right"/>
    </xf>
    <xf numFmtId="181" fontId="7" fillId="0" borderId="42" xfId="0" applyNumberFormat="1" applyFont="1" applyBorder="1" applyAlignment="1" applyProtection="1">
      <alignment horizontal="center"/>
    </xf>
    <xf numFmtId="181" fontId="8" fillId="0" borderId="40" xfId="0" applyNumberFormat="1" applyFont="1" applyBorder="1" applyAlignment="1">
      <alignment horizontal="right"/>
    </xf>
    <xf numFmtId="181" fontId="7" fillId="0" borderId="42" xfId="0" applyNumberFormat="1" applyFont="1" applyBorder="1" applyAlignment="1">
      <alignment horizontal="center"/>
    </xf>
    <xf numFmtId="174" fontId="8" fillId="0" borderId="40" xfId="0" applyNumberFormat="1" applyFont="1" applyBorder="1" applyAlignment="1">
      <alignment horizontal="center"/>
    </xf>
    <xf numFmtId="172" fontId="8" fillId="0" borderId="41" xfId="0" applyNumberFormat="1" applyFont="1" applyBorder="1" applyAlignment="1">
      <alignment horizontal="center"/>
    </xf>
    <xf numFmtId="178" fontId="8" fillId="0" borderId="19" xfId="0" applyNumberFormat="1" applyFont="1" applyBorder="1" applyAlignment="1" applyProtection="1">
      <alignment horizontal="right"/>
    </xf>
    <xf numFmtId="178" fontId="8" fillId="0" borderId="20" xfId="0" applyNumberFormat="1" applyFont="1" applyBorder="1" applyAlignment="1" applyProtection="1">
      <alignment horizontal="center"/>
    </xf>
    <xf numFmtId="178" fontId="8" fillId="0" borderId="19" xfId="0" applyNumberFormat="1" applyFont="1" applyBorder="1" applyAlignment="1">
      <alignment horizontal="right"/>
    </xf>
    <xf numFmtId="178" fontId="8" fillId="0" borderId="20" xfId="0" applyNumberFormat="1" applyFont="1" applyBorder="1" applyAlignment="1">
      <alignment horizontal="center"/>
    </xf>
    <xf numFmtId="174" fontId="8" fillId="0" borderId="19" xfId="0" applyNumberFormat="1" applyFont="1" applyBorder="1" applyAlignment="1">
      <alignment horizontal="center"/>
    </xf>
    <xf numFmtId="172" fontId="8" fillId="0" borderId="27" xfId="0" applyNumberFormat="1" applyFont="1" applyBorder="1" applyAlignment="1">
      <alignment horizontal="center"/>
    </xf>
    <xf numFmtId="180" fontId="8" fillId="0" borderId="19" xfId="0" applyNumberFormat="1" applyFont="1" applyBorder="1" applyAlignment="1" applyProtection="1">
      <alignment horizontal="right"/>
    </xf>
    <xf numFmtId="180" fontId="8" fillId="0" borderId="20" xfId="0" applyNumberFormat="1" applyFont="1" applyBorder="1" applyAlignment="1" applyProtection="1">
      <alignment horizontal="center"/>
    </xf>
    <xf numFmtId="180" fontId="8" fillId="0" borderId="19" xfId="0" applyNumberFormat="1" applyFont="1" applyBorder="1" applyAlignment="1">
      <alignment horizontal="right"/>
    </xf>
    <xf numFmtId="180" fontId="8" fillId="0" borderId="20" xfId="0" applyNumberFormat="1" applyFont="1" applyBorder="1" applyAlignment="1">
      <alignment horizontal="center"/>
    </xf>
    <xf numFmtId="181" fontId="8" fillId="0" borderId="19" xfId="0" applyNumberFormat="1" applyFont="1" applyBorder="1" applyAlignment="1" applyProtection="1">
      <alignment horizontal="right"/>
    </xf>
    <xf numFmtId="181" fontId="8" fillId="0" borderId="20" xfId="0" applyNumberFormat="1" applyFont="1" applyBorder="1" applyAlignment="1" applyProtection="1">
      <alignment horizontal="center"/>
    </xf>
    <xf numFmtId="181" fontId="8" fillId="0" borderId="19" xfId="0" applyNumberFormat="1" applyFont="1" applyBorder="1" applyAlignment="1">
      <alignment horizontal="right"/>
    </xf>
    <xf numFmtId="181" fontId="8" fillId="0" borderId="20" xfId="0" applyNumberFormat="1" applyFont="1" applyBorder="1" applyAlignment="1">
      <alignment horizontal="center"/>
    </xf>
    <xf numFmtId="2" fontId="8" fillId="0" borderId="36" xfId="0" applyNumberFormat="1" applyFont="1" applyBorder="1" applyAlignment="1" applyProtection="1">
      <alignment horizontal="right"/>
    </xf>
    <xf numFmtId="2" fontId="8" fillId="0" borderId="43" xfId="0" applyNumberFormat="1" applyFont="1" applyBorder="1" applyAlignment="1" applyProtection="1">
      <alignment horizontal="center"/>
    </xf>
    <xf numFmtId="177" fontId="8" fillId="0" borderId="36" xfId="0" applyNumberFormat="1" applyFont="1" applyBorder="1" applyAlignment="1">
      <alignment horizontal="right"/>
    </xf>
    <xf numFmtId="177" fontId="8" fillId="0" borderId="43" xfId="0" applyNumberFormat="1" applyFont="1" applyBorder="1" applyAlignment="1">
      <alignment horizontal="center"/>
    </xf>
    <xf numFmtId="174" fontId="8" fillId="0" borderId="36" xfId="0" applyNumberFormat="1" applyFont="1" applyBorder="1" applyAlignment="1">
      <alignment horizontal="center"/>
    </xf>
    <xf numFmtId="172" fontId="8" fillId="0" borderId="30" xfId="0" applyNumberFormat="1" applyFont="1" applyBorder="1" applyAlignment="1">
      <alignment horizontal="center"/>
    </xf>
    <xf numFmtId="181" fontId="0" fillId="0" borderId="0" xfId="0" applyNumberFormat="1"/>
    <xf numFmtId="178" fontId="0" fillId="0" borderId="0" xfId="0" applyNumberFormat="1"/>
    <xf numFmtId="180" fontId="0" fillId="0" borderId="0" xfId="0" applyNumberFormat="1"/>
    <xf numFmtId="164" fontId="0" fillId="0" borderId="0" xfId="0" applyNumberFormat="1"/>
    <xf numFmtId="0" fontId="29" fillId="0" borderId="0" xfId="0" applyFont="1"/>
    <xf numFmtId="0" fontId="30" fillId="0" borderId="38" xfId="0" applyFont="1" applyFill="1" applyBorder="1" applyAlignment="1">
      <alignment horizontal="center" vertical="top" wrapText="1"/>
    </xf>
    <xf numFmtId="170" fontId="8" fillId="0" borderId="35" xfId="0" applyNumberFormat="1" applyFont="1" applyBorder="1" applyAlignment="1" applyProtection="1">
      <alignment horizontal="center"/>
    </xf>
    <xf numFmtId="0" fontId="8" fillId="0" borderId="35" xfId="0" applyFont="1" applyBorder="1" applyAlignment="1">
      <alignment horizontal="center"/>
    </xf>
    <xf numFmtId="181" fontId="7" fillId="0" borderId="47" xfId="0" applyNumberFormat="1" applyFont="1" applyBorder="1" applyAlignment="1" applyProtection="1">
      <alignment horizontal="left"/>
    </xf>
    <xf numFmtId="178" fontId="8" fillId="0" borderId="0" xfId="0" applyNumberFormat="1" applyFont="1" applyBorder="1" applyAlignment="1" applyProtection="1">
      <alignment horizontal="left"/>
    </xf>
    <xf numFmtId="180" fontId="8" fillId="0" borderId="0" xfId="0" applyNumberFormat="1" applyFont="1" applyBorder="1" applyAlignment="1" applyProtection="1">
      <alignment horizontal="left"/>
    </xf>
    <xf numFmtId="181" fontId="8" fillId="0" borderId="0" xfId="0" applyNumberFormat="1" applyFont="1" applyBorder="1" applyAlignment="1" applyProtection="1">
      <alignment horizontal="left"/>
    </xf>
    <xf numFmtId="2" fontId="8" fillId="0" borderId="7" xfId="0" applyNumberFormat="1" applyFont="1" applyBorder="1" applyAlignment="1" applyProtection="1">
      <alignment horizontal="left"/>
    </xf>
    <xf numFmtId="164" fontId="16" fillId="0" borderId="19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center"/>
    </xf>
    <xf numFmtId="172" fontId="16" fillId="0" borderId="26" xfId="0" applyNumberFormat="1" applyFont="1" applyBorder="1" applyAlignment="1">
      <alignment horizontal="center"/>
    </xf>
    <xf numFmtId="167" fontId="16" fillId="0" borderId="19" xfId="0" applyNumberFormat="1" applyFont="1" applyBorder="1" applyAlignment="1">
      <alignment horizontal="right"/>
    </xf>
    <xf numFmtId="167" fontId="16" fillId="0" borderId="0" xfId="0" applyNumberFormat="1" applyFont="1" applyBorder="1" applyAlignment="1">
      <alignment horizontal="center"/>
    </xf>
    <xf numFmtId="168" fontId="16" fillId="0" borderId="19" xfId="0" applyNumberFormat="1" applyFont="1" applyBorder="1" applyAlignment="1">
      <alignment horizontal="right"/>
    </xf>
    <xf numFmtId="168" fontId="16" fillId="0" borderId="0" xfId="0" applyNumberFormat="1" applyFont="1" applyBorder="1" applyAlignment="1">
      <alignment horizontal="center"/>
    </xf>
    <xf numFmtId="172" fontId="16" fillId="0" borderId="21" xfId="0" applyNumberFormat="1" applyFont="1" applyBorder="1" applyAlignment="1">
      <alignment horizontal="right"/>
    </xf>
    <xf numFmtId="168" fontId="16" fillId="0" borderId="38" xfId="0" applyNumberFormat="1" applyFont="1" applyBorder="1" applyAlignment="1">
      <alignment horizontal="center"/>
    </xf>
    <xf numFmtId="2" fontId="16" fillId="0" borderId="21" xfId="0" applyNumberFormat="1" applyFont="1" applyBorder="1" applyAlignment="1">
      <alignment horizontal="center"/>
    </xf>
    <xf numFmtId="167" fontId="16" fillId="0" borderId="21" xfId="0" applyNumberFormat="1" applyFont="1" applyBorder="1" applyAlignment="1">
      <alignment horizontal="center"/>
    </xf>
    <xf numFmtId="172" fontId="16" fillId="0" borderId="44" xfId="0" applyNumberFormat="1" applyFont="1" applyBorder="1" applyAlignment="1">
      <alignment horizontal="center"/>
    </xf>
    <xf numFmtId="22" fontId="0" fillId="14" borderId="0" xfId="0" applyNumberFormat="1" applyFill="1"/>
    <xf numFmtId="2" fontId="5" fillId="0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15" fontId="2" fillId="9" borderId="0" xfId="0" applyNumberFormat="1" applyFont="1" applyFill="1" applyAlignment="1">
      <alignment horizontal="left"/>
    </xf>
    <xf numFmtId="0" fontId="0" fillId="9" borderId="0" xfId="0" applyFill="1" applyAlignment="1">
      <alignment horizontal="left"/>
    </xf>
    <xf numFmtId="0" fontId="2" fillId="4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0" fillId="6" borderId="49" xfId="0" applyFill="1" applyBorder="1"/>
    <xf numFmtId="0" fontId="2" fillId="17" borderId="18" xfId="0" applyFont="1" applyFill="1" applyBorder="1"/>
    <xf numFmtId="169" fontId="2" fillId="6" borderId="18" xfId="0" applyNumberFormat="1" applyFont="1" applyFill="1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17" borderId="18" xfId="0" applyFill="1" applyBorder="1"/>
    <xf numFmtId="184" fontId="0" fillId="6" borderId="18" xfId="0" applyNumberFormat="1" applyFill="1" applyBorder="1" applyProtection="1">
      <protection locked="0"/>
    </xf>
    <xf numFmtId="11" fontId="0" fillId="17" borderId="18" xfId="0" applyNumberFormat="1" applyFill="1" applyBorder="1"/>
    <xf numFmtId="1" fontId="0" fillId="17" borderId="18" xfId="0" applyNumberFormat="1" applyFill="1" applyBorder="1" applyAlignment="1">
      <alignment horizontal="center"/>
    </xf>
    <xf numFmtId="0" fontId="0" fillId="13" borderId="0" xfId="0" applyFill="1"/>
    <xf numFmtId="184" fontId="0" fillId="13" borderId="0" xfId="0" applyNumberFormat="1" applyFill="1"/>
    <xf numFmtId="165" fontId="0" fillId="0" borderId="0" xfId="0" applyNumberFormat="1"/>
    <xf numFmtId="0" fontId="24" fillId="0" borderId="38" xfId="0" applyFont="1" applyFill="1" applyBorder="1" applyAlignment="1">
      <alignment horizontal="center" vertical="top" wrapText="1"/>
    </xf>
    <xf numFmtId="185" fontId="24" fillId="0" borderId="0" xfId="0" applyNumberFormat="1" applyFont="1" applyBorder="1" applyAlignment="1">
      <alignment horizontal="right"/>
    </xf>
    <xf numFmtId="172" fontId="24" fillId="0" borderId="0" xfId="0" applyNumberFormat="1" applyFont="1" applyAlignment="1">
      <alignment horizontal="center"/>
    </xf>
    <xf numFmtId="186" fontId="24" fillId="0" borderId="0" xfId="0" applyNumberFormat="1" applyFont="1" applyAlignment="1">
      <alignment horizontal="right" indent="1"/>
    </xf>
    <xf numFmtId="187" fontId="24" fillId="0" borderId="0" xfId="0" applyNumberFormat="1" applyFont="1" applyBorder="1" applyAlignment="1">
      <alignment horizontal="right"/>
    </xf>
    <xf numFmtId="188" fontId="24" fillId="0" borderId="0" xfId="0" applyNumberFormat="1" applyFont="1" applyAlignment="1">
      <alignment horizontal="right" indent="1"/>
    </xf>
    <xf numFmtId="189" fontId="24" fillId="0" borderId="0" xfId="0" applyNumberFormat="1" applyFont="1" applyBorder="1" applyAlignment="1">
      <alignment horizontal="right"/>
    </xf>
    <xf numFmtId="0" fontId="2" fillId="0" borderId="0" xfId="0" quotePrefix="1" applyFont="1"/>
    <xf numFmtId="190" fontId="24" fillId="0" borderId="0" xfId="0" applyNumberFormat="1" applyFont="1" applyAlignment="1">
      <alignment horizontal="right" indent="1"/>
    </xf>
    <xf numFmtId="0" fontId="0" fillId="2" borderId="0" xfId="0" applyFill="1" applyAlignment="1">
      <alignment horizontal="right"/>
    </xf>
    <xf numFmtId="0" fontId="1" fillId="0" borderId="0" xfId="0" applyFont="1" applyBorder="1"/>
    <xf numFmtId="0" fontId="1" fillId="0" borderId="21" xfId="0" applyFont="1" applyBorder="1"/>
    <xf numFmtId="0" fontId="0" fillId="0" borderId="38" xfId="0" applyBorder="1"/>
    <xf numFmtId="0" fontId="0" fillId="0" borderId="46" xfId="0" applyBorder="1"/>
    <xf numFmtId="14" fontId="0" fillId="9" borderId="19" xfId="0" applyNumberFormat="1" applyFill="1" applyBorder="1"/>
    <xf numFmtId="0" fontId="0" fillId="9" borderId="0" xfId="0" applyFill="1" applyBorder="1"/>
    <xf numFmtId="0" fontId="0" fillId="9" borderId="47" xfId="0" applyFill="1" applyBorder="1"/>
    <xf numFmtId="0" fontId="0" fillId="9" borderId="42" xfId="0" applyFill="1" applyBorder="1"/>
    <xf numFmtId="0" fontId="0" fillId="9" borderId="20" xfId="0" applyFill="1" applyBorder="1"/>
    <xf numFmtId="0" fontId="0" fillId="9" borderId="19" xfId="0" applyFill="1" applyBorder="1"/>
    <xf numFmtId="167" fontId="0" fillId="9" borderId="0" xfId="0" applyNumberFormat="1" applyFill="1" applyBorder="1"/>
    <xf numFmtId="172" fontId="0" fillId="9" borderId="0" xfId="0" applyNumberFormat="1" applyFill="1" applyBorder="1"/>
    <xf numFmtId="2" fontId="0" fillId="9" borderId="0" xfId="0" applyNumberFormat="1" applyFill="1" applyBorder="1"/>
    <xf numFmtId="172" fontId="0" fillId="9" borderId="20" xfId="0" applyNumberFormat="1" applyFill="1" applyBorder="1"/>
    <xf numFmtId="15" fontId="0" fillId="0" borderId="0" xfId="0" applyNumberFormat="1"/>
    <xf numFmtId="191" fontId="0" fillId="0" borderId="0" xfId="0" applyNumberFormat="1"/>
    <xf numFmtId="0" fontId="0" fillId="9" borderId="21" xfId="0" applyFill="1" applyBorder="1"/>
    <xf numFmtId="0" fontId="0" fillId="9" borderId="38" xfId="0" applyFill="1" applyBorder="1"/>
    <xf numFmtId="167" fontId="0" fillId="9" borderId="38" xfId="0" applyNumberFormat="1" applyFill="1" applyBorder="1"/>
    <xf numFmtId="14" fontId="0" fillId="18" borderId="0" xfId="0" applyNumberFormat="1" applyFill="1" applyBorder="1"/>
    <xf numFmtId="0" fontId="0" fillId="18" borderId="0" xfId="0" applyFill="1" applyBorder="1"/>
    <xf numFmtId="167" fontId="0" fillId="18" borderId="0" xfId="0" applyNumberFormat="1" applyFill="1" applyBorder="1"/>
    <xf numFmtId="172" fontId="0" fillId="18" borderId="0" xfId="0" applyNumberFormat="1" applyFill="1" applyBorder="1"/>
    <xf numFmtId="2" fontId="0" fillId="18" borderId="0" xfId="0" applyNumberFormat="1" applyFill="1" applyBorder="1"/>
    <xf numFmtId="14" fontId="0" fillId="19" borderId="40" xfId="0" applyNumberFormat="1" applyFill="1" applyBorder="1"/>
    <xf numFmtId="0" fontId="0" fillId="19" borderId="47" xfId="0" applyFill="1" applyBorder="1"/>
    <xf numFmtId="0" fontId="0" fillId="19" borderId="42" xfId="0" applyFill="1" applyBorder="1"/>
    <xf numFmtId="0" fontId="0" fillId="19" borderId="19" xfId="0" applyFill="1" applyBorder="1"/>
    <xf numFmtId="0" fontId="0" fillId="19" borderId="0" xfId="0" applyFill="1" applyBorder="1"/>
    <xf numFmtId="0" fontId="0" fillId="19" borderId="0" xfId="0" applyFill="1" applyBorder="1" applyAlignment="1">
      <alignment horizontal="center"/>
    </xf>
    <xf numFmtId="0" fontId="0" fillId="19" borderId="20" xfId="0" applyFill="1" applyBorder="1"/>
    <xf numFmtId="168" fontId="0" fillId="19" borderId="0" xfId="0" applyNumberFormat="1" applyFill="1" applyBorder="1"/>
    <xf numFmtId="172" fontId="0" fillId="19" borderId="0" xfId="0" applyNumberFormat="1" applyFill="1" applyBorder="1"/>
    <xf numFmtId="167" fontId="0" fillId="19" borderId="0" xfId="0" applyNumberFormat="1" applyFill="1" applyBorder="1"/>
    <xf numFmtId="2" fontId="0" fillId="19" borderId="0" xfId="0" applyNumberFormat="1" applyFill="1" applyBorder="1"/>
    <xf numFmtId="172" fontId="0" fillId="19" borderId="20" xfId="0" applyNumberFormat="1" applyFill="1" applyBorder="1"/>
    <xf numFmtId="0" fontId="0" fillId="19" borderId="21" xfId="0" applyFill="1" applyBorder="1"/>
    <xf numFmtId="0" fontId="0" fillId="19" borderId="38" xfId="0" applyFill="1" applyBorder="1"/>
    <xf numFmtId="168" fontId="0" fillId="19" borderId="38" xfId="0" applyNumberFormat="1" applyFill="1" applyBorder="1"/>
    <xf numFmtId="172" fontId="0" fillId="19" borderId="38" xfId="0" applyNumberFormat="1" applyFill="1" applyBorder="1"/>
    <xf numFmtId="167" fontId="0" fillId="19" borderId="38" xfId="0" applyNumberFormat="1" applyFill="1" applyBorder="1"/>
    <xf numFmtId="2" fontId="0" fillId="19" borderId="38" xfId="0" applyNumberFormat="1" applyFill="1" applyBorder="1"/>
    <xf numFmtId="172" fontId="0" fillId="19" borderId="46" xfId="0" applyNumberFormat="1" applyFill="1" applyBorder="1"/>
    <xf numFmtId="0" fontId="2" fillId="9" borderId="0" xfId="0" applyFont="1" applyFill="1" applyBorder="1"/>
    <xf numFmtId="0" fontId="24" fillId="0" borderId="0" xfId="0" applyFont="1" applyFill="1" applyBorder="1" applyAlignment="1">
      <alignment horizontal="center" vertical="top" wrapText="1"/>
    </xf>
    <xf numFmtId="192" fontId="24" fillId="0" borderId="0" xfId="0" applyNumberFormat="1" applyFont="1" applyBorder="1" applyAlignment="1">
      <alignment horizontal="right"/>
    </xf>
    <xf numFmtId="193" fontId="24" fillId="0" borderId="0" xfId="0" applyNumberFormat="1" applyFont="1" applyBorder="1" applyAlignment="1">
      <alignment horizontal="right"/>
    </xf>
    <xf numFmtId="194" fontId="24" fillId="0" borderId="0" xfId="0" applyNumberFormat="1" applyFont="1" applyAlignment="1">
      <alignment horizontal="right" indent="1"/>
    </xf>
    <xf numFmtId="195" fontId="24" fillId="0" borderId="0" xfId="0" applyNumberFormat="1" applyFont="1" applyAlignment="1">
      <alignment horizontal="right" indent="1"/>
    </xf>
    <xf numFmtId="196" fontId="24" fillId="0" borderId="0" xfId="0" applyNumberFormat="1" applyFont="1" applyAlignment="1">
      <alignment horizontal="right" indent="1"/>
    </xf>
    <xf numFmtId="0" fontId="0" fillId="20" borderId="0" xfId="0" applyFill="1" applyBorder="1" applyAlignment="1">
      <alignment horizontal="center"/>
    </xf>
    <xf numFmtId="0" fontId="0" fillId="20" borderId="27" xfId="0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0" fillId="20" borderId="36" xfId="0" applyFill="1" applyBorder="1" applyAlignment="1">
      <alignment horizontal="center"/>
    </xf>
    <xf numFmtId="0" fontId="0" fillId="20" borderId="30" xfId="0" applyFill="1" applyBorder="1" applyAlignment="1">
      <alignment horizontal="center"/>
    </xf>
    <xf numFmtId="15" fontId="32" fillId="0" borderId="0" xfId="0" applyNumberFormat="1" applyFont="1" applyAlignment="1">
      <alignment horizontal="left"/>
    </xf>
    <xf numFmtId="0" fontId="23" fillId="0" borderId="48" xfId="0" applyFont="1" applyBorder="1" applyAlignment="1">
      <alignment horizontal="center" vertical="top"/>
    </xf>
    <xf numFmtId="0" fontId="23" fillId="0" borderId="42" xfId="0" applyFont="1" applyBorder="1" applyAlignment="1">
      <alignment horizontal="center" vertical="top"/>
    </xf>
    <xf numFmtId="0" fontId="23" fillId="0" borderId="48" xfId="0" applyFont="1" applyBorder="1" applyAlignment="1">
      <alignment horizontal="center" vertical="top" wrapText="1"/>
    </xf>
    <xf numFmtId="0" fontId="23" fillId="0" borderId="42" xfId="0" applyFont="1" applyBorder="1" applyAlignment="1">
      <alignment horizontal="center" vertical="top" wrapText="1"/>
    </xf>
    <xf numFmtId="0" fontId="23" fillId="0" borderId="44" xfId="0" applyFont="1" applyBorder="1" applyAlignment="1">
      <alignment horizontal="center"/>
    </xf>
    <xf numFmtId="0" fontId="23" fillId="0" borderId="46" xfId="0" applyFont="1" applyBorder="1" applyAlignment="1">
      <alignment horizontal="center"/>
    </xf>
    <xf numFmtId="0" fontId="23" fillId="0" borderId="48" xfId="0" applyFont="1" applyBorder="1" applyAlignment="1">
      <alignment horizontal="center"/>
    </xf>
    <xf numFmtId="0" fontId="23" fillId="0" borderId="48" xfId="0" applyFont="1" applyBorder="1" applyAlignment="1">
      <alignment horizontal="center" vertical="center"/>
    </xf>
    <xf numFmtId="2" fontId="23" fillId="0" borderId="40" xfId="0" applyNumberFormat="1" applyFont="1" applyBorder="1" applyAlignment="1">
      <alignment horizontal="right" vertical="center"/>
    </xf>
    <xf numFmtId="2" fontId="23" fillId="0" borderId="42" xfId="0" applyNumberFormat="1" applyFont="1" applyBorder="1" applyAlignment="1">
      <alignment horizontal="center" vertical="center"/>
    </xf>
    <xf numFmtId="0" fontId="23" fillId="0" borderId="42" xfId="0" applyFont="1" applyBorder="1" applyAlignment="1">
      <alignment horizontal="left" vertical="center"/>
    </xf>
    <xf numFmtId="172" fontId="23" fillId="0" borderId="48" xfId="0" applyNumberFormat="1" applyFont="1" applyBorder="1" applyAlignment="1">
      <alignment horizontal="center" vertical="center"/>
    </xf>
    <xf numFmtId="167" fontId="23" fillId="0" borderId="40" xfId="0" applyNumberFormat="1" applyFont="1" applyBorder="1" applyAlignment="1">
      <alignment horizontal="right" vertical="center"/>
    </xf>
    <xf numFmtId="167" fontId="23" fillId="0" borderId="42" xfId="0" applyNumberFormat="1" applyFont="1" applyBorder="1" applyAlignment="1">
      <alignment horizontal="right" vertical="center"/>
    </xf>
    <xf numFmtId="0" fontId="23" fillId="0" borderId="42" xfId="0" applyFont="1" applyBorder="1" applyAlignment="1">
      <alignment horizontal="center" vertical="center"/>
    </xf>
    <xf numFmtId="172" fontId="23" fillId="0" borderId="42" xfId="0" applyNumberFormat="1" applyFont="1" applyBorder="1" applyAlignment="1">
      <alignment horizontal="center" vertical="center"/>
    </xf>
    <xf numFmtId="0" fontId="23" fillId="0" borderId="26" xfId="0" applyFont="1" applyBorder="1" applyAlignment="1">
      <alignment horizontal="center"/>
    </xf>
    <xf numFmtId="0" fontId="23" fillId="0" borderId="26" xfId="0" applyFont="1" applyBorder="1" applyAlignment="1">
      <alignment horizontal="center" vertical="center"/>
    </xf>
    <xf numFmtId="167" fontId="23" fillId="0" borderId="19" xfId="0" applyNumberFormat="1" applyFont="1" applyBorder="1" applyAlignment="1">
      <alignment horizontal="right" vertical="center"/>
    </xf>
    <xf numFmtId="0" fontId="23" fillId="0" borderId="20" xfId="0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/>
    </xf>
    <xf numFmtId="172" fontId="23" fillId="0" borderId="26" xfId="0" applyNumberFormat="1" applyFont="1" applyBorder="1" applyAlignment="1">
      <alignment horizontal="center" vertical="center"/>
    </xf>
    <xf numFmtId="168" fontId="23" fillId="0" borderId="19" xfId="0" applyNumberFormat="1" applyFont="1" applyBorder="1" applyAlignment="1">
      <alignment horizontal="right" vertical="center"/>
    </xf>
    <xf numFmtId="0" fontId="23" fillId="0" borderId="20" xfId="0" applyFont="1" applyBorder="1" applyAlignment="1">
      <alignment horizontal="right" vertical="center"/>
    </xf>
    <xf numFmtId="172" fontId="23" fillId="0" borderId="20" xfId="0" applyNumberFormat="1" applyFont="1" applyBorder="1" applyAlignment="1">
      <alignment horizontal="center" vertical="center"/>
    </xf>
    <xf numFmtId="0" fontId="23" fillId="0" borderId="44" xfId="0" applyFont="1" applyBorder="1" applyAlignment="1">
      <alignment horizontal="center" vertical="center"/>
    </xf>
    <xf numFmtId="167" fontId="23" fillId="0" borderId="21" xfId="0" applyNumberFormat="1" applyFont="1" applyBorder="1" applyAlignment="1">
      <alignment horizontal="right" vertical="center"/>
    </xf>
    <xf numFmtId="0" fontId="23" fillId="0" borderId="46" xfId="0" applyFont="1" applyBorder="1" applyAlignment="1">
      <alignment horizontal="center" vertical="center"/>
    </xf>
    <xf numFmtId="0" fontId="23" fillId="0" borderId="46" xfId="0" applyFont="1" applyBorder="1" applyAlignment="1">
      <alignment horizontal="left" vertical="center"/>
    </xf>
    <xf numFmtId="172" fontId="23" fillId="0" borderId="44" xfId="0" applyNumberFormat="1" applyFont="1" applyBorder="1" applyAlignment="1">
      <alignment horizontal="center" vertical="center"/>
    </xf>
    <xf numFmtId="168" fontId="23" fillId="0" borderId="21" xfId="0" applyNumberFormat="1" applyFont="1" applyBorder="1" applyAlignment="1">
      <alignment horizontal="right" vertical="center"/>
    </xf>
    <xf numFmtId="0" fontId="23" fillId="0" borderId="46" xfId="0" applyFont="1" applyBorder="1" applyAlignment="1">
      <alignment horizontal="right" vertical="center"/>
    </xf>
    <xf numFmtId="172" fontId="23" fillId="0" borderId="46" xfId="0" applyNumberFormat="1" applyFont="1" applyBorder="1" applyAlignment="1">
      <alignment horizontal="center" vertical="center"/>
    </xf>
    <xf numFmtId="0" fontId="23" fillId="0" borderId="19" xfId="0" applyFont="1" applyBorder="1" applyAlignment="1">
      <alignment horizontal="right" vertical="center"/>
    </xf>
    <xf numFmtId="164" fontId="23" fillId="0" borderId="40" xfId="0" applyNumberFormat="1" applyFont="1" applyBorder="1" applyAlignment="1">
      <alignment horizontal="right" vertical="center"/>
    </xf>
    <xf numFmtId="164" fontId="23" fillId="0" borderId="42" xfId="0" applyNumberFormat="1" applyFont="1" applyBorder="1" applyAlignment="1">
      <alignment horizontal="center" vertical="center"/>
    </xf>
    <xf numFmtId="165" fontId="23" fillId="0" borderId="19" xfId="0" applyNumberFormat="1" applyFont="1" applyBorder="1" applyAlignment="1">
      <alignment horizontal="right" vertical="center"/>
    </xf>
    <xf numFmtId="165" fontId="23" fillId="0" borderId="21" xfId="0" applyNumberFormat="1" applyFont="1" applyBorder="1" applyAlignment="1">
      <alignment horizontal="right" vertical="center"/>
    </xf>
    <xf numFmtId="164" fontId="23" fillId="0" borderId="19" xfId="0" applyNumberFormat="1" applyFont="1" applyBorder="1" applyAlignment="1">
      <alignment horizontal="right" vertical="center"/>
    </xf>
    <xf numFmtId="164" fontId="23" fillId="0" borderId="21" xfId="0" applyNumberFormat="1" applyFont="1" applyBorder="1" applyAlignment="1">
      <alignment horizontal="right" vertical="center"/>
    </xf>
    <xf numFmtId="168" fontId="23" fillId="0" borderId="40" xfId="0" applyNumberFormat="1" applyFont="1" applyBorder="1" applyAlignment="1">
      <alignment horizontal="right" vertical="center"/>
    </xf>
    <xf numFmtId="2" fontId="23" fillId="0" borderId="42" xfId="0" applyNumberFormat="1" applyFont="1" applyBorder="1" applyAlignment="1">
      <alignment horizontal="right" vertical="center"/>
    </xf>
    <xf numFmtId="0" fontId="23" fillId="0" borderId="21" xfId="0" applyFont="1" applyBorder="1" applyAlignment="1">
      <alignment horizontal="right" vertical="center"/>
    </xf>
    <xf numFmtId="172" fontId="23" fillId="0" borderId="40" xfId="0" applyNumberFormat="1" applyFont="1" applyBorder="1" applyAlignment="1">
      <alignment horizontal="right" vertical="center"/>
    </xf>
    <xf numFmtId="0" fontId="23" fillId="0" borderId="42" xfId="0" applyFont="1" applyBorder="1" applyAlignment="1">
      <alignment horizontal="right" vertical="center"/>
    </xf>
    <xf numFmtId="2" fontId="23" fillId="0" borderId="19" xfId="0" applyNumberFormat="1" applyFont="1" applyBorder="1" applyAlignment="1">
      <alignment horizontal="right" vertical="center"/>
    </xf>
    <xf numFmtId="2" fontId="23" fillId="0" borderId="21" xfId="0" applyNumberFormat="1" applyFont="1" applyBorder="1" applyAlignment="1">
      <alignment horizontal="right" vertical="center"/>
    </xf>
    <xf numFmtId="0" fontId="23" fillId="0" borderId="0" xfId="0" applyFont="1"/>
    <xf numFmtId="1" fontId="23" fillId="0" borderId="40" xfId="0" applyNumberFormat="1" applyFont="1" applyBorder="1" applyAlignment="1">
      <alignment horizontal="right" vertical="center"/>
    </xf>
    <xf numFmtId="1" fontId="23" fillId="0" borderId="42" xfId="0" applyNumberFormat="1" applyFont="1" applyBorder="1" applyAlignment="1">
      <alignment horizontal="center" vertical="center"/>
    </xf>
    <xf numFmtId="164" fontId="23" fillId="0" borderId="20" xfId="0" applyNumberFormat="1" applyFont="1" applyBorder="1" applyAlignment="1">
      <alignment horizontal="center" vertical="center"/>
    </xf>
    <xf numFmtId="172" fontId="23" fillId="0" borderId="19" xfId="0" applyNumberFormat="1" applyFont="1" applyBorder="1" applyAlignment="1">
      <alignment horizontal="right" vertical="center"/>
    </xf>
    <xf numFmtId="164" fontId="23" fillId="0" borderId="46" xfId="0" applyNumberFormat="1" applyFont="1" applyBorder="1" applyAlignment="1">
      <alignment horizontal="center" vertical="center"/>
    </xf>
    <xf numFmtId="172" fontId="23" fillId="0" borderId="21" xfId="0" applyNumberFormat="1" applyFont="1" applyBorder="1" applyAlignment="1">
      <alignment horizontal="right" vertical="center"/>
    </xf>
    <xf numFmtId="168" fontId="23" fillId="0" borderId="42" xfId="0" applyNumberFormat="1" applyFont="1" applyBorder="1" applyAlignment="1">
      <alignment horizontal="center" vertical="center"/>
    </xf>
    <xf numFmtId="168" fontId="23" fillId="0" borderId="20" xfId="0" applyNumberFormat="1" applyFont="1" applyBorder="1" applyAlignment="1">
      <alignment horizontal="center" vertical="center"/>
    </xf>
    <xf numFmtId="2" fontId="23" fillId="0" borderId="20" xfId="0" applyNumberFormat="1" applyFont="1" applyBorder="1" applyAlignment="1">
      <alignment horizontal="center" vertical="center"/>
    </xf>
    <xf numFmtId="168" fontId="23" fillId="0" borderId="46" xfId="0" applyNumberFormat="1" applyFont="1" applyBorder="1" applyAlignment="1">
      <alignment horizontal="center" vertical="center"/>
    </xf>
    <xf numFmtId="2" fontId="23" fillId="0" borderId="46" xfId="0" applyNumberFormat="1" applyFont="1" applyBorder="1" applyAlignment="1">
      <alignment horizontal="center" vertical="center"/>
    </xf>
    <xf numFmtId="167" fontId="23" fillId="0" borderId="42" xfId="0" applyNumberFormat="1" applyFont="1" applyBorder="1" applyAlignment="1">
      <alignment horizontal="center" vertical="center"/>
    </xf>
    <xf numFmtId="167" fontId="23" fillId="0" borderId="20" xfId="0" applyNumberFormat="1" applyFont="1" applyBorder="1" applyAlignment="1">
      <alignment horizontal="center" vertical="center"/>
    </xf>
    <xf numFmtId="167" fontId="23" fillId="0" borderId="46" xfId="0" applyNumberFormat="1" applyFont="1" applyBorder="1" applyAlignment="1">
      <alignment horizontal="center" vertical="center"/>
    </xf>
    <xf numFmtId="0" fontId="0" fillId="8" borderId="24" xfId="0" applyFill="1" applyBorder="1"/>
    <xf numFmtId="0" fontId="0" fillId="8" borderId="27" xfId="0" applyFill="1" applyBorder="1"/>
    <xf numFmtId="0" fontId="0" fillId="19" borderId="37" xfId="0" quotePrefix="1" applyFill="1" applyBorder="1"/>
    <xf numFmtId="0" fontId="0" fillId="8" borderId="48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2" fontId="0" fillId="8" borderId="26" xfId="0" applyNumberFormat="1" applyFill="1" applyBorder="1" applyAlignment="1">
      <alignment horizontal="center"/>
    </xf>
    <xf numFmtId="172" fontId="0" fillId="8" borderId="26" xfId="0" applyNumberFormat="1" applyFill="1" applyBorder="1" applyAlignment="1">
      <alignment horizontal="center"/>
    </xf>
    <xf numFmtId="1" fontId="0" fillId="8" borderId="26" xfId="0" applyNumberFormat="1" applyFill="1" applyBorder="1" applyAlignment="1">
      <alignment horizontal="center"/>
    </xf>
    <xf numFmtId="0" fontId="0" fillId="8" borderId="44" xfId="0" applyFill="1" applyBorder="1" applyAlignment="1">
      <alignment horizontal="center"/>
    </xf>
    <xf numFmtId="2" fontId="0" fillId="8" borderId="0" xfId="0" applyNumberFormat="1" applyFill="1" applyAlignment="1">
      <alignment horizontal="center"/>
    </xf>
    <xf numFmtId="167" fontId="0" fillId="8" borderId="0" xfId="0" applyNumberFormat="1" applyFill="1" applyAlignment="1">
      <alignment horizontal="center"/>
    </xf>
    <xf numFmtId="0" fontId="2" fillId="21" borderId="0" xfId="0" applyFont="1" applyFill="1"/>
    <xf numFmtId="0" fontId="0" fillId="21" borderId="0" xfId="0" applyFill="1"/>
    <xf numFmtId="0" fontId="0" fillId="21" borderId="0" xfId="0" applyFill="1" applyBorder="1"/>
    <xf numFmtId="0" fontId="24" fillId="21" borderId="38" xfId="0" applyFont="1" applyFill="1" applyBorder="1" applyAlignment="1">
      <alignment horizontal="center" vertical="top" wrapText="1"/>
    </xf>
    <xf numFmtId="0" fontId="30" fillId="21" borderId="38" xfId="0" applyFont="1" applyFill="1" applyBorder="1" applyAlignment="1">
      <alignment horizontal="center" vertical="top" wrapText="1"/>
    </xf>
    <xf numFmtId="0" fontId="24" fillId="21" borderId="0" xfId="0" applyFont="1" applyFill="1" applyBorder="1" applyAlignment="1">
      <alignment horizontal="center" vertical="top" wrapText="1"/>
    </xf>
    <xf numFmtId="193" fontId="24" fillId="21" borderId="0" xfId="0" applyNumberFormat="1" applyFont="1" applyFill="1" applyBorder="1" applyAlignment="1">
      <alignment horizontal="right"/>
    </xf>
    <xf numFmtId="185" fontId="24" fillId="21" borderId="0" xfId="0" applyNumberFormat="1" applyFont="1" applyFill="1" applyBorder="1" applyAlignment="1">
      <alignment horizontal="right"/>
    </xf>
    <xf numFmtId="172" fontId="24" fillId="21" borderId="0" xfId="0" applyNumberFormat="1" applyFont="1" applyFill="1" applyAlignment="1">
      <alignment horizontal="center"/>
    </xf>
    <xf numFmtId="196" fontId="24" fillId="21" borderId="0" xfId="0" applyNumberFormat="1" applyFont="1" applyFill="1" applyAlignment="1">
      <alignment horizontal="right" indent="1"/>
    </xf>
    <xf numFmtId="187" fontId="24" fillId="21" borderId="0" xfId="0" applyNumberFormat="1" applyFont="1" applyFill="1" applyBorder="1" applyAlignment="1">
      <alignment horizontal="right"/>
    </xf>
    <xf numFmtId="192" fontId="24" fillId="21" borderId="0" xfId="0" applyNumberFormat="1" applyFont="1" applyFill="1" applyBorder="1" applyAlignment="1">
      <alignment horizontal="right"/>
    </xf>
    <xf numFmtId="188" fontId="24" fillId="21" borderId="0" xfId="0" applyNumberFormat="1" applyFont="1" applyFill="1" applyAlignment="1">
      <alignment horizontal="right" indent="1"/>
    </xf>
    <xf numFmtId="189" fontId="24" fillId="21" borderId="0" xfId="0" applyNumberFormat="1" applyFont="1" applyFill="1" applyBorder="1" applyAlignment="1">
      <alignment horizontal="right"/>
    </xf>
    <xf numFmtId="186" fontId="24" fillId="21" borderId="0" xfId="0" applyNumberFormat="1" applyFont="1" applyFill="1" applyAlignment="1">
      <alignment horizontal="right" indent="1"/>
    </xf>
    <xf numFmtId="190" fontId="24" fillId="21" borderId="0" xfId="0" applyNumberFormat="1" applyFont="1" applyFill="1" applyAlignment="1">
      <alignment horizontal="right" indent="1"/>
    </xf>
    <xf numFmtId="194" fontId="24" fillId="21" borderId="0" xfId="0" applyNumberFormat="1" applyFont="1" applyFill="1" applyAlignment="1">
      <alignment horizontal="right" indent="1"/>
    </xf>
    <xf numFmtId="195" fontId="24" fillId="21" borderId="0" xfId="0" applyNumberFormat="1" applyFont="1" applyFill="1" applyAlignment="1">
      <alignment horizontal="right" indent="1"/>
    </xf>
    <xf numFmtId="0" fontId="2" fillId="13" borderId="0" xfId="0" applyFont="1" applyFill="1"/>
    <xf numFmtId="0" fontId="24" fillId="13" borderId="38" xfId="0" applyFont="1" applyFill="1" applyBorder="1" applyAlignment="1">
      <alignment horizontal="center" vertical="top" wrapText="1"/>
    </xf>
    <xf numFmtId="0" fontId="30" fillId="13" borderId="38" xfId="0" applyFont="1" applyFill="1" applyBorder="1" applyAlignment="1">
      <alignment horizontal="center" vertical="top" wrapText="1"/>
    </xf>
    <xf numFmtId="0" fontId="24" fillId="13" borderId="0" xfId="0" applyFont="1" applyFill="1" applyBorder="1" applyAlignment="1">
      <alignment horizontal="center" vertical="top" wrapText="1"/>
    </xf>
    <xf numFmtId="193" fontId="24" fillId="13" borderId="0" xfId="0" applyNumberFormat="1" applyFont="1" applyFill="1" applyBorder="1" applyAlignment="1">
      <alignment horizontal="right"/>
    </xf>
    <xf numFmtId="185" fontId="24" fillId="13" borderId="0" xfId="0" applyNumberFormat="1" applyFont="1" applyFill="1" applyBorder="1" applyAlignment="1">
      <alignment horizontal="right"/>
    </xf>
    <xf numFmtId="172" fontId="24" fillId="13" borderId="0" xfId="0" applyNumberFormat="1" applyFont="1" applyFill="1" applyAlignment="1">
      <alignment horizontal="center"/>
    </xf>
    <xf numFmtId="196" fontId="24" fillId="13" borderId="0" xfId="0" applyNumberFormat="1" applyFont="1" applyFill="1" applyAlignment="1">
      <alignment horizontal="right" indent="1"/>
    </xf>
    <xf numFmtId="187" fontId="24" fillId="13" borderId="0" xfId="0" applyNumberFormat="1" applyFont="1" applyFill="1" applyBorder="1" applyAlignment="1">
      <alignment horizontal="right"/>
    </xf>
    <xf numFmtId="192" fontId="24" fillId="13" borderId="0" xfId="0" applyNumberFormat="1" applyFont="1" applyFill="1" applyBorder="1" applyAlignment="1">
      <alignment horizontal="right"/>
    </xf>
    <xf numFmtId="188" fontId="24" fillId="13" borderId="0" xfId="0" applyNumberFormat="1" applyFont="1" applyFill="1" applyAlignment="1">
      <alignment horizontal="right" indent="1"/>
    </xf>
    <xf numFmtId="189" fontId="24" fillId="13" borderId="0" xfId="0" applyNumberFormat="1" applyFont="1" applyFill="1" applyBorder="1" applyAlignment="1">
      <alignment horizontal="right"/>
    </xf>
    <xf numFmtId="186" fontId="24" fillId="13" borderId="0" xfId="0" applyNumberFormat="1" applyFont="1" applyFill="1" applyAlignment="1">
      <alignment horizontal="right" indent="1"/>
    </xf>
    <xf numFmtId="190" fontId="24" fillId="13" borderId="0" xfId="0" applyNumberFormat="1" applyFont="1" applyFill="1" applyAlignment="1">
      <alignment horizontal="right" indent="1"/>
    </xf>
    <xf numFmtId="194" fontId="24" fillId="13" borderId="0" xfId="0" applyNumberFormat="1" applyFont="1" applyFill="1" applyAlignment="1">
      <alignment horizontal="right" indent="1"/>
    </xf>
    <xf numFmtId="195" fontId="24" fillId="13" borderId="0" xfId="0" applyNumberFormat="1" applyFont="1" applyFill="1" applyAlignment="1">
      <alignment horizontal="right" indent="1"/>
    </xf>
    <xf numFmtId="197" fontId="24" fillId="0" borderId="0" xfId="0" applyNumberFormat="1" applyFont="1" applyAlignment="1">
      <alignment horizontal="right" indent="1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167" fontId="23" fillId="0" borderId="49" xfId="0" applyNumberFormat="1" applyFont="1" applyBorder="1" applyAlignment="1">
      <alignment horizontal="center" vertical="center"/>
    </xf>
    <xf numFmtId="172" fontId="23" fillId="0" borderId="18" xfId="0" applyNumberFormat="1" applyFont="1" applyBorder="1" applyAlignment="1">
      <alignment horizontal="center" vertical="center"/>
    </xf>
    <xf numFmtId="172" fontId="23" fillId="0" borderId="50" xfId="0" applyNumberFormat="1" applyFont="1" applyBorder="1" applyAlignment="1">
      <alignment horizontal="center" vertical="center"/>
    </xf>
    <xf numFmtId="168" fontId="23" fillId="0" borderId="49" xfId="0" applyNumberFormat="1" applyFont="1" applyBorder="1" applyAlignment="1">
      <alignment horizontal="center" vertical="center"/>
    </xf>
    <xf numFmtId="0" fontId="23" fillId="0" borderId="49" xfId="0" applyFont="1" applyBorder="1" applyAlignment="1">
      <alignment horizontal="center" vertical="center"/>
    </xf>
    <xf numFmtId="165" fontId="23" fillId="0" borderId="49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23" fillId="0" borderId="49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23" fillId="0" borderId="49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2" fontId="23" fillId="0" borderId="49" xfId="0" applyNumberFormat="1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167" fontId="23" fillId="0" borderId="36" xfId="0" applyNumberFormat="1" applyFont="1" applyBorder="1" applyAlignment="1">
      <alignment horizontal="center" vertical="center"/>
    </xf>
    <xf numFmtId="172" fontId="23" fillId="0" borderId="51" xfId="0" applyNumberFormat="1" applyFont="1" applyBorder="1" applyAlignment="1">
      <alignment horizontal="center" vertical="center"/>
    </xf>
    <xf numFmtId="2" fontId="23" fillId="0" borderId="36" xfId="0" applyNumberFormat="1" applyFont="1" applyBorder="1" applyAlignment="1">
      <alignment horizontal="center" vertical="center"/>
    </xf>
    <xf numFmtId="172" fontId="23" fillId="0" borderId="8" xfId="0" applyNumberFormat="1" applyFont="1" applyBorder="1" applyAlignment="1">
      <alignment horizontal="center" vertical="center"/>
    </xf>
    <xf numFmtId="1" fontId="23" fillId="0" borderId="49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2" fontId="23" fillId="0" borderId="29" xfId="0" applyNumberFormat="1" applyFont="1" applyBorder="1" applyAlignment="1">
      <alignment horizontal="center" vertical="center"/>
    </xf>
    <xf numFmtId="0" fontId="0" fillId="0" borderId="0" xfId="0" applyAlignment="1"/>
    <xf numFmtId="2" fontId="23" fillId="0" borderId="18" xfId="0" applyNumberFormat="1" applyFont="1" applyBorder="1" applyAlignment="1">
      <alignment horizontal="center" vertical="center"/>
    </xf>
    <xf numFmtId="167" fontId="23" fillId="0" borderId="18" xfId="0" applyNumberFormat="1" applyFont="1" applyBorder="1" applyAlignment="1">
      <alignment horizontal="center" vertical="center"/>
    </xf>
    <xf numFmtId="2" fontId="23" fillId="0" borderId="29" xfId="0" applyNumberFormat="1" applyFont="1" applyBorder="1" applyAlignment="1">
      <alignment horizontal="center" vertical="center"/>
    </xf>
    <xf numFmtId="167" fontId="23" fillId="0" borderId="29" xfId="0" applyNumberFormat="1" applyFont="1" applyBorder="1" applyAlignment="1">
      <alignment horizontal="center" vertical="center"/>
    </xf>
    <xf numFmtId="0" fontId="23" fillId="0" borderId="52" xfId="0" applyFon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164" fontId="23" fillId="0" borderId="36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7" borderId="0" xfId="0" applyFont="1" applyFill="1"/>
    <xf numFmtId="0" fontId="2" fillId="0" borderId="0" xfId="0" applyFont="1" applyAlignment="1">
      <alignment horizontal="center" vertical="center"/>
    </xf>
    <xf numFmtId="0" fontId="2" fillId="7" borderId="18" xfId="0" applyFont="1" applyFill="1" applyBorder="1" applyAlignment="1">
      <alignment horizontal="center"/>
    </xf>
    <xf numFmtId="0" fontId="2" fillId="7" borderId="18" xfId="0" applyFont="1" applyFill="1" applyBorder="1"/>
    <xf numFmtId="2" fontId="0" fillId="14" borderId="0" xfId="0" applyNumberFormat="1" applyFill="1"/>
    <xf numFmtId="0" fontId="23" fillId="0" borderId="40" xfId="0" applyFont="1" applyBorder="1" applyAlignment="1">
      <alignment horizontal="center" vertical="top"/>
    </xf>
    <xf numFmtId="0" fontId="23" fillId="0" borderId="42" xfId="0" applyFont="1" applyBorder="1" applyAlignment="1">
      <alignment horizontal="center" vertical="top"/>
    </xf>
    <xf numFmtId="0" fontId="23" fillId="0" borderId="40" xfId="0" applyFont="1" applyBorder="1" applyAlignment="1">
      <alignment horizontal="center" vertical="top" wrapText="1"/>
    </xf>
    <xf numFmtId="0" fontId="23" fillId="0" borderId="21" xfId="0" applyFont="1" applyBorder="1" applyAlignment="1">
      <alignment horizontal="center"/>
    </xf>
    <xf numFmtId="0" fontId="23" fillId="0" borderId="46" xfId="0" applyFont="1" applyBorder="1" applyAlignment="1">
      <alignment horizontal="center"/>
    </xf>
    <xf numFmtId="0" fontId="23" fillId="0" borderId="44" xfId="0" applyFont="1" applyBorder="1" applyAlignment="1">
      <alignment horizontal="center"/>
    </xf>
    <xf numFmtId="0" fontId="16" fillId="0" borderId="40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170" fontId="8" fillId="0" borderId="35" xfId="0" applyNumberFormat="1" applyFont="1" applyBorder="1" applyAlignment="1" applyProtection="1">
      <alignment horizontal="center"/>
    </xf>
    <xf numFmtId="170" fontId="8" fillId="0" borderId="45" xfId="0" applyNumberFormat="1" applyFont="1" applyBorder="1" applyAlignment="1" applyProtection="1">
      <alignment horizontal="center"/>
    </xf>
    <xf numFmtId="0" fontId="8" fillId="0" borderId="35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170" fontId="8" fillId="0" borderId="21" xfId="0" applyNumberFormat="1" applyFont="1" applyBorder="1" applyAlignment="1" applyProtection="1">
      <alignment horizontal="center"/>
    </xf>
    <xf numFmtId="170" fontId="8" fillId="0" borderId="46" xfId="0" applyNumberFormat="1" applyFont="1" applyBorder="1" applyAlignment="1" applyProtection="1">
      <alignment horizontal="center"/>
    </xf>
    <xf numFmtId="0" fontId="8" fillId="0" borderId="21" xfId="0" applyFont="1" applyBorder="1" applyAlignment="1">
      <alignment horizontal="center"/>
    </xf>
    <xf numFmtId="0" fontId="8" fillId="0" borderId="46" xfId="0" applyFont="1" applyBorder="1" applyAlignment="1">
      <alignment horizontal="center"/>
    </xf>
    <xf numFmtId="0" fontId="16" fillId="0" borderId="40" xfId="0" applyFont="1" applyBorder="1" applyAlignment="1">
      <alignment horizontal="center" vertical="center"/>
    </xf>
    <xf numFmtId="0" fontId="16" fillId="0" borderId="47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</cellXfs>
  <cellStyles count="4">
    <cellStyle name="Heading 2" xfId="1" builtinId="17" customBuiltin="1"/>
    <cellStyle name="Normal" xfId="0" builtinId="0"/>
    <cellStyle name="Normal_Uncertainty" xfId="2" xr:uid="{00000000-0005-0000-0000-000002000000}"/>
    <cellStyle name="Normal_Universal Bridge" xfId="3" xr:uid="{00000000-0005-0000-0000-000003000000}"/>
  </cellStyles>
  <dxfs count="2">
    <dxf>
      <font>
        <condense val="0"/>
        <extend val="0"/>
        <color indexed="10"/>
      </font>
    </dxf>
    <dxf>
      <font>
        <condense val="0"/>
        <extend val="0"/>
        <color indexed="1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Old16074A!$A$50</c:f>
          <c:strCache>
            <c:ptCount val="1"/>
            <c:pt idx="0">
              <c:v>53_0 ohm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Old16074A!$C$52:$C$56</c:f>
                <c:numCache>
                  <c:formatCode>General</c:formatCode>
                  <c:ptCount val="5"/>
                  <c:pt idx="0">
                    <c:v>9.3189775214891274E-2</c:v>
                  </c:pt>
                  <c:pt idx="1">
                    <c:v>1.0188356511560991E-2</c:v>
                  </c:pt>
                  <c:pt idx="2">
                    <c:v>1.4746122829393967E-2</c:v>
                  </c:pt>
                  <c:pt idx="3">
                    <c:v>6.3240717489629859E-3</c:v>
                  </c:pt>
                  <c:pt idx="4">
                    <c:v>6.1747320241102386E-3</c:v>
                  </c:pt>
                </c:numCache>
              </c:numRef>
            </c:plus>
            <c:minus>
              <c:numRef>
                <c:f>Old16074A!$C$52:$C$56</c:f>
                <c:numCache>
                  <c:formatCode>General</c:formatCode>
                  <c:ptCount val="5"/>
                  <c:pt idx="0">
                    <c:v>9.3189775214891274E-2</c:v>
                  </c:pt>
                  <c:pt idx="1">
                    <c:v>1.0188356511560991E-2</c:v>
                  </c:pt>
                  <c:pt idx="2">
                    <c:v>1.4746122829393967E-2</c:v>
                  </c:pt>
                  <c:pt idx="3">
                    <c:v>6.3240717489629859E-3</c:v>
                  </c:pt>
                  <c:pt idx="4">
                    <c:v>6.1747320241102386E-3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Old16074A!$A$51:$A$56</c:f>
              <c:numCache>
                <c:formatCode>d\-mmm\-yy</c:formatCode>
                <c:ptCount val="6"/>
                <c:pt idx="0">
                  <c:v>43073</c:v>
                </c:pt>
                <c:pt idx="1">
                  <c:v>41948</c:v>
                </c:pt>
                <c:pt idx="2">
                  <c:v>40668</c:v>
                </c:pt>
                <c:pt idx="3">
                  <c:v>38398</c:v>
                </c:pt>
                <c:pt idx="4">
                  <c:v>37231</c:v>
                </c:pt>
                <c:pt idx="5">
                  <c:v>36143</c:v>
                </c:pt>
              </c:numCache>
            </c:numRef>
          </c:xVal>
          <c:yVal>
            <c:numRef>
              <c:f>Old16074A!$B$51:$B$56</c:f>
              <c:numCache>
                <c:formatCode>General</c:formatCode>
                <c:ptCount val="6"/>
                <c:pt idx="0">
                  <c:v>3.8512722691834629</c:v>
                </c:pt>
                <c:pt idx="1">
                  <c:v>3.8312702713885258</c:v>
                </c:pt>
                <c:pt idx="2">
                  <c:v>3.8322218984877865</c:v>
                </c:pt>
                <c:pt idx="3">
                  <c:v>3.8122175889600025</c:v>
                </c:pt>
                <c:pt idx="4">
                  <c:v>3.8131927566804933</c:v>
                </c:pt>
                <c:pt idx="5">
                  <c:v>3.8141825739250157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5-4D74-B712-6EA97822F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478528"/>
        <c:axId val="731482792"/>
      </c:scatterChart>
      <c:scatterChart>
        <c:scatterStyle val="lineMarker"/>
        <c:varyColors val="0"/>
        <c:ser>
          <c:idx val="1"/>
          <c:order val="1"/>
          <c:tx>
            <c:strRef>
              <c:f>Old16074A!$D$50</c:f>
              <c:strCache>
                <c:ptCount val="1"/>
                <c:pt idx="0">
                  <c:v>Reactance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Old16074A!$E$52:$E$56</c:f>
                <c:numCache>
                  <c:formatCode>General</c:formatCode>
                  <c:ptCount val="5"/>
                  <c:pt idx="0">
                    <c:v>9.3197265801968562E-3</c:v>
                  </c:pt>
                  <c:pt idx="1">
                    <c:v>1.5978883640538642E-2</c:v>
                  </c:pt>
                  <c:pt idx="2">
                    <c:v>9.2740293890837197E-3</c:v>
                  </c:pt>
                  <c:pt idx="3">
                    <c:v>1.0091324616682221E-2</c:v>
                  </c:pt>
                  <c:pt idx="4">
                    <c:v>1.2347856070786992E-2</c:v>
                  </c:pt>
                </c:numCache>
              </c:numRef>
            </c:plus>
            <c:minus>
              <c:numRef>
                <c:f>Old16074A!$E$52:$E$56</c:f>
                <c:numCache>
                  <c:formatCode>General</c:formatCode>
                  <c:ptCount val="5"/>
                  <c:pt idx="0">
                    <c:v>9.3197265801968562E-3</c:v>
                  </c:pt>
                  <c:pt idx="1">
                    <c:v>1.5978883640538642E-2</c:v>
                  </c:pt>
                  <c:pt idx="2">
                    <c:v>9.2740293890837197E-3</c:v>
                  </c:pt>
                  <c:pt idx="3">
                    <c:v>1.0091324616682221E-2</c:v>
                  </c:pt>
                  <c:pt idx="4">
                    <c:v>1.2347856070786992E-2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Old16074A!$A$51:$A$56</c:f>
              <c:numCache>
                <c:formatCode>d\-mmm\-yy</c:formatCode>
                <c:ptCount val="6"/>
                <c:pt idx="0">
                  <c:v>43073</c:v>
                </c:pt>
                <c:pt idx="1">
                  <c:v>41948</c:v>
                </c:pt>
                <c:pt idx="2">
                  <c:v>40668</c:v>
                </c:pt>
                <c:pt idx="3">
                  <c:v>38398</c:v>
                </c:pt>
                <c:pt idx="4">
                  <c:v>37231</c:v>
                </c:pt>
                <c:pt idx="5">
                  <c:v>36143</c:v>
                </c:pt>
              </c:numCache>
            </c:numRef>
          </c:xVal>
          <c:yVal>
            <c:numRef>
              <c:f>Old16074A!$D$51:$D$56</c:f>
              <c:numCache>
                <c:formatCode>General</c:formatCode>
                <c:ptCount val="6"/>
                <c:pt idx="0">
                  <c:v>5.0010295429872851E-3</c:v>
                </c:pt>
                <c:pt idx="1">
                  <c:v>1.0002007000188887E-3</c:v>
                </c:pt>
                <c:pt idx="2">
                  <c:v>8.3014582942382113E-3</c:v>
                </c:pt>
                <c:pt idx="3">
                  <c:v>0</c:v>
                </c:pt>
                <c:pt idx="4">
                  <c:v>0</c:v>
                </c:pt>
                <c:pt idx="5">
                  <c:v>8.0013756402966749E-3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05-4D74-B712-6EA97822F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2159624"/>
        <c:axId val="822158640"/>
      </c:scatterChart>
      <c:valAx>
        <c:axId val="731478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82792"/>
        <c:crosses val="autoZero"/>
        <c:crossBetween val="midCat"/>
      </c:valAx>
      <c:valAx>
        <c:axId val="73148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478528"/>
        <c:crosses val="autoZero"/>
        <c:crossBetween val="midCat"/>
      </c:valAx>
      <c:valAx>
        <c:axId val="8221586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159624"/>
        <c:crosses val="max"/>
        <c:crossBetween val="midCat"/>
      </c:valAx>
      <c:valAx>
        <c:axId val="822159624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82215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Bridge'!$L$2:$L$13</c:f>
              <c:numCache>
                <c:formatCode>m/d/yyyy</c:formatCode>
                <c:ptCount val="12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  <c:pt idx="11">
                  <c:v>42125</c:v>
                </c:pt>
              </c:numCache>
            </c:numRef>
          </c:xVal>
          <c:yVal>
            <c:numRef>
              <c:f>'Universal Bridge'!$M$2:$M$13</c:f>
              <c:numCache>
                <c:formatCode>General</c:formatCode>
                <c:ptCount val="12"/>
                <c:pt idx="0">
                  <c:v>32</c:v>
                </c:pt>
                <c:pt idx="1">
                  <c:v>123.32</c:v>
                </c:pt>
                <c:pt idx="2">
                  <c:v>133</c:v>
                </c:pt>
                <c:pt idx="3">
                  <c:v>127.40600000000001</c:v>
                </c:pt>
                <c:pt idx="4">
                  <c:v>135.27000000000001</c:v>
                </c:pt>
                <c:pt idx="5" formatCode="0.0">
                  <c:v>124.15653400852065</c:v>
                </c:pt>
                <c:pt idx="6" formatCode="0.0">
                  <c:v>131.71484972722556</c:v>
                </c:pt>
                <c:pt idx="7" formatCode="0.0">
                  <c:v>123.9</c:v>
                </c:pt>
                <c:pt idx="8" formatCode="0.00">
                  <c:v>129.44934972722558</c:v>
                </c:pt>
                <c:pt idx="9">
                  <c:v>130.29869400282834</c:v>
                </c:pt>
                <c:pt idx="10">
                  <c:v>143.10000000006261</c:v>
                </c:pt>
                <c:pt idx="11" formatCode="0.0">
                  <c:v>162.99711690792583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F-47C4-BCC8-573F7D38C71F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Bridge'!$N$2:$N$12</c:f>
              <c:numCache>
                <c:formatCode>General</c:formatCode>
                <c:ptCount val="11"/>
                <c:pt idx="0">
                  <c:v>30.1</c:v>
                </c:pt>
                <c:pt idx="1">
                  <c:v>35</c:v>
                </c:pt>
                <c:pt idx="2">
                  <c:v>37</c:v>
                </c:pt>
                <c:pt idx="3">
                  <c:v>40.340000000000003</c:v>
                </c:pt>
                <c:pt idx="4" formatCode="0">
                  <c:v>43.374148761358811</c:v>
                </c:pt>
                <c:pt idx="5" formatCode="0.0">
                  <c:v>46.005999473575088</c:v>
                </c:pt>
                <c:pt idx="6" formatCode="0.0">
                  <c:v>47.52000000007861</c:v>
                </c:pt>
                <c:pt idx="7" formatCode="0.0">
                  <c:v>47.52000000007861</c:v>
                </c:pt>
                <c:pt idx="8">
                  <c:v>46.540000000261372</c:v>
                </c:pt>
                <c:pt idx="9">
                  <c:v>50.874703493297702</c:v>
                </c:pt>
                <c:pt idx="10">
                  <c:v>54.126077194238675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1F-47C4-BCC8-573F7D38C71F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Bridge'!$O$2:$O$12</c:f>
              <c:numCache>
                <c:formatCode>General</c:formatCode>
                <c:ptCount val="11"/>
                <c:pt idx="0">
                  <c:v>-12</c:v>
                </c:pt>
                <c:pt idx="1">
                  <c:v>-12</c:v>
                </c:pt>
                <c:pt idx="2">
                  <c:v>-14</c:v>
                </c:pt>
                <c:pt idx="3" formatCode="0.0">
                  <c:v>-17.21</c:v>
                </c:pt>
                <c:pt idx="4" formatCode="0.0">
                  <c:v>-16.35231834356091</c:v>
                </c:pt>
                <c:pt idx="5" formatCode="0.0">
                  <c:v>-17.319750828058801</c:v>
                </c:pt>
                <c:pt idx="6" formatCode="0.0">
                  <c:v>-16.235999999891781</c:v>
                </c:pt>
                <c:pt idx="7" formatCode="0.0">
                  <c:v>-16.235999999891781</c:v>
                </c:pt>
                <c:pt idx="8">
                  <c:v>-16.960000000287856</c:v>
                </c:pt>
                <c:pt idx="9">
                  <c:v>-14.104296506833869</c:v>
                </c:pt>
                <c:pt idx="10">
                  <c:v>-9.8547183057240417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1F-47C4-BCC8-573F7D38C71F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Bridge'!$P$2:$P$12</c:f>
              <c:numCache>
                <c:formatCode>General</c:formatCode>
                <c:ptCount val="11"/>
                <c:pt idx="0">
                  <c:v>53</c:v>
                </c:pt>
                <c:pt idx="1">
                  <c:v>#N/A</c:v>
                </c:pt>
                <c:pt idx="2">
                  <c:v>61</c:v>
                </c:pt>
                <c:pt idx="3">
                  <c:v>52</c:v>
                </c:pt>
                <c:pt idx="4" formatCode="0">
                  <c:v>67.003866063780151</c:v>
                </c:pt>
                <c:pt idx="5" formatCode="0.0">
                  <c:v>64.090992469401087</c:v>
                </c:pt>
                <c:pt idx="6" formatCode="0.0">
                  <c:v>63.740000000089836</c:v>
                </c:pt>
                <c:pt idx="7" formatCode="0.0">
                  <c:v>63.740000000089836</c:v>
                </c:pt>
                <c:pt idx="8">
                  <c:v>61.50000000015865</c:v>
                </c:pt>
                <c:pt idx="9">
                  <c:v>64.524703493384905</c:v>
                </c:pt>
                <c:pt idx="10">
                  <c:v>67.19327719428847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1F-47C4-BCC8-573F7D38C71F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1F-47C4-BCC8-573F7D38C71F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Bridge'!$R$2:$R$12</c:f>
              <c:numCache>
                <c:formatCode>General</c:formatCode>
                <c:ptCount val="11"/>
                <c:pt idx="0">
                  <c:v>8.6999999999999993</c:v>
                </c:pt>
                <c:pt idx="1">
                  <c:v>4</c:v>
                </c:pt>
                <c:pt idx="2">
                  <c:v>6</c:v>
                </c:pt>
                <c:pt idx="3" formatCode="0.0">
                  <c:v>6.21</c:v>
                </c:pt>
                <c:pt idx="4" formatCode="0.0">
                  <c:v>6.6891116768238135</c:v>
                </c:pt>
                <c:pt idx="5" formatCode="0.0">
                  <c:v>7.47625082806357</c:v>
                </c:pt>
                <c:pt idx="6" formatCode="0.0">
                  <c:v>7.5959999999986039</c:v>
                </c:pt>
                <c:pt idx="7" formatCode="0.0">
                  <c:v>7.5959999999986039</c:v>
                </c:pt>
                <c:pt idx="8">
                  <c:v>9.0000000000367564</c:v>
                </c:pt>
                <c:pt idx="9">
                  <c:v>7.4752965067981236</c:v>
                </c:pt>
                <c:pt idx="10">
                  <c:v>7.496058305744846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1F-47C4-BCC8-573F7D38C71F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1F-47C4-BCC8-573F7D38C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67712"/>
        <c:axId val="64469248"/>
      </c:scatterChart>
      <c:valAx>
        <c:axId val="64467712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469248"/>
        <c:crosses val="autoZero"/>
        <c:crossBetween val="midCat"/>
      </c:valAx>
      <c:valAx>
        <c:axId val="6446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4677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'Universal Bridge'!$M$1</c:f>
              <c:strCache>
                <c:ptCount val="1"/>
                <c:pt idx="0">
                  <c:v>C1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Bridge'!$L$2:$L$13</c:f>
              <c:numCache>
                <c:formatCode>m/d/yyyy</c:formatCode>
                <c:ptCount val="12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  <c:pt idx="11">
                  <c:v>42125</c:v>
                </c:pt>
              </c:numCache>
            </c:numRef>
          </c:xVal>
          <c:yVal>
            <c:numRef>
              <c:f>'Universal Bridge'!$Y$2:$Y$13</c:f>
              <c:numCache>
                <c:formatCode>General</c:formatCode>
                <c:ptCount val="12"/>
                <c:pt idx="0">
                  <c:v>-91.32</c:v>
                </c:pt>
                <c:pt idx="1">
                  <c:v>0</c:v>
                </c:pt>
                <c:pt idx="2">
                  <c:v>9.6800000000000068</c:v>
                </c:pt>
                <c:pt idx="3">
                  <c:v>4.0860000000000127</c:v>
                </c:pt>
                <c:pt idx="4">
                  <c:v>11.950000000000017</c:v>
                </c:pt>
                <c:pt idx="5">
                  <c:v>0.83653400852065829</c:v>
                </c:pt>
                <c:pt idx="6">
                  <c:v>8.3948497272255622</c:v>
                </c:pt>
                <c:pt idx="7">
                  <c:v>0.58000000000001251</c:v>
                </c:pt>
                <c:pt idx="8">
                  <c:v>6.1293497272255877</c:v>
                </c:pt>
                <c:pt idx="9">
                  <c:v>6.9786940028283482</c:v>
                </c:pt>
                <c:pt idx="10">
                  <c:v>19.780000000062614</c:v>
                </c:pt>
                <c:pt idx="11">
                  <c:v>39.677116907925836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B3-4E21-AE82-2142BFC66491}"/>
            </c:ext>
          </c:extLst>
        </c:ser>
        <c:ser>
          <c:idx val="1"/>
          <c:order val="1"/>
          <c:tx>
            <c:strRef>
              <c:f>'Universal Bridge'!$N$1</c:f>
              <c:strCache>
                <c:ptCount val="1"/>
                <c:pt idx="0">
                  <c:v>R4A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Bridge'!$Z$2:$Z$12</c:f>
              <c:numCache>
                <c:formatCode>General</c:formatCode>
                <c:ptCount val="11"/>
                <c:pt idx="0">
                  <c:v>0</c:v>
                </c:pt>
                <c:pt idx="1">
                  <c:v>4.8999999999999986</c:v>
                </c:pt>
                <c:pt idx="2">
                  <c:v>6.8999999999999986</c:v>
                </c:pt>
                <c:pt idx="3">
                  <c:v>10.240000000000002</c:v>
                </c:pt>
                <c:pt idx="4">
                  <c:v>13.274148761358809</c:v>
                </c:pt>
                <c:pt idx="5">
                  <c:v>15.905999473575086</c:v>
                </c:pt>
                <c:pt idx="6">
                  <c:v>17.420000000078609</c:v>
                </c:pt>
                <c:pt idx="7">
                  <c:v>17.420000000078609</c:v>
                </c:pt>
                <c:pt idx="8">
                  <c:v>16.440000000261371</c:v>
                </c:pt>
                <c:pt idx="9">
                  <c:v>20.7747034932977</c:v>
                </c:pt>
                <c:pt idx="10">
                  <c:v>24.026077194238674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B3-4E21-AE82-2142BFC66491}"/>
            </c:ext>
          </c:extLst>
        </c:ser>
        <c:ser>
          <c:idx val="2"/>
          <c:order val="2"/>
          <c:tx>
            <c:strRef>
              <c:f>'Universal Bridge'!$O$1</c:f>
              <c:strCache>
                <c:ptCount val="1"/>
                <c:pt idx="0">
                  <c:v>R4B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Bridge'!$AA$2:$AA$12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-2</c:v>
                </c:pt>
                <c:pt idx="3">
                  <c:v>-5.2100000000000009</c:v>
                </c:pt>
                <c:pt idx="4">
                  <c:v>-4.3523183435609099</c:v>
                </c:pt>
                <c:pt idx="5">
                  <c:v>-5.3197508280588011</c:v>
                </c:pt>
                <c:pt idx="6">
                  <c:v>-4.2359999998917814</c:v>
                </c:pt>
                <c:pt idx="7">
                  <c:v>-4.2359999998917814</c:v>
                </c:pt>
                <c:pt idx="8">
                  <c:v>-4.9600000002878559</c:v>
                </c:pt>
                <c:pt idx="9">
                  <c:v>-2.1042965068338688</c:v>
                </c:pt>
                <c:pt idx="10">
                  <c:v>2.1452816942759583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B3-4E21-AE82-2142BFC66491}"/>
            </c:ext>
          </c:extLst>
        </c:ser>
        <c:ser>
          <c:idx val="3"/>
          <c:order val="3"/>
          <c:tx>
            <c:strRef>
              <c:f>'Universal Bridge'!$P$1</c:f>
              <c:strCache>
                <c:ptCount val="1"/>
                <c:pt idx="0">
                  <c:v>R4C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Bridge'!$AB$2:$AB$12</c:f>
              <c:numCache>
                <c:formatCode>General</c:formatCode>
                <c:ptCount val="11"/>
                <c:pt idx="0">
                  <c:v>0</c:v>
                </c:pt>
                <c:pt idx="1">
                  <c:v>#N/A</c:v>
                </c:pt>
                <c:pt idx="2">
                  <c:v>8</c:v>
                </c:pt>
                <c:pt idx="3">
                  <c:v>-1</c:v>
                </c:pt>
                <c:pt idx="4">
                  <c:v>14.003866063780151</c:v>
                </c:pt>
                <c:pt idx="5">
                  <c:v>11.090992469401087</c:v>
                </c:pt>
                <c:pt idx="6">
                  <c:v>10.740000000089836</c:v>
                </c:pt>
                <c:pt idx="7">
                  <c:v>10.740000000089836</c:v>
                </c:pt>
                <c:pt idx="8">
                  <c:v>8.50000000015865</c:v>
                </c:pt>
                <c:pt idx="9">
                  <c:v>11.524703493384905</c:v>
                </c:pt>
                <c:pt idx="10">
                  <c:v>14.19327719428847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B3-4E21-AE82-2142BFC66491}"/>
            </c:ext>
          </c:extLst>
        </c:ser>
        <c:ser>
          <c:idx val="4"/>
          <c:order val="4"/>
          <c:tx>
            <c:strRef>
              <c:f>'Universal Bridge'!$Q$1</c:f>
              <c:strCache>
                <c:ptCount val="1"/>
                <c:pt idx="0">
                  <c:v>G1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Bridge'!$Q$2:$Q$12</c:f>
              <c:numCache>
                <c:formatCode>General</c:formatCode>
                <c:ptCount val="11"/>
                <c:pt idx="0">
                  <c:v>13</c:v>
                </c:pt>
                <c:pt idx="1">
                  <c:v>9</c:v>
                </c:pt>
                <c:pt idx="2">
                  <c:v>10</c:v>
                </c:pt>
                <c:pt idx="3" formatCode="0.0">
                  <c:v>11.21</c:v>
                </c:pt>
                <c:pt idx="4" formatCode="0.0">
                  <c:v>11.184371676790761</c:v>
                </c:pt>
                <c:pt idx="5" formatCode="0.0">
                  <c:v>12.022750828099106</c:v>
                </c:pt>
                <c:pt idx="6" formatCode="0.0">
                  <c:v>12.615999999798788</c:v>
                </c:pt>
                <c:pt idx="7" formatCode="0.0">
                  <c:v>12.615999999798788</c:v>
                </c:pt>
                <c:pt idx="8">
                  <c:v>13.840000000375774</c:v>
                </c:pt>
                <c:pt idx="9">
                  <c:v>12.507296506814036</c:v>
                </c:pt>
                <c:pt idx="10">
                  <c:v>12.948503305687531</c:v>
                </c:pt>
              </c:numCache>
            </c:numRef>
          </c:xVal>
          <c:yVal>
            <c:numRef>
              <c:f>'Universal Bridge'!$Q$3:$Q$12</c:f>
              <c:numCache>
                <c:formatCode>General</c:formatCode>
                <c:ptCount val="10"/>
                <c:pt idx="0">
                  <c:v>9</c:v>
                </c:pt>
                <c:pt idx="1">
                  <c:v>10</c:v>
                </c:pt>
                <c:pt idx="2" formatCode="0.0">
                  <c:v>11.21</c:v>
                </c:pt>
                <c:pt idx="3" formatCode="0.0">
                  <c:v>11.184371676790761</c:v>
                </c:pt>
                <c:pt idx="4" formatCode="0.0">
                  <c:v>12.022750828099106</c:v>
                </c:pt>
                <c:pt idx="5" formatCode="0.0">
                  <c:v>12.615999999798788</c:v>
                </c:pt>
                <c:pt idx="6" formatCode="0.0">
                  <c:v>12.615999999798788</c:v>
                </c:pt>
                <c:pt idx="7">
                  <c:v>13.840000000375774</c:v>
                </c:pt>
                <c:pt idx="8">
                  <c:v>12.507296506814036</c:v>
                </c:pt>
                <c:pt idx="9">
                  <c:v>12.948503305687531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B3-4E21-AE82-2142BFC66491}"/>
            </c:ext>
          </c:extLst>
        </c:ser>
        <c:ser>
          <c:idx val="5"/>
          <c:order val="5"/>
          <c:tx>
            <c:strRef>
              <c:f>'Universal Bridge'!$R$1</c:f>
              <c:strCache>
                <c:ptCount val="1"/>
                <c:pt idx="0">
                  <c:v>G2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Bridge'!$L$2:$L$12</c:f>
              <c:numCache>
                <c:formatCode>m/d/yyyy</c:formatCode>
                <c:ptCount val="11"/>
                <c:pt idx="0">
                  <c:v>31092</c:v>
                </c:pt>
                <c:pt idx="1">
                  <c:v>32477</c:v>
                </c:pt>
                <c:pt idx="2">
                  <c:v>33309</c:v>
                </c:pt>
                <c:pt idx="3">
                  <c:v>34933</c:v>
                </c:pt>
                <c:pt idx="4">
                  <c:v>36102</c:v>
                </c:pt>
                <c:pt idx="5">
                  <c:v>37142</c:v>
                </c:pt>
                <c:pt idx="6">
                  <c:v>38008</c:v>
                </c:pt>
                <c:pt idx="7">
                  <c:v>38035</c:v>
                </c:pt>
                <c:pt idx="8">
                  <c:v>38401</c:v>
                </c:pt>
                <c:pt idx="9">
                  <c:v>40038</c:v>
                </c:pt>
                <c:pt idx="10">
                  <c:v>41827</c:v>
                </c:pt>
              </c:numCache>
            </c:numRef>
          </c:xVal>
          <c:yVal>
            <c:numRef>
              <c:f>'Universal Bridge'!$AD$2:$AD$12</c:f>
              <c:numCache>
                <c:formatCode>General</c:formatCode>
                <c:ptCount val="11"/>
                <c:pt idx="0">
                  <c:v>0</c:v>
                </c:pt>
                <c:pt idx="1">
                  <c:v>-4.6999999999999993</c:v>
                </c:pt>
                <c:pt idx="2">
                  <c:v>-2.6999999999999993</c:v>
                </c:pt>
                <c:pt idx="3">
                  <c:v>-2.4899999999999993</c:v>
                </c:pt>
                <c:pt idx="4">
                  <c:v>-2.0108883231761858</c:v>
                </c:pt>
                <c:pt idx="5">
                  <c:v>-1.2237491719364293</c:v>
                </c:pt>
                <c:pt idx="6">
                  <c:v>-1.1040000000013954</c:v>
                </c:pt>
                <c:pt idx="7">
                  <c:v>-1.1040000000013954</c:v>
                </c:pt>
                <c:pt idx="8">
                  <c:v>0.30000000003675709</c:v>
                </c:pt>
                <c:pt idx="9">
                  <c:v>-1.2247034932018757</c:v>
                </c:pt>
                <c:pt idx="10">
                  <c:v>-1.2039416942551533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B3-4E21-AE82-2142BFC66491}"/>
            </c:ext>
          </c:extLst>
        </c:ser>
        <c:ser>
          <c:idx val="6"/>
          <c:order val="6"/>
          <c:tx>
            <c:strRef>
              <c:f>'Universal Bridge'!$S$1</c:f>
              <c:strCache>
                <c:ptCount val="1"/>
                <c:pt idx="0">
                  <c:v>c</c:v>
                </c:pt>
              </c:strCache>
            </c:strRef>
          </c:tx>
          <c:spPr>
            <a:ln w="28575">
              <a:noFill/>
            </a:ln>
          </c:spPr>
          <c:xVal>
            <c:numRef>
              <c:f>'Universal Bridge'!$L$3:$L$12</c:f>
              <c:numCache>
                <c:formatCode>m/d/yyyy</c:formatCode>
                <c:ptCount val="10"/>
                <c:pt idx="0">
                  <c:v>32477</c:v>
                </c:pt>
                <c:pt idx="1">
                  <c:v>33309</c:v>
                </c:pt>
                <c:pt idx="2">
                  <c:v>34933</c:v>
                </c:pt>
                <c:pt idx="3">
                  <c:v>36102</c:v>
                </c:pt>
                <c:pt idx="4">
                  <c:v>37142</c:v>
                </c:pt>
                <c:pt idx="5">
                  <c:v>38008</c:v>
                </c:pt>
                <c:pt idx="6">
                  <c:v>38035</c:v>
                </c:pt>
                <c:pt idx="7">
                  <c:v>38401</c:v>
                </c:pt>
                <c:pt idx="8">
                  <c:v>40038</c:v>
                </c:pt>
                <c:pt idx="9">
                  <c:v>41827</c:v>
                </c:pt>
              </c:numCache>
            </c:numRef>
          </c:xVal>
          <c:yVal>
            <c:numRef>
              <c:f>'Universal Bridge'!$S$3:$S$12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5.2</c:v>
                </c:pt>
                <c:pt idx="7">
                  <c:v>5.7</c:v>
                </c:pt>
                <c:pt idx="8">
                  <c:v>2</c:v>
                </c:pt>
                <c:pt idx="9">
                  <c:v>10.97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3B3-4E21-AE82-2142BFC66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25280"/>
        <c:axId val="64631168"/>
      </c:scatterChart>
      <c:valAx>
        <c:axId val="64625280"/>
        <c:scaling>
          <c:orientation val="minMax"/>
          <c:min val="31000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4631168"/>
        <c:crosses val="autoZero"/>
        <c:crossBetween val="midCat"/>
      </c:valAx>
      <c:valAx>
        <c:axId val="64631168"/>
        <c:scaling>
          <c:orientation val="minMax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625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'HP 16380 history'!$A$118</c:f>
          <c:strCache>
            <c:ptCount val="1"/>
            <c:pt idx="0">
              <c:v>HP 16387A 1 µF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'HP 16380 history'!$B$119</c:f>
              <c:strCache>
                <c:ptCount val="1"/>
                <c:pt idx="0">
                  <c:v>C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'HP 16380 history'!$C$120:$C$128</c:f>
                <c:numCache>
                  <c:formatCode>General</c:formatCode>
                  <c:ptCount val="9"/>
                  <c:pt idx="0">
                    <c:v>1.9996799999999999E-4</c:v>
                  </c:pt>
                  <c:pt idx="1">
                    <c:v>1.2E-4</c:v>
                  </c:pt>
                  <c:pt idx="2">
                    <c:v>1.2E-4</c:v>
                  </c:pt>
                  <c:pt idx="3">
                    <c:v>1.2E-4</c:v>
                  </c:pt>
                  <c:pt idx="4">
                    <c:v>1.2E-4</c:v>
                  </c:pt>
                  <c:pt idx="5">
                    <c:v>1.1134708971278611E-4</c:v>
                  </c:pt>
                  <c:pt idx="6">
                    <c:v>4.289074683682029E-5</c:v>
                  </c:pt>
                  <c:pt idx="7">
                    <c:v>4.2890875344783289E-5</c:v>
                  </c:pt>
                  <c:pt idx="8">
                    <c:v>8.55027445036677E-3</c:v>
                  </c:pt>
                </c:numCache>
              </c:numRef>
            </c:plus>
            <c:minus>
              <c:numRef>
                <c:f>'HP 16380 history'!$C$120:$C$128</c:f>
                <c:numCache>
                  <c:formatCode>General</c:formatCode>
                  <c:ptCount val="9"/>
                  <c:pt idx="0">
                    <c:v>1.9996799999999999E-4</c:v>
                  </c:pt>
                  <c:pt idx="1">
                    <c:v>1.2E-4</c:v>
                  </c:pt>
                  <c:pt idx="2">
                    <c:v>1.2E-4</c:v>
                  </c:pt>
                  <c:pt idx="3">
                    <c:v>1.2E-4</c:v>
                  </c:pt>
                  <c:pt idx="4">
                    <c:v>1.2E-4</c:v>
                  </c:pt>
                  <c:pt idx="5">
                    <c:v>1.1134708971278611E-4</c:v>
                  </c:pt>
                  <c:pt idx="6">
                    <c:v>4.289074683682029E-5</c:v>
                  </c:pt>
                  <c:pt idx="7">
                    <c:v>4.2890875344783289E-5</c:v>
                  </c:pt>
                  <c:pt idx="8">
                    <c:v>8.55027445036677E-3</c:v>
                  </c:pt>
                </c:numCache>
              </c:numRef>
            </c:minus>
            <c:spPr>
              <a:ln w="317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'HP 16380 history'!$A$120:$A$128</c:f>
              <c:numCache>
                <c:formatCode>m/d/yyyy</c:formatCode>
                <c:ptCount val="9"/>
                <c:pt idx="0">
                  <c:v>34186</c:v>
                </c:pt>
                <c:pt idx="1">
                  <c:v>34989</c:v>
                </c:pt>
                <c:pt idx="2">
                  <c:v>35761</c:v>
                </c:pt>
                <c:pt idx="3">
                  <c:v>36753</c:v>
                </c:pt>
                <c:pt idx="4">
                  <c:v>37459</c:v>
                </c:pt>
                <c:pt idx="5">
                  <c:v>38405</c:v>
                </c:pt>
                <c:pt idx="6">
                  <c:v>40680</c:v>
                </c:pt>
                <c:pt idx="7">
                  <c:v>41863</c:v>
                </c:pt>
                <c:pt idx="8">
                  <c:v>43059</c:v>
                </c:pt>
              </c:numCache>
            </c:numRef>
          </c:xVal>
          <c:yVal>
            <c:numRef>
              <c:f>'HP 16380 history'!$B$120:$B$128</c:f>
              <c:numCache>
                <c:formatCode>0.00000</c:formatCode>
                <c:ptCount val="9"/>
                <c:pt idx="0">
                  <c:v>0.99983999999999995</c:v>
                </c:pt>
                <c:pt idx="1">
                  <c:v>0.99985999999999997</c:v>
                </c:pt>
                <c:pt idx="2">
                  <c:v>0.99985000000000002</c:v>
                </c:pt>
                <c:pt idx="3">
                  <c:v>0.99988999999999995</c:v>
                </c:pt>
                <c:pt idx="4">
                  <c:v>0.99987999999999999</c:v>
                </c:pt>
                <c:pt idx="5">
                  <c:v>0.9998881970720439</c:v>
                </c:pt>
                <c:pt idx="6">
                  <c:v>0.99990093687267345</c:v>
                </c:pt>
                <c:pt idx="7">
                  <c:v>0.9999044961601945</c:v>
                </c:pt>
                <c:pt idx="8">
                  <c:v>105.7673773205963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5A-4F3B-AC16-1F54279AC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59168"/>
        <c:axId val="154760704"/>
      </c:scatterChart>
      <c:scatterChart>
        <c:scatterStyle val="lineMarker"/>
        <c:varyColors val="0"/>
        <c:ser>
          <c:idx val="1"/>
          <c:order val="1"/>
          <c:tx>
            <c:strRef>
              <c:f>'HP 16380 history'!$D$119</c:f>
              <c:strCache>
                <c:ptCount val="1"/>
                <c:pt idx="0">
                  <c:v>delta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'HP 16380 history'!$E$120:$E$128</c:f>
                <c:numCache>
                  <c:formatCode>General</c:formatCode>
                  <c:ptCount val="9"/>
                  <c:pt idx="0">
                    <c:v>0.1</c:v>
                  </c:pt>
                  <c:pt idx="1">
                    <c:v>3.9E-2</c:v>
                  </c:pt>
                  <c:pt idx="2">
                    <c:v>3.9E-2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3.4393445337098753E-2</c:v>
                  </c:pt>
                  <c:pt idx="6">
                    <c:v>3.4533547399875526E-2</c:v>
                  </c:pt>
                  <c:pt idx="7">
                    <c:v>3.4533527576831355E-2</c:v>
                  </c:pt>
                  <c:pt idx="8">
                    <c:v>6.5656329226582741E-4</c:v>
                  </c:pt>
                </c:numCache>
              </c:numRef>
            </c:plus>
            <c:minus>
              <c:numRef>
                <c:f>'HP 16380 history'!$E$120:$E$128</c:f>
                <c:numCache>
                  <c:formatCode>General</c:formatCode>
                  <c:ptCount val="9"/>
                  <c:pt idx="0">
                    <c:v>0.1</c:v>
                  </c:pt>
                  <c:pt idx="1">
                    <c:v>3.9E-2</c:v>
                  </c:pt>
                  <c:pt idx="2">
                    <c:v>3.9E-2</c:v>
                  </c:pt>
                  <c:pt idx="3">
                    <c:v>0.04</c:v>
                  </c:pt>
                  <c:pt idx="4">
                    <c:v>0.04</c:v>
                  </c:pt>
                  <c:pt idx="5">
                    <c:v>3.4393445337098753E-2</c:v>
                  </c:pt>
                  <c:pt idx="6">
                    <c:v>3.4533547399875526E-2</c:v>
                  </c:pt>
                  <c:pt idx="7">
                    <c:v>3.4533527576831355E-2</c:v>
                  </c:pt>
                  <c:pt idx="8">
                    <c:v>6.5656329226582741E-4</c:v>
                  </c:pt>
                </c:numCache>
              </c:numRef>
            </c:minus>
            <c:spPr>
              <a:ln>
                <a:solidFill>
                  <a:srgbClr val="FF000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'HP 16380 history'!$A$120:$A$128</c:f>
              <c:numCache>
                <c:formatCode>m/d/yyyy</c:formatCode>
                <c:ptCount val="9"/>
                <c:pt idx="0">
                  <c:v>34186</c:v>
                </c:pt>
                <c:pt idx="1">
                  <c:v>34989</c:v>
                </c:pt>
                <c:pt idx="2">
                  <c:v>35761</c:v>
                </c:pt>
                <c:pt idx="3">
                  <c:v>36753</c:v>
                </c:pt>
                <c:pt idx="4">
                  <c:v>37459</c:v>
                </c:pt>
                <c:pt idx="5">
                  <c:v>38405</c:v>
                </c:pt>
                <c:pt idx="6">
                  <c:v>40680</c:v>
                </c:pt>
                <c:pt idx="7">
                  <c:v>41863</c:v>
                </c:pt>
                <c:pt idx="8">
                  <c:v>43059</c:v>
                </c:pt>
              </c:numCache>
            </c:numRef>
          </c:xVal>
          <c:yVal>
            <c:numRef>
              <c:f>'HP 16380 history'!$D$120:$D$128</c:f>
              <c:numCache>
                <c:formatCode>0.00000</c:formatCode>
                <c:ptCount val="9"/>
                <c:pt idx="0">
                  <c:v>0.18</c:v>
                </c:pt>
                <c:pt idx="1">
                  <c:v>0.17499999999999999</c:v>
                </c:pt>
                <c:pt idx="2">
                  <c:v>0.17599999999999999</c:v>
                </c:pt>
                <c:pt idx="3">
                  <c:v>0.17</c:v>
                </c:pt>
                <c:pt idx="4">
                  <c:v>0.16</c:v>
                </c:pt>
                <c:pt idx="5">
                  <c:v>0.16474294827471472</c:v>
                </c:pt>
                <c:pt idx="6">
                  <c:v>0.17111407920585317</c:v>
                </c:pt>
                <c:pt idx="7">
                  <c:v>0.17091143732418621</c:v>
                </c:pt>
                <c:pt idx="8">
                  <c:v>7.2014825419016871E-3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5A-4F3B-AC16-1F54279AC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64032"/>
        <c:axId val="154762240"/>
      </c:scatterChart>
      <c:valAx>
        <c:axId val="154759168"/>
        <c:scaling>
          <c:orientation val="minMax"/>
          <c:max val="43200"/>
          <c:min val="34000"/>
        </c:scaling>
        <c:delete val="0"/>
        <c:axPos val="b"/>
        <c:numFmt formatCode="m/d/yyyy" sourceLinked="1"/>
        <c:majorTickMark val="out"/>
        <c:minorTickMark val="none"/>
        <c:tickLblPos val="nextTo"/>
        <c:crossAx val="154760704"/>
        <c:crosses val="autoZero"/>
        <c:crossBetween val="midCat"/>
      </c:valAx>
      <c:valAx>
        <c:axId val="154760704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154759168"/>
        <c:crosses val="autoZero"/>
        <c:crossBetween val="midCat"/>
      </c:valAx>
      <c:valAx>
        <c:axId val="154762240"/>
        <c:scaling>
          <c:orientation val="minMax"/>
        </c:scaling>
        <c:delete val="0"/>
        <c:axPos val="r"/>
        <c:numFmt formatCode="0.00000" sourceLinked="1"/>
        <c:majorTickMark val="out"/>
        <c:minorTickMark val="none"/>
        <c:tickLblPos val="nextTo"/>
        <c:crossAx val="154764032"/>
        <c:crosses val="max"/>
        <c:crossBetween val="midCat"/>
      </c:valAx>
      <c:valAx>
        <c:axId val="1547640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47622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98054855643044614"/>
          <c:y val="0.203703703703703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MuirheadHistory!$J$36</c:f>
              <c:strCache>
                <c:ptCount val="1"/>
                <c:pt idx="0">
                  <c:v>307348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MuirheadHistory!$B$37:$B$40</c:f>
              <c:numCache>
                <c:formatCode>m/d/yyyy</c:formatCode>
                <c:ptCount val="4"/>
                <c:pt idx="0">
                  <c:v>36130</c:v>
                </c:pt>
                <c:pt idx="1">
                  <c:v>37228</c:v>
                </c:pt>
                <c:pt idx="2">
                  <c:v>38393</c:v>
                </c:pt>
                <c:pt idx="3">
                  <c:v>43034</c:v>
                </c:pt>
              </c:numCache>
            </c:numRef>
          </c:xVal>
          <c:yVal>
            <c:numRef>
              <c:f>MuirheadHistory!$J$37:$J$40</c:f>
              <c:numCache>
                <c:formatCode>0.000</c:formatCode>
                <c:ptCount val="4"/>
                <c:pt idx="0">
                  <c:v>0</c:v>
                </c:pt>
                <c:pt idx="1">
                  <c:v>5.2287908425374112E-2</c:v>
                </c:pt>
                <c:pt idx="2">
                  <c:v>2.9039091776536376E-3</c:v>
                </c:pt>
                <c:pt idx="3">
                  <c:v>-100.00090068769236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1-4576-8AC8-F6CF16DFF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049888"/>
        <c:axId val="541063008"/>
      </c:scatterChart>
      <c:valAx>
        <c:axId val="54104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63008"/>
        <c:crosses val="autoZero"/>
        <c:crossBetween val="midCat"/>
      </c:valAx>
      <c:valAx>
        <c:axId val="54106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04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AH2700Results!$C$4:$C$14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xVal>
          <c:yVal>
            <c:numRef>
              <c:f>AH2700Results!$E$4:$E$14</c:f>
              <c:numCache>
                <c:formatCode>General</c:formatCode>
                <c:ptCount val="11"/>
                <c:pt idx="0">
                  <c:v>2.1623800000000002</c:v>
                </c:pt>
                <c:pt idx="1">
                  <c:v>1.85223</c:v>
                </c:pt>
                <c:pt idx="2">
                  <c:v>2.0617100000000002</c:v>
                </c:pt>
                <c:pt idx="3">
                  <c:v>1.7485900000000001</c:v>
                </c:pt>
                <c:pt idx="4">
                  <c:v>1.9632719999999999</c:v>
                </c:pt>
                <c:pt idx="5">
                  <c:v>1.913675</c:v>
                </c:pt>
                <c:pt idx="6">
                  <c:v>1.597596</c:v>
                </c:pt>
                <c:pt idx="7">
                  <c:v>1.810192</c:v>
                </c:pt>
                <c:pt idx="8">
                  <c:v>1.495633</c:v>
                </c:pt>
                <c:pt idx="9">
                  <c:v>1.7151879999999999</c:v>
                </c:pt>
                <c:pt idx="10">
                  <c:v>1.4022874999999999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19-497B-8367-707B96C25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62944"/>
        <c:axId val="65410176"/>
      </c:scatterChart>
      <c:valAx>
        <c:axId val="6536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410176"/>
        <c:crosses val="autoZero"/>
        <c:crossBetween val="midCat"/>
      </c:valAx>
      <c:valAx>
        <c:axId val="65410176"/>
        <c:scaling>
          <c:orientation val="minMax"/>
          <c:min val="1.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362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GRhistory!$B$70</c:f>
          <c:strCache>
            <c:ptCount val="1"/>
            <c:pt idx="0">
              <c:v>A10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GRhistory!$C$70:$C$71</c:f>
              <c:strCache>
                <c:ptCount val="2"/>
                <c:pt idx="0">
                  <c:v>A10</c:v>
                </c:pt>
                <c:pt idx="1">
                  <c:v>C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GRhistory!$D$72:$D$75</c:f>
                <c:numCache>
                  <c:formatCode>General</c:formatCode>
                  <c:ptCount val="4"/>
                  <c:pt idx="0">
                    <c:v>1.5190362882188367E-4</c:v>
                  </c:pt>
                  <c:pt idx="1">
                    <c:v>1.5248362971967831E-4</c:v>
                  </c:pt>
                  <c:pt idx="2">
                    <c:v>1.548128134566968E-4</c:v>
                  </c:pt>
                  <c:pt idx="3">
                    <c:v>1.6354287945929757E-4</c:v>
                  </c:pt>
                </c:numCache>
              </c:numRef>
            </c:plus>
            <c:minus>
              <c:numRef>
                <c:f>GRhistory!$D$72:$D$75</c:f>
                <c:numCache>
                  <c:formatCode>General</c:formatCode>
                  <c:ptCount val="4"/>
                  <c:pt idx="0">
                    <c:v>1.5190362882188367E-4</c:v>
                  </c:pt>
                  <c:pt idx="1">
                    <c:v>1.5248362971967831E-4</c:v>
                  </c:pt>
                  <c:pt idx="2">
                    <c:v>1.548128134566968E-4</c:v>
                  </c:pt>
                  <c:pt idx="3">
                    <c:v>1.6354287945929757E-4</c:v>
                  </c:pt>
                </c:numCache>
              </c:numRef>
            </c:minus>
            <c:spPr>
              <a:ln>
                <a:solidFill>
                  <a:srgbClr val="00B0F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GRhistory!$B$72:$B$75</c:f>
              <c:numCache>
                <c:formatCode>m/d/yyyy</c:formatCode>
                <c:ptCount val="4"/>
                <c:pt idx="0">
                  <c:v>36426</c:v>
                </c:pt>
                <c:pt idx="1">
                  <c:v>38240</c:v>
                </c:pt>
                <c:pt idx="2">
                  <c:v>40148</c:v>
                </c:pt>
                <c:pt idx="3">
                  <c:v>42124</c:v>
                </c:pt>
              </c:numCache>
            </c:numRef>
          </c:xVal>
          <c:yVal>
            <c:numRef>
              <c:f>GRhistory!$C$72:$C$75</c:f>
              <c:numCache>
                <c:formatCode>General</c:formatCode>
                <c:ptCount val="4"/>
                <c:pt idx="0">
                  <c:v>1.0013283126515391</c:v>
                </c:pt>
                <c:pt idx="1">
                  <c:v>1.0011856553412477</c:v>
                </c:pt>
                <c:pt idx="2">
                  <c:v>1.001262032072846</c:v>
                </c:pt>
                <c:pt idx="3">
                  <c:v>1.0018745662638946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A2-44DF-BBC3-B8057DEB3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83520"/>
        <c:axId val="65485056"/>
      </c:scatterChart>
      <c:scatterChart>
        <c:scatterStyle val="lineMarker"/>
        <c:varyColors val="0"/>
        <c:ser>
          <c:idx val="2"/>
          <c:order val="1"/>
          <c:tx>
            <c:strRef>
              <c:f>GRhistory!$E$70:$E$71</c:f>
              <c:strCache>
                <c:ptCount val="2"/>
                <c:pt idx="0">
                  <c:v>A10</c:v>
                </c:pt>
                <c:pt idx="1">
                  <c:v>D</c:v>
                </c:pt>
              </c:strCache>
            </c:strRef>
          </c:tx>
          <c:errBars>
            <c:errDir val="y"/>
            <c:errBarType val="both"/>
            <c:errValType val="cust"/>
            <c:noEndCap val="0"/>
            <c:plus>
              <c:numRef>
                <c:f>GRhistory!$F$72:$F$75</c:f>
                <c:numCache>
                  <c:formatCode>General</c:formatCode>
                  <c:ptCount val="4"/>
                  <c:pt idx="0">
                    <c:v>0.12430431983570873</c:v>
                  </c:pt>
                  <c:pt idx="1">
                    <c:v>0.12428555154041994</c:v>
                  </c:pt>
                  <c:pt idx="2">
                    <c:v>0.1242946225562078</c:v>
                  </c:pt>
                  <c:pt idx="3">
                    <c:v>0.12436855487700561</c:v>
                  </c:pt>
                </c:numCache>
              </c:numRef>
            </c:plus>
            <c:minus>
              <c:numRef>
                <c:f>GRhistory!$F$72:$F$75</c:f>
                <c:numCache>
                  <c:formatCode>General</c:formatCode>
                  <c:ptCount val="4"/>
                  <c:pt idx="0">
                    <c:v>0.12430431983570873</c:v>
                  </c:pt>
                  <c:pt idx="1">
                    <c:v>0.12428555154041994</c:v>
                  </c:pt>
                  <c:pt idx="2">
                    <c:v>0.1242946225562078</c:v>
                  </c:pt>
                  <c:pt idx="3">
                    <c:v>0.12436855487700561</c:v>
                  </c:pt>
                </c:numCache>
              </c:numRef>
            </c:minus>
            <c:spPr>
              <a:ln>
                <a:solidFill>
                  <a:srgbClr val="92D05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GRhistory!$B$72:$B$75</c:f>
              <c:numCache>
                <c:formatCode>m/d/yyyy</c:formatCode>
                <c:ptCount val="4"/>
                <c:pt idx="0">
                  <c:v>36426</c:v>
                </c:pt>
                <c:pt idx="1">
                  <c:v>38240</c:v>
                </c:pt>
                <c:pt idx="2">
                  <c:v>40148</c:v>
                </c:pt>
                <c:pt idx="3">
                  <c:v>42124</c:v>
                </c:pt>
              </c:numCache>
            </c:numRef>
          </c:xVal>
          <c:yVal>
            <c:numRef>
              <c:f>GRhistory!$E$72:$E$75</c:f>
              <c:numCache>
                <c:formatCode>General</c:formatCode>
                <c:ptCount val="4"/>
                <c:pt idx="0">
                  <c:v>0.11384434692036066</c:v>
                </c:pt>
                <c:pt idx="1">
                  <c:v>0.12884108557871138</c:v>
                </c:pt>
                <c:pt idx="2">
                  <c:v>0.14900481301560467</c:v>
                </c:pt>
                <c:pt idx="3">
                  <c:v>0.16518561760486383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A2-44DF-BBC3-B8057DEB3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92480"/>
        <c:axId val="65490944"/>
      </c:scatterChart>
      <c:valAx>
        <c:axId val="654835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65485056"/>
        <c:crosses val="autoZero"/>
        <c:crossBetween val="midCat"/>
      </c:valAx>
      <c:valAx>
        <c:axId val="6548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483520"/>
        <c:crosses val="autoZero"/>
        <c:crossBetween val="midCat"/>
      </c:valAx>
      <c:valAx>
        <c:axId val="654909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65492480"/>
        <c:crosses val="max"/>
        <c:crossBetween val="midCat"/>
      </c:valAx>
      <c:valAx>
        <c:axId val="65492480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5490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56</xdr:row>
      <xdr:rowOff>76199</xdr:rowOff>
    </xdr:from>
    <xdr:to>
      <xdr:col>19</xdr:col>
      <xdr:colOff>542925</xdr:colOff>
      <xdr:row>82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892A79-E117-42C2-B3A4-7FB2E1761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400050</xdr:colOff>
      <xdr:row>23</xdr:row>
      <xdr:rowOff>142875</xdr:rowOff>
    </xdr:from>
    <xdr:to>
      <xdr:col>34</xdr:col>
      <xdr:colOff>200025</xdr:colOff>
      <xdr:row>47</xdr:row>
      <xdr:rowOff>95250</xdr:rowOff>
    </xdr:to>
    <xdr:graphicFrame macro="">
      <xdr:nvGraphicFramePr>
        <xdr:cNvPr id="1110" name="Chart 1">
          <a:extLst>
            <a:ext uri="{FF2B5EF4-FFF2-40B4-BE49-F238E27FC236}">
              <a16:creationId xmlns:a16="http://schemas.microsoft.com/office/drawing/2014/main" id="{00000000-0008-0000-0200-00005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50</xdr:row>
      <xdr:rowOff>0</xdr:rowOff>
    </xdr:from>
    <xdr:to>
      <xdr:col>34</xdr:col>
      <xdr:colOff>409575</xdr:colOff>
      <xdr:row>73</xdr:row>
      <xdr:rowOff>133350</xdr:rowOff>
    </xdr:to>
    <xdr:graphicFrame macro="">
      <xdr:nvGraphicFramePr>
        <xdr:cNvPr id="1111" name="Chart 7">
          <a:extLst>
            <a:ext uri="{FF2B5EF4-FFF2-40B4-BE49-F238E27FC236}">
              <a16:creationId xmlns:a16="http://schemas.microsoft.com/office/drawing/2014/main" id="{00000000-0008-0000-0200-00005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72</xdr:row>
      <xdr:rowOff>66675</xdr:rowOff>
    </xdr:from>
    <xdr:to>
      <xdr:col>17</xdr:col>
      <xdr:colOff>552450</xdr:colOff>
      <xdr:row>104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2F75E4-B208-40B7-81CD-D48165DBD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33337</xdr:rowOff>
    </xdr:from>
    <xdr:to>
      <xdr:col>7</xdr:col>
      <xdr:colOff>19050</xdr:colOff>
      <xdr:row>58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2ECBD-941C-4095-A279-F844C232EE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</xdr:colOff>
      <xdr:row>0</xdr:row>
      <xdr:rowOff>119062</xdr:rowOff>
    </xdr:from>
    <xdr:to>
      <xdr:col>22</xdr:col>
      <xdr:colOff>142875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66</xdr:row>
      <xdr:rowOff>100012</xdr:rowOff>
    </xdr:from>
    <xdr:to>
      <xdr:col>15</xdr:col>
      <xdr:colOff>419100</xdr:colOff>
      <xdr:row>83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ommercial\Working\Impedance\Babcock\S22014%20HP16074A%20RL\Excel%20start%20for%20S2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ary"/>
      <sheetName val="Instructions"/>
      <sheetName val="Results"/>
      <sheetName val="Universal Bridge"/>
      <sheetName val="Uncertainty"/>
      <sheetName val="Report"/>
      <sheetName val="Previous reports"/>
      <sheetName val="Sheet1"/>
      <sheetName val="Conditions"/>
    </sheetNames>
    <sheetDataSet>
      <sheetData sheetId="0"/>
      <sheetData sheetId="1"/>
      <sheetData sheetId="2">
        <row r="66">
          <cell r="H66">
            <v>315.30881999519346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"/>
  <sheetViews>
    <sheetView topLeftCell="A45" workbookViewId="0">
      <selection activeCell="A83" sqref="A83"/>
    </sheetView>
  </sheetViews>
  <sheetFormatPr defaultRowHeight="12.75"/>
  <sheetData>
    <row r="1" spans="1:1">
      <c r="A1" s="172" t="s">
        <v>250</v>
      </c>
    </row>
    <row r="2" spans="1:1">
      <c r="A2" t="s">
        <v>154</v>
      </c>
    </row>
    <row r="3" spans="1:1">
      <c r="A3" t="s">
        <v>156</v>
      </c>
    </row>
    <row r="4" spans="1:1">
      <c r="A4" t="s">
        <v>155</v>
      </c>
    </row>
    <row r="5" spans="1:1">
      <c r="A5" t="s">
        <v>179</v>
      </c>
    </row>
    <row r="6" spans="1:1">
      <c r="A6" t="s">
        <v>183</v>
      </c>
    </row>
    <row r="7" spans="1:1">
      <c r="A7" t="s">
        <v>235</v>
      </c>
    </row>
    <row r="8" spans="1:1">
      <c r="A8" t="s">
        <v>243</v>
      </c>
    </row>
    <row r="9" spans="1:1">
      <c r="A9" t="s">
        <v>244</v>
      </c>
    </row>
    <row r="11" spans="1:1">
      <c r="A11" s="172" t="s">
        <v>251</v>
      </c>
    </row>
    <row r="12" spans="1:1">
      <c r="A12" s="172" t="s">
        <v>249</v>
      </c>
    </row>
    <row r="13" spans="1:1">
      <c r="A13" s="172" t="s">
        <v>253</v>
      </c>
    </row>
    <row r="14" spans="1:1">
      <c r="A14" s="172" t="s">
        <v>254</v>
      </c>
    </row>
    <row r="15" spans="1:1">
      <c r="A15" s="172" t="s">
        <v>255</v>
      </c>
    </row>
    <row r="16" spans="1:1">
      <c r="A16" s="172" t="s">
        <v>256</v>
      </c>
    </row>
    <row r="17" spans="1:1">
      <c r="A17" s="172" t="s">
        <v>283</v>
      </c>
    </row>
    <row r="18" spans="1:1">
      <c r="A18" s="172" t="s">
        <v>284</v>
      </c>
    </row>
    <row r="20" spans="1:1">
      <c r="A20" s="172" t="s">
        <v>285</v>
      </c>
    </row>
    <row r="21" spans="1:1">
      <c r="A21" s="172" t="s">
        <v>286</v>
      </c>
    </row>
    <row r="22" spans="1:1">
      <c r="A22" s="172" t="s">
        <v>287</v>
      </c>
    </row>
    <row r="23" spans="1:1">
      <c r="A23" s="172" t="s">
        <v>332</v>
      </c>
    </row>
    <row r="24" spans="1:1">
      <c r="A24" s="172" t="s">
        <v>333</v>
      </c>
    </row>
    <row r="25" spans="1:1">
      <c r="A25" s="172" t="s">
        <v>334</v>
      </c>
    </row>
    <row r="26" spans="1:1">
      <c r="A26" s="172" t="s">
        <v>335</v>
      </c>
    </row>
    <row r="27" spans="1:1">
      <c r="A27" s="172" t="s">
        <v>369</v>
      </c>
    </row>
    <row r="28" spans="1:1">
      <c r="A28" s="235" t="s">
        <v>373</v>
      </c>
    </row>
    <row r="29" spans="1:1">
      <c r="A29" s="172" t="s">
        <v>378</v>
      </c>
    </row>
    <row r="30" spans="1:1">
      <c r="A30" s="172" t="s">
        <v>377</v>
      </c>
    </row>
    <row r="31" spans="1:1">
      <c r="A31" s="172" t="s">
        <v>386</v>
      </c>
    </row>
    <row r="32" spans="1:1">
      <c r="A32" s="172" t="s">
        <v>415</v>
      </c>
    </row>
    <row r="33" spans="1:1">
      <c r="A33" s="172" t="s">
        <v>421</v>
      </c>
    </row>
    <row r="34" spans="1:1">
      <c r="A34" s="172" t="s">
        <v>422</v>
      </c>
    </row>
    <row r="35" spans="1:1">
      <c r="A35" s="172" t="s">
        <v>441</v>
      </c>
    </row>
    <row r="36" spans="1:1">
      <c r="A36" s="172" t="s">
        <v>442</v>
      </c>
    </row>
    <row r="38" spans="1:1">
      <c r="A38" s="172" t="s">
        <v>536</v>
      </c>
    </row>
    <row r="39" spans="1:1">
      <c r="A39" s="172" t="s">
        <v>537</v>
      </c>
    </row>
    <row r="40" spans="1:1">
      <c r="A40" s="172" t="s">
        <v>538</v>
      </c>
    </row>
    <row r="41" spans="1:1">
      <c r="A41" s="172" t="s">
        <v>539</v>
      </c>
    </row>
    <row r="42" spans="1:1">
      <c r="A42" s="172" t="s">
        <v>540</v>
      </c>
    </row>
    <row r="43" spans="1:1">
      <c r="A43" s="172" t="s">
        <v>541</v>
      </c>
    </row>
    <row r="44" spans="1:1">
      <c r="A44" s="172" t="s">
        <v>542</v>
      </c>
    </row>
    <row r="45" spans="1:1">
      <c r="A45" s="172" t="s">
        <v>543</v>
      </c>
    </row>
    <row r="46" spans="1:1">
      <c r="A46" s="172" t="s">
        <v>544</v>
      </c>
    </row>
    <row r="47" spans="1:1">
      <c r="A47" s="172" t="s">
        <v>545</v>
      </c>
    </row>
    <row r="48" spans="1:1">
      <c r="A48" s="172" t="s">
        <v>546</v>
      </c>
    </row>
    <row r="49" spans="1:1">
      <c r="A49" s="172" t="s">
        <v>547</v>
      </c>
    </row>
    <row r="50" spans="1:1">
      <c r="A50" s="172" t="s">
        <v>548</v>
      </c>
    </row>
    <row r="52" spans="1:1">
      <c r="A52" s="172" t="s">
        <v>549</v>
      </c>
    </row>
    <row r="54" spans="1:1">
      <c r="A54" t="s">
        <v>550</v>
      </c>
    </row>
    <row r="55" spans="1:1">
      <c r="A55" s="172" t="s">
        <v>551</v>
      </c>
    </row>
    <row r="56" spans="1:1">
      <c r="A56" s="172" t="s">
        <v>552</v>
      </c>
    </row>
    <row r="57" spans="1:1">
      <c r="A57" s="172" t="s">
        <v>553</v>
      </c>
    </row>
    <row r="58" spans="1:1">
      <c r="A58" s="172" t="s">
        <v>554</v>
      </c>
    </row>
    <row r="59" spans="1:1">
      <c r="A59" s="172" t="s">
        <v>555</v>
      </c>
    </row>
    <row r="61" spans="1:1">
      <c r="A61" s="172" t="s">
        <v>556</v>
      </c>
    </row>
    <row r="62" spans="1:1">
      <c r="A62" s="384" t="s">
        <v>557</v>
      </c>
    </row>
    <row r="64" spans="1:1">
      <c r="A64" s="172" t="s">
        <v>558</v>
      </c>
    </row>
    <row r="65" spans="1:1">
      <c r="A65" s="172" t="s">
        <v>559</v>
      </c>
    </row>
    <row r="67" spans="1:1">
      <c r="A67" s="172" t="s">
        <v>560</v>
      </c>
    </row>
    <row r="68" spans="1:1">
      <c r="A68" s="172" t="s">
        <v>561</v>
      </c>
    </row>
    <row r="69" spans="1:1">
      <c r="A69" s="172" t="s">
        <v>562</v>
      </c>
    </row>
    <row r="70" spans="1:1">
      <c r="A70" s="172" t="s">
        <v>563</v>
      </c>
    </row>
    <row r="72" spans="1:1">
      <c r="A72" t="s">
        <v>620</v>
      </c>
    </row>
    <row r="73" spans="1:1">
      <c r="A73" t="s">
        <v>621</v>
      </c>
    </row>
    <row r="74" spans="1:1">
      <c r="A74" t="s">
        <v>622</v>
      </c>
    </row>
    <row r="75" spans="1:1">
      <c r="A75" t="s">
        <v>623</v>
      </c>
    </row>
    <row r="76" spans="1:1">
      <c r="A76" t="s">
        <v>624</v>
      </c>
    </row>
    <row r="77" spans="1:1">
      <c r="A77" t="s">
        <v>625</v>
      </c>
    </row>
    <row r="78" spans="1:1">
      <c r="A78" t="s">
        <v>626</v>
      </c>
    </row>
    <row r="79" spans="1:1">
      <c r="A79" t="s">
        <v>627</v>
      </c>
    </row>
    <row r="81" spans="1:1">
      <c r="A81" t="s">
        <v>764</v>
      </c>
    </row>
    <row r="82" spans="1:1">
      <c r="A82" t="s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3"/>
  <sheetViews>
    <sheetView tabSelected="1" topLeftCell="A13" workbookViewId="0">
      <selection activeCell="M7" sqref="M7"/>
    </sheetView>
  </sheetViews>
  <sheetFormatPr defaultRowHeight="12.75"/>
  <cols>
    <col min="1" max="1" width="23.85546875" customWidth="1"/>
    <col min="2" max="2" width="20.85546875" customWidth="1"/>
    <col min="4" max="4" width="17.28515625" customWidth="1"/>
    <col min="5" max="5" width="2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</cols>
  <sheetData>
    <row r="1" spans="1:18" ht="15.75">
      <c r="A1" s="82" t="s">
        <v>643</v>
      </c>
    </row>
    <row r="2" spans="1:18">
      <c r="A2" s="2"/>
      <c r="C2" s="2"/>
      <c r="E2" s="2"/>
      <c r="G2" s="2"/>
      <c r="I2" s="2"/>
      <c r="K2" s="2"/>
      <c r="M2" s="2"/>
      <c r="O2" s="2"/>
      <c r="Q2" s="2"/>
    </row>
    <row r="3" spans="1:18">
      <c r="A3" s="361" t="s">
        <v>640</v>
      </c>
      <c r="B3" s="180" t="s">
        <v>641</v>
      </c>
      <c r="C3" s="180"/>
      <c r="D3" s="88"/>
      <c r="E3" s="29" t="s">
        <v>147</v>
      </c>
      <c r="F3" s="180" t="s">
        <v>447</v>
      </c>
      <c r="G3" s="88"/>
      <c r="K3" s="172" t="s">
        <v>575</v>
      </c>
    </row>
    <row r="4" spans="1:18">
      <c r="A4" s="94" t="s">
        <v>45</v>
      </c>
      <c r="B4" s="362">
        <v>43073</v>
      </c>
      <c r="C4" s="180"/>
      <c r="D4" s="88"/>
      <c r="E4" s="29" t="s">
        <v>148</v>
      </c>
      <c r="F4" s="363">
        <v>96330109</v>
      </c>
      <c r="G4" s="88"/>
      <c r="K4" t="s">
        <v>500</v>
      </c>
    </row>
    <row r="5" spans="1:18">
      <c r="A5" s="174"/>
      <c r="B5" s="362"/>
      <c r="C5" s="180"/>
      <c r="D5" s="88"/>
      <c r="E5" s="29" t="s">
        <v>149</v>
      </c>
      <c r="F5" s="180" t="s">
        <v>642</v>
      </c>
      <c r="G5" s="88"/>
    </row>
    <row r="6" spans="1:18" ht="13.5" thickBot="1">
      <c r="A6" s="77"/>
      <c r="D6" s="172" t="s">
        <v>501</v>
      </c>
      <c r="H6" s="172" t="s">
        <v>502</v>
      </c>
      <c r="Q6" s="1"/>
    </row>
    <row r="7" spans="1:18" ht="13.5" thickTop="1">
      <c r="A7" s="364" t="s">
        <v>180</v>
      </c>
      <c r="B7" s="365" t="s">
        <v>503</v>
      </c>
      <c r="C7" s="70" t="s">
        <v>33</v>
      </c>
      <c r="D7" s="86" t="s">
        <v>504</v>
      </c>
      <c r="E7" s="86" t="s">
        <v>505</v>
      </c>
      <c r="F7" s="97" t="s">
        <v>143</v>
      </c>
      <c r="G7" s="366" t="s">
        <v>506</v>
      </c>
      <c r="H7" s="367" t="s">
        <v>507</v>
      </c>
      <c r="I7" s="367" t="s">
        <v>508</v>
      </c>
      <c r="J7" s="367" t="s">
        <v>694</v>
      </c>
      <c r="K7" s="367" t="s">
        <v>507</v>
      </c>
      <c r="L7" s="367" t="s">
        <v>508</v>
      </c>
      <c r="M7" s="367" t="s">
        <v>509</v>
      </c>
      <c r="N7" s="367" t="s">
        <v>507</v>
      </c>
      <c r="O7" s="367" t="s">
        <v>508</v>
      </c>
      <c r="P7" s="367" t="s">
        <v>510</v>
      </c>
      <c r="Q7" s="367" t="s">
        <v>507</v>
      </c>
      <c r="R7" s="367" t="s">
        <v>508</v>
      </c>
    </row>
    <row r="8" spans="1:18">
      <c r="A8" s="67"/>
      <c r="B8" s="69" t="s">
        <v>144</v>
      </c>
      <c r="C8" s="70"/>
      <c r="D8" s="86"/>
      <c r="E8" s="86"/>
      <c r="F8" s="368" t="s">
        <v>144</v>
      </c>
      <c r="G8" s="369" t="s">
        <v>511</v>
      </c>
      <c r="H8" s="367"/>
      <c r="I8" s="367"/>
      <c r="J8" s="367"/>
      <c r="K8" s="370"/>
      <c r="L8" s="370"/>
      <c r="M8" s="367"/>
      <c r="N8" s="370"/>
      <c r="O8" s="370"/>
      <c r="P8" s="367"/>
      <c r="Q8" s="370"/>
      <c r="R8" s="370"/>
    </row>
    <row r="9" spans="1:18">
      <c r="A9" s="173" t="s">
        <v>628</v>
      </c>
      <c r="B9" s="365">
        <v>53</v>
      </c>
      <c r="C9" s="175" t="s">
        <v>85</v>
      </c>
      <c r="D9" s="87">
        <v>100</v>
      </c>
      <c r="E9" s="87">
        <v>38510</v>
      </c>
      <c r="F9" s="371">
        <v>53.101999999999997</v>
      </c>
      <c r="G9" s="366">
        <v>20</v>
      </c>
      <c r="H9" s="367">
        <v>0.25</v>
      </c>
      <c r="I9" s="370">
        <v>10</v>
      </c>
      <c r="J9" s="370">
        <v>0</v>
      </c>
      <c r="K9" s="372">
        <v>0</v>
      </c>
      <c r="L9" s="373">
        <v>10</v>
      </c>
      <c r="M9" s="370">
        <v>0</v>
      </c>
      <c r="N9" s="372">
        <v>0</v>
      </c>
      <c r="O9" s="373">
        <v>10</v>
      </c>
      <c r="P9" s="370"/>
      <c r="Q9" s="370"/>
      <c r="R9" s="373"/>
    </row>
    <row r="10" spans="1:18">
      <c r="A10" s="173" t="s">
        <v>628</v>
      </c>
      <c r="B10" s="365">
        <v>400</v>
      </c>
      <c r="C10" s="175" t="s">
        <v>85</v>
      </c>
      <c r="D10" s="87">
        <v>66</v>
      </c>
      <c r="E10" s="87">
        <v>38573</v>
      </c>
      <c r="F10" s="371">
        <v>400.02800000000002</v>
      </c>
      <c r="G10" s="366">
        <v>20</v>
      </c>
      <c r="H10" s="367">
        <v>0.25</v>
      </c>
      <c r="I10" s="370">
        <v>10</v>
      </c>
      <c r="J10" s="370">
        <v>0</v>
      </c>
      <c r="K10" s="372">
        <v>0</v>
      </c>
      <c r="L10" s="373">
        <v>10</v>
      </c>
      <c r="M10" s="370">
        <v>0</v>
      </c>
      <c r="N10" s="372">
        <v>0</v>
      </c>
      <c r="O10" s="373">
        <v>10</v>
      </c>
      <c r="P10" s="370"/>
      <c r="Q10" s="372"/>
      <c r="R10" s="373"/>
    </row>
    <row r="11" spans="1:18">
      <c r="A11" s="173" t="s">
        <v>628</v>
      </c>
      <c r="B11" s="365">
        <v>1000</v>
      </c>
      <c r="C11" s="175" t="s">
        <v>85</v>
      </c>
      <c r="D11" s="87">
        <v>65</v>
      </c>
      <c r="E11" s="87">
        <v>38575</v>
      </c>
      <c r="F11" s="371">
        <v>1000.276</v>
      </c>
      <c r="G11" s="366">
        <v>20</v>
      </c>
      <c r="H11" s="367">
        <v>0.25</v>
      </c>
      <c r="I11" s="370">
        <v>10</v>
      </c>
      <c r="J11" s="370">
        <v>0</v>
      </c>
      <c r="K11" s="372">
        <v>0</v>
      </c>
      <c r="L11" s="373">
        <v>10</v>
      </c>
      <c r="M11" s="370">
        <v>0</v>
      </c>
      <c r="N11" s="372">
        <v>0</v>
      </c>
      <c r="O11" s="373">
        <v>10</v>
      </c>
      <c r="P11" s="370"/>
      <c r="Q11" s="372"/>
      <c r="R11" s="373"/>
    </row>
    <row r="12" spans="1:18">
      <c r="A12" s="173" t="s">
        <v>629</v>
      </c>
      <c r="B12" s="365">
        <v>53</v>
      </c>
      <c r="C12" s="175" t="s">
        <v>85</v>
      </c>
      <c r="D12" s="181">
        <v>40</v>
      </c>
      <c r="E12" s="87">
        <f>10-100</f>
        <v>-90</v>
      </c>
      <c r="F12" s="371">
        <v>53.101500000000001</v>
      </c>
      <c r="G12" s="366">
        <v>20</v>
      </c>
      <c r="H12" s="367">
        <v>0.25</v>
      </c>
      <c r="I12" s="370">
        <v>10</v>
      </c>
      <c r="J12" s="370">
        <v>0</v>
      </c>
      <c r="K12" s="372">
        <v>0</v>
      </c>
      <c r="L12" s="373">
        <v>10</v>
      </c>
      <c r="M12" s="370">
        <v>0</v>
      </c>
      <c r="N12" s="372">
        <v>0</v>
      </c>
      <c r="O12" s="373">
        <v>10</v>
      </c>
      <c r="P12" s="370"/>
      <c r="Q12" s="372"/>
      <c r="R12" s="373"/>
    </row>
    <row r="13" spans="1:18">
      <c r="A13" s="173" t="s">
        <v>629</v>
      </c>
      <c r="B13" s="365">
        <v>400</v>
      </c>
      <c r="C13" s="175" t="s">
        <v>85</v>
      </c>
      <c r="D13" s="87">
        <f>87-100</f>
        <v>-13</v>
      </c>
      <c r="E13" s="87">
        <f>63-100</f>
        <v>-37</v>
      </c>
      <c r="F13" s="371">
        <v>400.04899999999998</v>
      </c>
      <c r="G13" s="366">
        <v>20</v>
      </c>
      <c r="H13" s="367">
        <v>0.25</v>
      </c>
      <c r="I13" s="370">
        <v>10</v>
      </c>
      <c r="J13" s="370">
        <v>0</v>
      </c>
      <c r="K13" s="372">
        <v>0</v>
      </c>
      <c r="L13" s="373">
        <v>10</v>
      </c>
      <c r="M13" s="370">
        <v>0</v>
      </c>
      <c r="N13" s="372">
        <v>0</v>
      </c>
      <c r="O13" s="373">
        <v>10</v>
      </c>
      <c r="P13" s="370"/>
      <c r="Q13" s="372"/>
      <c r="R13" s="373"/>
    </row>
    <row r="14" spans="1:18">
      <c r="A14" s="173" t="s">
        <v>629</v>
      </c>
      <c r="B14" s="365">
        <v>1000</v>
      </c>
      <c r="C14" s="175" t="s">
        <v>85</v>
      </c>
      <c r="D14" s="87">
        <f>86-100</f>
        <v>-14</v>
      </c>
      <c r="E14" s="87">
        <f>85-100</f>
        <v>-15</v>
      </c>
      <c r="F14" s="371">
        <v>1000.331</v>
      </c>
      <c r="G14" s="366">
        <v>20</v>
      </c>
      <c r="H14" s="367">
        <v>0.25</v>
      </c>
      <c r="I14" s="370">
        <v>10</v>
      </c>
      <c r="J14" s="370">
        <v>0</v>
      </c>
      <c r="K14" s="372">
        <v>0</v>
      </c>
      <c r="L14" s="373">
        <v>10</v>
      </c>
      <c r="M14" s="370">
        <v>0</v>
      </c>
      <c r="N14" s="372">
        <v>0</v>
      </c>
      <c r="O14" s="373">
        <v>10</v>
      </c>
      <c r="P14" s="370"/>
      <c r="Q14" s="372"/>
      <c r="R14" s="373"/>
    </row>
    <row r="15" spans="1:18">
      <c r="A15" s="173" t="s">
        <v>512</v>
      </c>
      <c r="B15" s="365">
        <v>53</v>
      </c>
      <c r="C15" s="175" t="s">
        <v>85</v>
      </c>
      <c r="D15" s="87">
        <v>50</v>
      </c>
      <c r="E15" s="87">
        <v>0</v>
      </c>
      <c r="F15" s="371">
        <v>53.098700000000001</v>
      </c>
      <c r="G15" s="366">
        <v>20</v>
      </c>
      <c r="H15" s="367">
        <v>0.25</v>
      </c>
      <c r="I15" s="370">
        <v>10</v>
      </c>
      <c r="J15" s="370">
        <v>0</v>
      </c>
      <c r="K15" s="372">
        <v>0</v>
      </c>
      <c r="L15" s="373">
        <v>10</v>
      </c>
      <c r="M15" s="370">
        <v>0</v>
      </c>
      <c r="N15" s="372">
        <v>0</v>
      </c>
      <c r="O15" s="373">
        <v>10</v>
      </c>
      <c r="P15" s="370"/>
      <c r="Q15" s="370"/>
      <c r="R15" s="373"/>
    </row>
    <row r="16" spans="1:18">
      <c r="A16" s="173" t="s">
        <v>512</v>
      </c>
      <c r="B16" s="365">
        <v>400</v>
      </c>
      <c r="C16" s="175" t="s">
        <v>85</v>
      </c>
      <c r="D16" s="87">
        <f>88-100</f>
        <v>-12</v>
      </c>
      <c r="E16" s="87">
        <f>75-100</f>
        <v>-25</v>
      </c>
      <c r="F16" s="371">
        <v>400.01</v>
      </c>
      <c r="G16" s="366">
        <v>20</v>
      </c>
      <c r="H16" s="367">
        <v>0.25</v>
      </c>
      <c r="I16" s="370">
        <v>10</v>
      </c>
      <c r="J16" s="370">
        <v>0</v>
      </c>
      <c r="K16" s="372">
        <v>0</v>
      </c>
      <c r="L16" s="373">
        <v>10</v>
      </c>
      <c r="M16" s="370">
        <v>0</v>
      </c>
      <c r="N16" s="372">
        <v>0</v>
      </c>
      <c r="O16" s="373">
        <v>10</v>
      </c>
      <c r="P16" s="370"/>
      <c r="Q16" s="372"/>
      <c r="R16" s="373"/>
    </row>
    <row r="17" spans="1:18">
      <c r="A17" s="173" t="s">
        <v>512</v>
      </c>
      <c r="B17" s="365">
        <v>1000</v>
      </c>
      <c r="C17" s="175" t="s">
        <v>85</v>
      </c>
      <c r="D17" s="87">
        <f>87-100</f>
        <v>-13</v>
      </c>
      <c r="E17" s="87">
        <f>6-10</f>
        <v>-4</v>
      </c>
      <c r="F17" s="371">
        <v>1000.343</v>
      </c>
      <c r="G17" s="366">
        <v>20</v>
      </c>
      <c r="H17" s="367">
        <v>0.25</v>
      </c>
      <c r="I17" s="370">
        <v>10</v>
      </c>
      <c r="J17" s="370">
        <v>0</v>
      </c>
      <c r="K17" s="372">
        <v>0</v>
      </c>
      <c r="L17" s="373">
        <v>10</v>
      </c>
      <c r="M17" s="370">
        <v>0</v>
      </c>
      <c r="N17" s="372">
        <v>0</v>
      </c>
      <c r="O17" s="373">
        <v>10</v>
      </c>
      <c r="P17" s="370"/>
      <c r="Q17" s="372"/>
      <c r="R17" s="373"/>
    </row>
    <row r="18" spans="1:18">
      <c r="A18" s="173" t="s">
        <v>630</v>
      </c>
      <c r="B18" s="365">
        <v>53</v>
      </c>
      <c r="C18" s="175" t="s">
        <v>85</v>
      </c>
      <c r="D18" s="87">
        <v>90</v>
      </c>
      <c r="E18" s="87">
        <v>1057410</v>
      </c>
      <c r="F18" s="371">
        <v>53.100299999999997</v>
      </c>
      <c r="G18" s="366">
        <v>20</v>
      </c>
      <c r="H18" s="367">
        <v>0.25</v>
      </c>
      <c r="I18" s="370">
        <v>10</v>
      </c>
      <c r="J18" s="370">
        <v>0</v>
      </c>
      <c r="K18" s="372">
        <v>0</v>
      </c>
      <c r="L18" s="373">
        <v>10</v>
      </c>
      <c r="M18" s="370">
        <v>0</v>
      </c>
      <c r="N18" s="372">
        <v>5.0000000000000002E-5</v>
      </c>
      <c r="O18" s="373">
        <v>10</v>
      </c>
      <c r="P18" s="370"/>
      <c r="Q18" s="372"/>
      <c r="R18" s="373"/>
    </row>
    <row r="19" spans="1:18">
      <c r="A19" s="173" t="s">
        <v>630</v>
      </c>
      <c r="B19" s="365">
        <v>400</v>
      </c>
      <c r="C19" s="175" t="s">
        <v>85</v>
      </c>
      <c r="D19" s="87">
        <v>64</v>
      </c>
      <c r="E19" s="181">
        <v>1057510</v>
      </c>
      <c r="F19" s="371">
        <v>400.06700000000001</v>
      </c>
      <c r="G19" s="366">
        <v>20</v>
      </c>
      <c r="H19" s="367">
        <v>0.25</v>
      </c>
      <c r="I19" s="370">
        <v>10</v>
      </c>
      <c r="J19" s="370">
        <v>0</v>
      </c>
      <c r="K19" s="372">
        <v>0</v>
      </c>
      <c r="L19" s="373">
        <v>10</v>
      </c>
      <c r="M19" s="370">
        <v>0</v>
      </c>
      <c r="N19" s="372">
        <v>5.0000000000000002E-5</v>
      </c>
      <c r="O19" s="373">
        <v>10</v>
      </c>
      <c r="P19" s="370"/>
      <c r="Q19" s="372"/>
      <c r="R19" s="373"/>
    </row>
    <row r="20" spans="1:18">
      <c r="A20" s="173" t="s">
        <v>630</v>
      </c>
      <c r="B20" s="365">
        <v>1000</v>
      </c>
      <c r="C20" s="175" t="s">
        <v>85</v>
      </c>
      <c r="D20" s="87">
        <f>60-1</f>
        <v>59</v>
      </c>
      <c r="E20" s="87">
        <v>1057595</v>
      </c>
      <c r="F20" s="371">
        <v>1000.25</v>
      </c>
      <c r="G20" s="366">
        <v>20</v>
      </c>
      <c r="H20" s="367">
        <v>0.25</v>
      </c>
      <c r="I20" s="370">
        <v>10</v>
      </c>
      <c r="J20" s="370">
        <v>0</v>
      </c>
      <c r="K20" s="372">
        <v>0</v>
      </c>
      <c r="L20" s="373">
        <v>10</v>
      </c>
      <c r="M20" s="370">
        <v>0</v>
      </c>
      <c r="N20" s="372">
        <v>5.0000000000000002E-5</v>
      </c>
      <c r="O20" s="373">
        <v>10</v>
      </c>
      <c r="P20" s="370"/>
      <c r="Q20" s="372"/>
      <c r="R20" s="373"/>
    </row>
    <row r="21" spans="1:18">
      <c r="A21" s="173" t="s">
        <v>631</v>
      </c>
      <c r="B21" s="365">
        <v>53</v>
      </c>
      <c r="C21" s="175" t="s">
        <v>85</v>
      </c>
      <c r="D21" s="87">
        <v>130</v>
      </c>
      <c r="E21" s="87">
        <v>9880970</v>
      </c>
      <c r="F21" s="371">
        <v>53.099899999999998</v>
      </c>
      <c r="G21" s="366">
        <v>20</v>
      </c>
      <c r="H21" s="367">
        <v>0.25</v>
      </c>
      <c r="I21" s="370">
        <v>10</v>
      </c>
      <c r="J21" s="370">
        <v>0</v>
      </c>
      <c r="K21" s="372">
        <v>0</v>
      </c>
      <c r="L21" s="373">
        <v>10</v>
      </c>
      <c r="M21" s="372">
        <v>-6.0000000000000002E-5</v>
      </c>
      <c r="N21" s="372">
        <f>-0.5*M21</f>
        <v>3.0000000000000001E-5</v>
      </c>
      <c r="O21" s="373">
        <v>10</v>
      </c>
      <c r="P21" s="370"/>
      <c r="Q21" s="370"/>
      <c r="R21" s="373"/>
    </row>
    <row r="22" spans="1:18">
      <c r="A22" s="173" t="s">
        <v>631</v>
      </c>
      <c r="B22" s="365">
        <v>400</v>
      </c>
      <c r="C22" s="175" t="s">
        <v>85</v>
      </c>
      <c r="D22" s="87">
        <v>46</v>
      </c>
      <c r="E22" s="87">
        <v>9880940</v>
      </c>
      <c r="F22" s="371">
        <v>400.08600000000001</v>
      </c>
      <c r="G22" s="366">
        <v>20</v>
      </c>
      <c r="H22" s="367">
        <v>0.25</v>
      </c>
      <c r="I22" s="370">
        <v>10</v>
      </c>
      <c r="J22" s="370">
        <v>0</v>
      </c>
      <c r="K22" s="372">
        <v>0</v>
      </c>
      <c r="L22" s="373">
        <v>10</v>
      </c>
      <c r="M22" s="372">
        <v>-6.0000000000000002E-5</v>
      </c>
      <c r="N22" s="372">
        <f>-0.5*M22</f>
        <v>3.0000000000000001E-5</v>
      </c>
      <c r="O22" s="373">
        <v>10</v>
      </c>
      <c r="P22" s="370"/>
      <c r="Q22" s="372"/>
      <c r="R22" s="373"/>
    </row>
    <row r="23" spans="1:18">
      <c r="A23" s="173" t="s">
        <v>631</v>
      </c>
      <c r="B23" s="365">
        <v>1000</v>
      </c>
      <c r="C23" s="175" t="s">
        <v>85</v>
      </c>
      <c r="D23" s="87">
        <v>41</v>
      </c>
      <c r="E23" s="87">
        <f>9881009-100</f>
        <v>9880909</v>
      </c>
      <c r="F23" s="371">
        <v>1000.1950000000001</v>
      </c>
      <c r="G23" s="366">
        <v>20</v>
      </c>
      <c r="H23" s="367">
        <v>0.25</v>
      </c>
      <c r="I23" s="370">
        <v>10</v>
      </c>
      <c r="J23" s="370">
        <v>0</v>
      </c>
      <c r="K23" s="372">
        <v>0</v>
      </c>
      <c r="L23" s="373">
        <v>10</v>
      </c>
      <c r="M23" s="372">
        <v>-6.0000000000000002E-5</v>
      </c>
      <c r="N23" s="372">
        <f>-0.5*M23</f>
        <v>3.0000000000000001E-5</v>
      </c>
      <c r="O23" s="373">
        <v>10</v>
      </c>
      <c r="P23" s="370"/>
      <c r="Q23" s="372"/>
      <c r="R23" s="373"/>
    </row>
    <row r="24" spans="1:18">
      <c r="A24" s="173" t="s">
        <v>512</v>
      </c>
      <c r="B24" s="365">
        <v>53</v>
      </c>
      <c r="C24" s="175" t="s">
        <v>86</v>
      </c>
      <c r="D24" s="87">
        <v>140</v>
      </c>
      <c r="E24" s="87">
        <f>80-100</f>
        <v>-20</v>
      </c>
      <c r="F24" s="371">
        <v>53.103700000000003</v>
      </c>
      <c r="G24" s="366">
        <v>20</v>
      </c>
      <c r="H24" s="367">
        <v>0.25</v>
      </c>
      <c r="I24" s="370">
        <v>10</v>
      </c>
      <c r="J24" s="370">
        <v>0</v>
      </c>
      <c r="K24" s="372">
        <v>0</v>
      </c>
      <c r="L24" s="373">
        <v>10</v>
      </c>
      <c r="M24" s="370">
        <v>0</v>
      </c>
      <c r="N24" s="372">
        <v>0</v>
      </c>
      <c r="O24" s="373">
        <v>10</v>
      </c>
      <c r="P24" s="370"/>
      <c r="Q24" s="372"/>
      <c r="R24" s="373"/>
    </row>
    <row r="25" spans="1:18">
      <c r="A25" s="173" t="s">
        <v>512</v>
      </c>
      <c r="B25" s="365">
        <v>400</v>
      </c>
      <c r="C25" s="175" t="s">
        <v>86</v>
      </c>
      <c r="D25" s="87">
        <v>1</v>
      </c>
      <c r="E25" s="87">
        <v>3</v>
      </c>
      <c r="F25" s="371">
        <v>400.255</v>
      </c>
      <c r="G25" s="366">
        <v>20</v>
      </c>
      <c r="H25" s="367">
        <v>0.25</v>
      </c>
      <c r="I25" s="370">
        <v>10</v>
      </c>
      <c r="J25" s="370">
        <v>0</v>
      </c>
      <c r="K25" s="372">
        <v>0</v>
      </c>
      <c r="L25" s="373">
        <v>10</v>
      </c>
      <c r="M25" s="370">
        <v>0</v>
      </c>
      <c r="N25" s="372">
        <v>0</v>
      </c>
      <c r="O25" s="373">
        <v>10</v>
      </c>
      <c r="P25" s="370"/>
      <c r="Q25" s="372"/>
      <c r="R25" s="373"/>
    </row>
    <row r="26" spans="1:18">
      <c r="A26" s="173" t="s">
        <v>512</v>
      </c>
      <c r="B26" s="365">
        <v>1000</v>
      </c>
      <c r="C26" s="175" t="s">
        <v>86</v>
      </c>
      <c r="D26" s="87">
        <f>8-10</f>
        <v>-2</v>
      </c>
      <c r="E26" s="87">
        <f>87-100</f>
        <v>-13</v>
      </c>
      <c r="F26" s="371">
        <v>1000.271</v>
      </c>
      <c r="G26" s="366">
        <v>20</v>
      </c>
      <c r="H26" s="367">
        <v>0.25</v>
      </c>
      <c r="I26" s="370">
        <v>10</v>
      </c>
      <c r="J26" s="370">
        <v>0</v>
      </c>
      <c r="K26" s="372">
        <v>0</v>
      </c>
      <c r="L26" s="373">
        <v>10</v>
      </c>
      <c r="M26" s="370">
        <v>0</v>
      </c>
      <c r="N26" s="372">
        <v>0</v>
      </c>
      <c r="O26" s="373">
        <v>10</v>
      </c>
      <c r="P26" s="370"/>
      <c r="Q26" s="372"/>
      <c r="R26" s="373"/>
    </row>
    <row r="27" spans="1:18">
      <c r="A27" s="173" t="s">
        <v>632</v>
      </c>
      <c r="B27" s="365">
        <v>53</v>
      </c>
      <c r="C27" s="175" t="s">
        <v>86</v>
      </c>
      <c r="D27" s="87">
        <v>180</v>
      </c>
      <c r="E27" s="87">
        <v>9912310</v>
      </c>
      <c r="F27" s="371">
        <v>53.099800000000002</v>
      </c>
      <c r="G27" s="366">
        <v>20</v>
      </c>
      <c r="H27" s="367">
        <v>0.25</v>
      </c>
      <c r="I27" s="370">
        <v>10</v>
      </c>
      <c r="J27" s="370">
        <v>0</v>
      </c>
      <c r="K27" s="372">
        <v>0</v>
      </c>
      <c r="L27" s="373">
        <v>10</v>
      </c>
      <c r="M27" s="372">
        <v>-6.0000000000000002E-5</v>
      </c>
      <c r="N27" s="372">
        <f>-0.5*M27</f>
        <v>3.0000000000000001E-5</v>
      </c>
      <c r="O27" s="373">
        <v>10</v>
      </c>
      <c r="P27" s="370"/>
      <c r="Q27" s="370"/>
      <c r="R27" s="373"/>
    </row>
    <row r="28" spans="1:18">
      <c r="A28" s="173" t="s">
        <v>632</v>
      </c>
      <c r="B28" s="365">
        <v>400</v>
      </c>
      <c r="C28" s="175" t="s">
        <v>86</v>
      </c>
      <c r="D28" s="87">
        <v>6</v>
      </c>
      <c r="E28" s="87">
        <v>9912281</v>
      </c>
      <c r="F28" s="371">
        <v>400.29599999999999</v>
      </c>
      <c r="G28" s="366">
        <v>20</v>
      </c>
      <c r="H28" s="367">
        <v>0.25</v>
      </c>
      <c r="I28" s="370">
        <v>10</v>
      </c>
      <c r="J28" s="370">
        <v>0</v>
      </c>
      <c r="K28" s="372">
        <v>0</v>
      </c>
      <c r="L28" s="373">
        <v>10</v>
      </c>
      <c r="M28" s="372">
        <v>-6.0000000000000002E-5</v>
      </c>
      <c r="N28" s="372">
        <f>-0.5*M28</f>
        <v>3.0000000000000001E-5</v>
      </c>
      <c r="O28" s="373">
        <v>10</v>
      </c>
      <c r="P28" s="370"/>
      <c r="Q28" s="372"/>
      <c r="R28" s="373"/>
    </row>
    <row r="29" spans="1:18">
      <c r="A29" s="173" t="s">
        <v>632</v>
      </c>
      <c r="B29" s="365">
        <v>1000</v>
      </c>
      <c r="C29" s="175" t="s">
        <v>86</v>
      </c>
      <c r="D29" s="87">
        <v>2</v>
      </c>
      <c r="E29" s="87">
        <v>9912124</v>
      </c>
      <c r="F29" s="371">
        <v>1000.306</v>
      </c>
      <c r="G29" s="366">
        <v>20</v>
      </c>
      <c r="H29" s="367">
        <v>0.25</v>
      </c>
      <c r="I29" s="370">
        <v>10</v>
      </c>
      <c r="J29" s="370">
        <v>0</v>
      </c>
      <c r="K29" s="372">
        <v>0</v>
      </c>
      <c r="L29" s="373">
        <v>10</v>
      </c>
      <c r="M29" s="372">
        <v>-6.0000000000000002E-5</v>
      </c>
      <c r="N29" s="372">
        <f>-0.5*M29</f>
        <v>3.0000000000000001E-5</v>
      </c>
      <c r="O29" s="373">
        <v>10</v>
      </c>
      <c r="P29" s="370"/>
      <c r="Q29" s="372"/>
      <c r="R29" s="373"/>
    </row>
    <row r="30" spans="1:18">
      <c r="A30" s="173" t="s">
        <v>512</v>
      </c>
      <c r="B30" s="365">
        <v>53</v>
      </c>
      <c r="C30" s="175" t="s">
        <v>87</v>
      </c>
      <c r="D30" s="87">
        <v>50</v>
      </c>
      <c r="E30" s="87">
        <f>90-100</f>
        <v>-10</v>
      </c>
      <c r="F30" s="371">
        <v>53.107799999999997</v>
      </c>
      <c r="G30" s="366">
        <v>20</v>
      </c>
      <c r="H30" s="367">
        <v>0.25</v>
      </c>
      <c r="I30" s="370">
        <v>10</v>
      </c>
      <c r="J30" s="370">
        <v>0</v>
      </c>
      <c r="K30" s="372">
        <v>0</v>
      </c>
      <c r="L30" s="373">
        <v>10</v>
      </c>
      <c r="M30" s="370">
        <v>0</v>
      </c>
      <c r="N30" s="372">
        <v>0</v>
      </c>
      <c r="O30" s="373">
        <v>10</v>
      </c>
      <c r="P30" s="370"/>
      <c r="Q30" s="372"/>
      <c r="R30" s="373"/>
    </row>
    <row r="31" spans="1:18">
      <c r="A31" s="173" t="s">
        <v>512</v>
      </c>
      <c r="B31" s="365">
        <v>400</v>
      </c>
      <c r="C31" s="175" t="s">
        <v>87</v>
      </c>
      <c r="D31" s="87">
        <v>0</v>
      </c>
      <c r="E31" s="87">
        <v>-10</v>
      </c>
      <c r="F31" s="371">
        <v>400.51600000000002</v>
      </c>
      <c r="G31" s="366">
        <v>20</v>
      </c>
      <c r="H31" s="367">
        <v>0.25</v>
      </c>
      <c r="I31" s="370">
        <v>10</v>
      </c>
      <c r="J31" s="370">
        <v>0</v>
      </c>
      <c r="K31" s="372">
        <v>0</v>
      </c>
      <c r="L31" s="373">
        <v>10</v>
      </c>
      <c r="M31" s="370">
        <v>0</v>
      </c>
      <c r="N31" s="372">
        <v>0</v>
      </c>
      <c r="O31" s="373">
        <v>10</v>
      </c>
      <c r="P31" s="370"/>
      <c r="Q31" s="372"/>
      <c r="R31" s="373"/>
    </row>
    <row r="32" spans="1:18">
      <c r="A32" s="173" t="s">
        <v>512</v>
      </c>
      <c r="B32" s="365">
        <v>1000</v>
      </c>
      <c r="C32" s="175" t="s">
        <v>87</v>
      </c>
      <c r="D32" s="87">
        <v>-1</v>
      </c>
      <c r="E32" s="87">
        <f>1-10</f>
        <v>-9</v>
      </c>
      <c r="F32" s="371">
        <v>1001.034</v>
      </c>
      <c r="G32" s="366">
        <v>20</v>
      </c>
      <c r="H32" s="367">
        <v>0.25</v>
      </c>
      <c r="I32" s="370">
        <v>10</v>
      </c>
      <c r="J32" s="370">
        <v>0</v>
      </c>
      <c r="K32" s="372">
        <v>0</v>
      </c>
      <c r="L32" s="373">
        <v>10</v>
      </c>
      <c r="M32" s="370">
        <v>0</v>
      </c>
      <c r="N32" s="372">
        <v>0</v>
      </c>
      <c r="O32" s="373">
        <v>10</v>
      </c>
      <c r="P32" s="370"/>
      <c r="Q32" s="372"/>
      <c r="R32" s="373"/>
    </row>
    <row r="33" spans="1:18">
      <c r="A33" s="173" t="s">
        <v>633</v>
      </c>
      <c r="B33" s="365">
        <v>53</v>
      </c>
      <c r="C33" s="175" t="s">
        <v>87</v>
      </c>
      <c r="D33" s="87">
        <v>40</v>
      </c>
      <c r="E33" s="87">
        <v>10003210</v>
      </c>
      <c r="F33" s="371">
        <v>53.104900000000001</v>
      </c>
      <c r="G33" s="366">
        <v>20</v>
      </c>
      <c r="H33" s="367">
        <v>0.25</v>
      </c>
      <c r="I33" s="370">
        <v>10</v>
      </c>
      <c r="J33" s="370">
        <v>0</v>
      </c>
      <c r="K33" s="372">
        <v>0</v>
      </c>
      <c r="L33" s="373">
        <v>10</v>
      </c>
      <c r="M33" s="370">
        <v>0</v>
      </c>
      <c r="N33" s="372">
        <v>5.0000000000000004E-6</v>
      </c>
      <c r="O33" s="373">
        <v>10</v>
      </c>
      <c r="P33" s="370"/>
      <c r="Q33" s="372"/>
      <c r="R33" s="373"/>
    </row>
    <row r="34" spans="1:18">
      <c r="A34" s="173" t="s">
        <v>633</v>
      </c>
      <c r="B34" s="365">
        <v>400</v>
      </c>
      <c r="C34" s="175" t="s">
        <v>87</v>
      </c>
      <c r="D34" s="87">
        <v>5</v>
      </c>
      <c r="E34" s="87">
        <v>10003205</v>
      </c>
      <c r="F34" s="371">
        <v>400.46499999999997</v>
      </c>
      <c r="G34" s="366">
        <v>20</v>
      </c>
      <c r="H34" s="367">
        <v>0.25</v>
      </c>
      <c r="I34" s="370">
        <v>10</v>
      </c>
      <c r="J34" s="370">
        <v>0</v>
      </c>
      <c r="K34" s="372">
        <v>0</v>
      </c>
      <c r="L34" s="373">
        <v>10</v>
      </c>
      <c r="M34" s="370">
        <v>0</v>
      </c>
      <c r="N34" s="372">
        <v>5.0000000000000004E-6</v>
      </c>
      <c r="O34" s="373">
        <v>10</v>
      </c>
      <c r="P34" s="370"/>
      <c r="Q34" s="372"/>
      <c r="R34" s="373"/>
    </row>
    <row r="35" spans="1:18">
      <c r="A35" s="173" t="s">
        <v>633</v>
      </c>
      <c r="B35" s="365">
        <v>1000</v>
      </c>
      <c r="C35" s="175" t="s">
        <v>87</v>
      </c>
      <c r="D35" s="87">
        <v>3</v>
      </c>
      <c r="E35" s="87">
        <v>10003167</v>
      </c>
      <c r="F35" s="371">
        <v>1001.189</v>
      </c>
      <c r="G35" s="366">
        <v>20</v>
      </c>
      <c r="H35" s="367">
        <v>0.25</v>
      </c>
      <c r="I35" s="370">
        <v>10</v>
      </c>
      <c r="J35" s="370">
        <v>0</v>
      </c>
      <c r="K35" s="372">
        <v>0</v>
      </c>
      <c r="L35" s="373">
        <v>10</v>
      </c>
      <c r="M35" s="370">
        <v>0</v>
      </c>
      <c r="N35" s="372">
        <v>5.0000000000000004E-6</v>
      </c>
      <c r="O35" s="373">
        <v>10</v>
      </c>
      <c r="P35" s="370"/>
      <c r="Q35" s="370"/>
      <c r="R35" s="373"/>
    </row>
    <row r="36" spans="1:18">
      <c r="A36" s="173" t="s">
        <v>512</v>
      </c>
      <c r="B36" s="365">
        <v>53</v>
      </c>
      <c r="C36" s="175" t="s">
        <v>88</v>
      </c>
      <c r="D36" s="87">
        <v>34</v>
      </c>
      <c r="E36" s="87">
        <v>-10</v>
      </c>
      <c r="F36" s="371">
        <v>53.1327</v>
      </c>
      <c r="G36" s="366">
        <v>20</v>
      </c>
      <c r="H36" s="367">
        <v>0.25</v>
      </c>
      <c r="I36" s="370">
        <v>10</v>
      </c>
      <c r="J36" s="370">
        <v>0</v>
      </c>
      <c r="K36" s="372">
        <v>0</v>
      </c>
      <c r="L36" s="373">
        <v>10</v>
      </c>
      <c r="M36" s="370">
        <v>0</v>
      </c>
      <c r="N36" s="372">
        <v>0</v>
      </c>
      <c r="O36" s="373">
        <v>10</v>
      </c>
      <c r="P36" s="370"/>
      <c r="Q36" s="370"/>
      <c r="R36" s="370"/>
    </row>
    <row r="37" spans="1:18">
      <c r="A37" s="173" t="s">
        <v>512</v>
      </c>
      <c r="B37" s="365">
        <v>400</v>
      </c>
      <c r="C37" s="175" t="s">
        <v>88</v>
      </c>
      <c r="D37" s="87">
        <v>1</v>
      </c>
      <c r="E37" s="87">
        <v>-10</v>
      </c>
      <c r="F37" s="371">
        <v>400.33600000000001</v>
      </c>
      <c r="G37" s="366">
        <v>20</v>
      </c>
      <c r="H37" s="367">
        <v>0.25</v>
      </c>
      <c r="I37" s="370">
        <v>10</v>
      </c>
      <c r="J37" s="370">
        <v>0</v>
      </c>
      <c r="K37" s="372">
        <v>0</v>
      </c>
      <c r="L37" s="373">
        <v>10</v>
      </c>
      <c r="M37" s="370">
        <v>0</v>
      </c>
      <c r="N37" s="372">
        <v>0</v>
      </c>
      <c r="O37" s="373">
        <v>10</v>
      </c>
      <c r="P37" s="370"/>
      <c r="Q37" s="370"/>
      <c r="R37" s="370"/>
    </row>
    <row r="38" spans="1:18">
      <c r="A38" s="173" t="s">
        <v>512</v>
      </c>
      <c r="B38" s="365">
        <v>1000</v>
      </c>
      <c r="C38" s="175" t="s">
        <v>88</v>
      </c>
      <c r="D38" s="87">
        <v>-1</v>
      </c>
      <c r="E38" s="87">
        <v>-10</v>
      </c>
      <c r="F38" s="371">
        <v>1000.175</v>
      </c>
      <c r="G38" s="366">
        <v>20</v>
      </c>
      <c r="H38" s="367">
        <v>0.25</v>
      </c>
      <c r="I38" s="370">
        <v>10</v>
      </c>
      <c r="J38" s="370">
        <v>0</v>
      </c>
      <c r="K38" s="372">
        <v>0</v>
      </c>
      <c r="L38" s="373">
        <v>10</v>
      </c>
      <c r="M38" s="370">
        <v>0</v>
      </c>
      <c r="N38" s="372">
        <v>0</v>
      </c>
      <c r="O38" s="373">
        <v>10</v>
      </c>
      <c r="P38" s="370"/>
      <c r="Q38" s="370"/>
      <c r="R38" s="370"/>
    </row>
    <row r="39" spans="1:18">
      <c r="A39" s="173" t="s">
        <v>634</v>
      </c>
      <c r="B39" s="365">
        <v>53</v>
      </c>
      <c r="C39" s="175" t="s">
        <v>88</v>
      </c>
      <c r="D39" s="87">
        <v>43</v>
      </c>
      <c r="E39" s="87">
        <v>10001861</v>
      </c>
      <c r="F39" s="371">
        <v>53.132399999999997</v>
      </c>
      <c r="G39" s="366">
        <v>20</v>
      </c>
      <c r="H39" s="367">
        <v>0.25</v>
      </c>
      <c r="I39" s="370">
        <v>10</v>
      </c>
      <c r="J39" s="370">
        <v>0</v>
      </c>
      <c r="K39" s="372">
        <v>0</v>
      </c>
      <c r="L39" s="373">
        <v>10</v>
      </c>
      <c r="M39" s="370">
        <v>0</v>
      </c>
      <c r="N39" s="372">
        <v>5.0000000000000004E-6</v>
      </c>
      <c r="O39" s="373">
        <v>10</v>
      </c>
      <c r="P39" s="370"/>
      <c r="Q39" s="370"/>
      <c r="R39" s="370"/>
    </row>
    <row r="40" spans="1:18">
      <c r="A40" s="173" t="s">
        <v>634</v>
      </c>
      <c r="B40" s="365">
        <v>400</v>
      </c>
      <c r="C40" s="175" t="s">
        <v>88</v>
      </c>
      <c r="D40" s="87">
        <v>4</v>
      </c>
      <c r="E40" s="87">
        <v>10001866</v>
      </c>
      <c r="F40" s="371">
        <v>400.37799999999999</v>
      </c>
      <c r="G40" s="366">
        <v>20</v>
      </c>
      <c r="H40" s="367">
        <v>0.25</v>
      </c>
      <c r="I40" s="370">
        <v>10</v>
      </c>
      <c r="J40" s="370">
        <v>0</v>
      </c>
      <c r="K40" s="372">
        <v>0</v>
      </c>
      <c r="L40" s="373">
        <v>10</v>
      </c>
      <c r="M40" s="370">
        <v>0</v>
      </c>
      <c r="N40" s="372">
        <v>5.0000000000000004E-6</v>
      </c>
      <c r="O40" s="373">
        <v>10</v>
      </c>
      <c r="P40" s="370"/>
      <c r="Q40" s="370"/>
      <c r="R40" s="370"/>
    </row>
    <row r="41" spans="1:18">
      <c r="A41" s="173" t="s">
        <v>634</v>
      </c>
      <c r="B41" s="365">
        <v>1000</v>
      </c>
      <c r="C41" s="175" t="s">
        <v>88</v>
      </c>
      <c r="D41" s="87">
        <v>3</v>
      </c>
      <c r="E41" s="87">
        <v>10001835</v>
      </c>
      <c r="F41" s="371">
        <v>1000.186</v>
      </c>
      <c r="G41" s="366">
        <v>20</v>
      </c>
      <c r="H41" s="367">
        <v>0.25</v>
      </c>
      <c r="I41" s="370">
        <v>10</v>
      </c>
      <c r="J41" s="370">
        <v>0</v>
      </c>
      <c r="K41" s="372">
        <v>0</v>
      </c>
      <c r="L41" s="373">
        <v>10</v>
      </c>
      <c r="M41" s="370">
        <v>0</v>
      </c>
      <c r="N41" s="372">
        <v>5.0000000000000004E-6</v>
      </c>
      <c r="O41" s="373">
        <v>10</v>
      </c>
      <c r="P41" s="370"/>
      <c r="Q41" s="370"/>
      <c r="R41" s="370"/>
    </row>
    <row r="42" spans="1:18">
      <c r="A42" s="173" t="s">
        <v>512</v>
      </c>
      <c r="B42" s="365">
        <v>53</v>
      </c>
      <c r="C42" s="175" t="s">
        <v>89</v>
      </c>
      <c r="D42" s="87">
        <v>7</v>
      </c>
      <c r="E42" s="87">
        <f>70-100</f>
        <v>-30</v>
      </c>
      <c r="F42" s="371">
        <v>53.135100000000001</v>
      </c>
      <c r="G42" s="366">
        <v>20</v>
      </c>
      <c r="H42" s="367">
        <v>0.25</v>
      </c>
      <c r="I42" s="370">
        <v>10</v>
      </c>
      <c r="J42" s="370">
        <v>0</v>
      </c>
      <c r="K42" s="372">
        <v>0</v>
      </c>
      <c r="L42" s="373">
        <v>10</v>
      </c>
      <c r="M42" s="370">
        <v>0</v>
      </c>
      <c r="N42" s="372">
        <v>0</v>
      </c>
      <c r="O42" s="373">
        <v>10</v>
      </c>
      <c r="P42" s="370"/>
      <c r="Q42" s="370"/>
      <c r="R42" s="370"/>
    </row>
    <row r="43" spans="1:18">
      <c r="A43" s="173" t="s">
        <v>512</v>
      </c>
      <c r="B43" s="365">
        <v>400</v>
      </c>
      <c r="C43" s="175" t="s">
        <v>89</v>
      </c>
      <c r="D43" s="87">
        <v>0</v>
      </c>
      <c r="E43" s="87">
        <f>72-100</f>
        <v>-28</v>
      </c>
      <c r="F43" s="371">
        <v>400.22800000000001</v>
      </c>
      <c r="G43" s="366">
        <v>20</v>
      </c>
      <c r="H43" s="367">
        <v>0.25</v>
      </c>
      <c r="I43" s="370">
        <v>10</v>
      </c>
      <c r="J43" s="370">
        <v>0</v>
      </c>
      <c r="K43" s="372">
        <v>0</v>
      </c>
      <c r="L43" s="373">
        <v>10</v>
      </c>
      <c r="M43" s="370">
        <v>0</v>
      </c>
      <c r="N43" s="372">
        <v>0</v>
      </c>
      <c r="O43" s="373">
        <v>10</v>
      </c>
      <c r="P43" s="370"/>
      <c r="Q43" s="370"/>
      <c r="R43" s="370"/>
    </row>
    <row r="44" spans="1:18">
      <c r="A44" s="173" t="s">
        <v>512</v>
      </c>
      <c r="B44" s="365">
        <v>1000</v>
      </c>
      <c r="C44" s="175" t="s">
        <v>89</v>
      </c>
      <c r="D44" s="87">
        <v>0</v>
      </c>
      <c r="E44" s="87">
        <f>74-100</f>
        <v>-26</v>
      </c>
      <c r="F44" s="371">
        <v>1000.807</v>
      </c>
      <c r="G44" s="366">
        <v>20</v>
      </c>
      <c r="H44" s="367">
        <v>0.25</v>
      </c>
      <c r="I44" s="370">
        <v>10</v>
      </c>
      <c r="J44" s="370">
        <v>0</v>
      </c>
      <c r="K44" s="372">
        <v>0</v>
      </c>
      <c r="L44" s="373">
        <v>10</v>
      </c>
      <c r="M44" s="370">
        <v>0</v>
      </c>
      <c r="N44" s="372">
        <v>0</v>
      </c>
      <c r="O44" s="373">
        <v>10</v>
      </c>
      <c r="P44" s="370"/>
      <c r="Q44" s="370"/>
      <c r="R44" s="370"/>
    </row>
    <row r="45" spans="1:18">
      <c r="A45" s="173" t="s">
        <v>635</v>
      </c>
      <c r="B45" s="365">
        <v>53</v>
      </c>
      <c r="C45" s="175" t="s">
        <v>89</v>
      </c>
      <c r="D45" s="87">
        <f>37-100</f>
        <v>-63</v>
      </c>
      <c r="E45" s="87">
        <f>10001664</f>
        <v>10001664</v>
      </c>
      <c r="F45" s="371">
        <v>53.136000000000003</v>
      </c>
      <c r="G45" s="366">
        <v>20</v>
      </c>
      <c r="H45" s="367">
        <v>0.25</v>
      </c>
      <c r="I45" s="370">
        <v>10</v>
      </c>
      <c r="J45" s="370">
        <v>0</v>
      </c>
      <c r="K45" s="372">
        <v>0</v>
      </c>
      <c r="L45" s="373">
        <v>10</v>
      </c>
      <c r="M45" s="370">
        <v>0</v>
      </c>
      <c r="N45" s="372">
        <v>5.0000000000000004E-6</v>
      </c>
      <c r="O45" s="373">
        <v>10</v>
      </c>
      <c r="P45" s="370"/>
      <c r="Q45" s="370"/>
      <c r="R45" s="370"/>
    </row>
    <row r="46" spans="1:18">
      <c r="A46" s="173" t="s">
        <v>635</v>
      </c>
      <c r="B46" s="365">
        <v>400</v>
      </c>
      <c r="C46" s="175" t="s">
        <v>89</v>
      </c>
      <c r="D46" s="87">
        <f>35-100</f>
        <v>-65</v>
      </c>
      <c r="E46" s="87">
        <v>10001668</v>
      </c>
      <c r="F46" s="371">
        <v>400.18400000000003</v>
      </c>
      <c r="G46" s="366">
        <v>20</v>
      </c>
      <c r="H46" s="367">
        <v>0.25</v>
      </c>
      <c r="I46" s="370">
        <v>10</v>
      </c>
      <c r="J46" s="370">
        <v>0</v>
      </c>
      <c r="K46" s="372">
        <v>0</v>
      </c>
      <c r="L46" s="373">
        <v>10</v>
      </c>
      <c r="M46" s="370">
        <v>0</v>
      </c>
      <c r="N46" s="372">
        <v>5.0000000000000004E-6</v>
      </c>
      <c r="O46" s="373">
        <v>10</v>
      </c>
      <c r="P46" s="370"/>
      <c r="Q46" s="370"/>
      <c r="R46" s="370"/>
    </row>
    <row r="47" spans="1:18">
      <c r="A47" s="173" t="s">
        <v>635</v>
      </c>
      <c r="B47" s="365">
        <v>1000</v>
      </c>
      <c r="C47" s="175" t="s">
        <v>89</v>
      </c>
      <c r="D47" s="87">
        <f>35-100</f>
        <v>-65</v>
      </c>
      <c r="E47" s="87">
        <v>10001648</v>
      </c>
      <c r="F47" s="371">
        <v>1000.894</v>
      </c>
      <c r="G47" s="366">
        <v>20</v>
      </c>
      <c r="H47" s="367">
        <v>0.25</v>
      </c>
      <c r="I47" s="370">
        <v>10</v>
      </c>
      <c r="J47" s="370">
        <v>0</v>
      </c>
      <c r="K47" s="372">
        <v>0</v>
      </c>
      <c r="L47" s="373">
        <v>10</v>
      </c>
      <c r="M47" s="370">
        <v>0</v>
      </c>
      <c r="N47" s="372">
        <v>5.0000000000000004E-6</v>
      </c>
      <c r="O47" s="373">
        <v>10</v>
      </c>
      <c r="P47" s="370"/>
      <c r="Q47" s="370"/>
      <c r="R47" s="370"/>
    </row>
    <row r="48" spans="1:18">
      <c r="A48" s="173" t="s">
        <v>512</v>
      </c>
      <c r="B48" s="365">
        <v>53</v>
      </c>
      <c r="C48" s="175" t="s">
        <v>90</v>
      </c>
      <c r="D48" s="87">
        <v>5</v>
      </c>
      <c r="E48" s="87">
        <v>-10</v>
      </c>
      <c r="F48" s="371">
        <v>53.077100000000002</v>
      </c>
      <c r="G48" s="366">
        <v>20</v>
      </c>
      <c r="H48" s="367">
        <v>0.25</v>
      </c>
      <c r="I48" s="370">
        <v>10</v>
      </c>
      <c r="J48" s="370">
        <v>0</v>
      </c>
      <c r="K48" s="372">
        <v>0</v>
      </c>
      <c r="L48" s="373">
        <v>10</v>
      </c>
      <c r="M48" s="370">
        <v>0</v>
      </c>
      <c r="N48" s="372">
        <v>0</v>
      </c>
      <c r="O48" s="373">
        <v>10</v>
      </c>
      <c r="P48" s="370"/>
      <c r="Q48" s="370"/>
      <c r="R48" s="370"/>
    </row>
    <row r="49" spans="1:18">
      <c r="A49" s="173" t="s">
        <v>512</v>
      </c>
      <c r="B49" s="365">
        <v>400</v>
      </c>
      <c r="C49" s="175" t="s">
        <v>90</v>
      </c>
      <c r="D49" s="87">
        <f>8-10</f>
        <v>-2</v>
      </c>
      <c r="E49" s="87">
        <v>-10</v>
      </c>
      <c r="F49" s="371">
        <v>399.78199999999998</v>
      </c>
      <c r="G49" s="366">
        <v>20</v>
      </c>
      <c r="H49" s="367">
        <v>0.25</v>
      </c>
      <c r="I49" s="370">
        <v>10</v>
      </c>
      <c r="J49" s="370">
        <v>0</v>
      </c>
      <c r="K49" s="372">
        <v>0</v>
      </c>
      <c r="L49" s="373">
        <v>10</v>
      </c>
      <c r="M49" s="370">
        <v>0</v>
      </c>
      <c r="N49" s="372">
        <v>0</v>
      </c>
      <c r="O49" s="373">
        <v>10</v>
      </c>
      <c r="P49" s="370"/>
      <c r="Q49" s="370"/>
      <c r="R49" s="370"/>
    </row>
    <row r="50" spans="1:18">
      <c r="A50" s="173" t="s">
        <v>512</v>
      </c>
      <c r="B50" s="365">
        <v>1000</v>
      </c>
      <c r="C50" s="175" t="s">
        <v>90</v>
      </c>
      <c r="D50" s="87">
        <v>-1</v>
      </c>
      <c r="E50" s="87">
        <f>90-100</f>
        <v>-10</v>
      </c>
      <c r="F50" s="371">
        <v>1000.897</v>
      </c>
      <c r="G50" s="366">
        <v>20</v>
      </c>
      <c r="H50" s="367">
        <v>0.25</v>
      </c>
      <c r="I50" s="370">
        <v>10</v>
      </c>
      <c r="J50" s="370">
        <v>0</v>
      </c>
      <c r="K50" s="372">
        <v>0</v>
      </c>
      <c r="L50" s="373">
        <v>10</v>
      </c>
      <c r="M50" s="370">
        <v>0</v>
      </c>
      <c r="N50" s="372">
        <v>0</v>
      </c>
      <c r="O50" s="373">
        <v>10</v>
      </c>
      <c r="P50" s="370"/>
      <c r="Q50" s="370"/>
      <c r="R50" s="370"/>
    </row>
    <row r="51" spans="1:18">
      <c r="A51" s="173" t="s">
        <v>636</v>
      </c>
      <c r="B51" s="365">
        <v>53</v>
      </c>
      <c r="C51" s="175" t="s">
        <v>90</v>
      </c>
      <c r="D51" s="87">
        <f>172-1000</f>
        <v>-828</v>
      </c>
      <c r="E51" s="87">
        <v>10002996</v>
      </c>
      <c r="F51" s="371">
        <v>53.075800000000001</v>
      </c>
      <c r="G51" s="366">
        <v>20</v>
      </c>
      <c r="H51" s="367">
        <v>0.25</v>
      </c>
      <c r="I51" s="370">
        <v>10</v>
      </c>
      <c r="J51" s="370">
        <v>0</v>
      </c>
      <c r="K51" s="372">
        <v>0</v>
      </c>
      <c r="L51" s="373">
        <v>10</v>
      </c>
      <c r="M51" s="370">
        <v>0</v>
      </c>
      <c r="N51" s="372">
        <v>5.0000000000000004E-6</v>
      </c>
      <c r="O51" s="373">
        <v>10</v>
      </c>
      <c r="P51" s="370"/>
      <c r="Q51" s="370"/>
      <c r="R51" s="370"/>
    </row>
    <row r="52" spans="1:18">
      <c r="A52" s="173" t="s">
        <v>636</v>
      </c>
      <c r="B52" s="365">
        <v>400</v>
      </c>
      <c r="C52" s="175" t="s">
        <v>90</v>
      </c>
      <c r="D52" s="87">
        <f>208-1000</f>
        <v>-792</v>
      </c>
      <c r="E52" s="87">
        <f>10003057-100</f>
        <v>10002957</v>
      </c>
      <c r="F52" s="371">
        <v>399.81200000000001</v>
      </c>
      <c r="G52" s="366">
        <v>20</v>
      </c>
      <c r="H52" s="367">
        <v>0.25</v>
      </c>
      <c r="I52" s="370">
        <v>10</v>
      </c>
      <c r="J52" s="370">
        <v>0</v>
      </c>
      <c r="K52" s="372">
        <v>0</v>
      </c>
      <c r="L52" s="373">
        <v>10</v>
      </c>
      <c r="M52" s="370">
        <v>0</v>
      </c>
      <c r="N52" s="372">
        <v>5.0000000000000004E-6</v>
      </c>
      <c r="O52" s="373">
        <v>10</v>
      </c>
      <c r="P52" s="370"/>
      <c r="Q52" s="370"/>
      <c r="R52" s="370"/>
    </row>
    <row r="53" spans="1:18">
      <c r="A53" s="173" t="s">
        <v>636</v>
      </c>
      <c r="B53" s="365">
        <v>1000</v>
      </c>
      <c r="C53" s="175" t="s">
        <v>90</v>
      </c>
      <c r="D53" s="87">
        <f>216-1000</f>
        <v>-784</v>
      </c>
      <c r="E53" s="87">
        <f>10002857</f>
        <v>10002857</v>
      </c>
      <c r="F53" s="371">
        <v>1000.9450000000001</v>
      </c>
      <c r="G53" s="366">
        <v>20</v>
      </c>
      <c r="H53" s="367">
        <v>0.25</v>
      </c>
      <c r="I53" s="370">
        <v>10</v>
      </c>
      <c r="J53" s="370">
        <v>0</v>
      </c>
      <c r="K53" s="372">
        <v>0</v>
      </c>
      <c r="L53" s="373">
        <v>10</v>
      </c>
      <c r="M53" s="370">
        <v>0</v>
      </c>
      <c r="N53" s="372">
        <v>5.0000000000000004E-6</v>
      </c>
      <c r="O53" s="373">
        <v>10</v>
      </c>
      <c r="P53" s="370"/>
      <c r="Q53" s="370"/>
      <c r="R53" s="370"/>
    </row>
    <row r="54" spans="1:18">
      <c r="A54" s="173" t="s">
        <v>512</v>
      </c>
      <c r="B54" s="365">
        <v>1600</v>
      </c>
      <c r="C54" s="175" t="s">
        <v>88</v>
      </c>
      <c r="D54" s="87">
        <f>9-10</f>
        <v>-1</v>
      </c>
      <c r="E54" s="87">
        <f>1-10</f>
        <v>-9</v>
      </c>
      <c r="F54" s="371">
        <v>1600.1</v>
      </c>
      <c r="G54" s="366">
        <v>20</v>
      </c>
      <c r="H54" s="367">
        <v>0.25</v>
      </c>
      <c r="I54" s="370">
        <v>10</v>
      </c>
      <c r="J54" s="370">
        <v>0</v>
      </c>
      <c r="K54" s="372">
        <v>0</v>
      </c>
      <c r="L54" s="373">
        <v>10</v>
      </c>
      <c r="M54" s="370">
        <v>0</v>
      </c>
      <c r="N54" s="372">
        <v>0</v>
      </c>
      <c r="O54" s="373">
        <v>10</v>
      </c>
      <c r="P54" s="370"/>
      <c r="Q54" s="370"/>
      <c r="R54" s="370"/>
    </row>
    <row r="55" spans="1:18">
      <c r="A55" s="173" t="s">
        <v>637</v>
      </c>
      <c r="B55" s="365">
        <v>1600</v>
      </c>
      <c r="C55" s="175" t="s">
        <v>88</v>
      </c>
      <c r="D55" s="87">
        <v>1000</v>
      </c>
      <c r="E55" s="87">
        <v>6324591</v>
      </c>
      <c r="F55" s="371">
        <v>1600.08</v>
      </c>
      <c r="G55" s="366">
        <v>20</v>
      </c>
      <c r="H55" s="367">
        <v>0.25</v>
      </c>
      <c r="I55" s="370">
        <v>10</v>
      </c>
      <c r="J55" s="372">
        <v>3.1500000000000001E-4</v>
      </c>
      <c r="K55" s="372">
        <f>0.1*J55</f>
        <v>3.15E-5</v>
      </c>
      <c r="L55" s="373">
        <v>10</v>
      </c>
      <c r="M55" s="370">
        <v>0</v>
      </c>
      <c r="N55" s="372">
        <v>5.0000000000000004E-6</v>
      </c>
      <c r="O55" s="373">
        <v>10</v>
      </c>
      <c r="P55" s="370"/>
      <c r="Q55" s="370"/>
      <c r="R55" s="370"/>
    </row>
    <row r="56" spans="1:18">
      <c r="A56" s="173" t="s">
        <v>512</v>
      </c>
      <c r="B56" s="365">
        <v>1600</v>
      </c>
      <c r="C56" s="175" t="s">
        <v>89</v>
      </c>
      <c r="D56" s="87">
        <v>0</v>
      </c>
      <c r="E56" s="87">
        <f>78-100</f>
        <v>-22</v>
      </c>
      <c r="F56" s="371">
        <v>1600</v>
      </c>
      <c r="G56" s="366">
        <v>20</v>
      </c>
      <c r="H56" s="367">
        <v>0.25</v>
      </c>
      <c r="I56" s="370">
        <v>10</v>
      </c>
      <c r="J56" s="370">
        <v>0</v>
      </c>
      <c r="K56" s="372">
        <v>0</v>
      </c>
      <c r="L56" s="373">
        <v>10</v>
      </c>
      <c r="M56" s="370">
        <v>0</v>
      </c>
      <c r="N56" s="372">
        <v>0</v>
      </c>
      <c r="O56" s="373">
        <v>10</v>
      </c>
      <c r="P56" s="370"/>
      <c r="Q56" s="370"/>
      <c r="R56" s="370"/>
    </row>
    <row r="57" spans="1:18">
      <c r="A57" s="173" t="s">
        <v>638</v>
      </c>
      <c r="B57" s="365">
        <v>1600</v>
      </c>
      <c r="C57" s="175" t="s">
        <v>89</v>
      </c>
      <c r="D57" s="87">
        <v>99864</v>
      </c>
      <c r="E57" s="87">
        <v>2000407</v>
      </c>
      <c r="F57" s="371">
        <v>1600.05</v>
      </c>
      <c r="G57" s="366">
        <v>20</v>
      </c>
      <c r="H57" s="367">
        <v>0.25</v>
      </c>
      <c r="I57" s="370">
        <v>10</v>
      </c>
      <c r="J57" s="372">
        <v>3.1500000000000001E-4</v>
      </c>
      <c r="K57" s="372">
        <f>0.1*J57</f>
        <v>3.15E-5</v>
      </c>
      <c r="L57" s="373">
        <v>10</v>
      </c>
      <c r="M57" s="370">
        <v>0</v>
      </c>
      <c r="N57" s="372">
        <v>5.0000000000000004E-6</v>
      </c>
      <c r="O57" s="373">
        <v>10</v>
      </c>
      <c r="P57" s="370"/>
      <c r="Q57" s="370"/>
      <c r="R57" s="370"/>
    </row>
    <row r="58" spans="1:18">
      <c r="A58" s="173" t="s">
        <v>512</v>
      </c>
      <c r="B58" s="365">
        <v>53</v>
      </c>
      <c r="C58" s="175" t="s">
        <v>43</v>
      </c>
      <c r="D58" s="87">
        <v>29</v>
      </c>
      <c r="E58" s="87">
        <v>12</v>
      </c>
      <c r="F58" s="371">
        <v>53.103099999999998</v>
      </c>
      <c r="G58" s="366">
        <v>20</v>
      </c>
      <c r="H58" s="367">
        <v>0.25</v>
      </c>
      <c r="I58" s="370">
        <v>10</v>
      </c>
      <c r="J58" s="370">
        <v>0</v>
      </c>
      <c r="K58" s="372">
        <v>0</v>
      </c>
      <c r="L58" s="373">
        <v>10</v>
      </c>
      <c r="M58" s="370">
        <v>0</v>
      </c>
      <c r="N58" s="372">
        <v>0</v>
      </c>
      <c r="O58" s="373">
        <v>10</v>
      </c>
      <c r="P58" s="370"/>
      <c r="Q58" s="370"/>
      <c r="R58" s="370"/>
    </row>
    <row r="59" spans="1:18">
      <c r="A59" s="173" t="s">
        <v>512</v>
      </c>
      <c r="B59" s="365">
        <v>400</v>
      </c>
      <c r="C59" s="175" t="s">
        <v>43</v>
      </c>
      <c r="D59" s="87">
        <v>6</v>
      </c>
      <c r="E59" s="87">
        <v>17</v>
      </c>
      <c r="F59" s="371">
        <v>400.108</v>
      </c>
      <c r="G59" s="366">
        <v>20</v>
      </c>
      <c r="H59" s="367">
        <v>0.25</v>
      </c>
      <c r="I59" s="370">
        <v>10</v>
      </c>
      <c r="J59" s="370">
        <v>0</v>
      </c>
      <c r="K59" s="372">
        <v>0</v>
      </c>
      <c r="L59" s="373">
        <v>10</v>
      </c>
      <c r="M59" s="370">
        <v>0</v>
      </c>
      <c r="N59" s="372">
        <v>0</v>
      </c>
      <c r="O59" s="373">
        <v>10</v>
      </c>
      <c r="P59" s="370"/>
      <c r="Q59" s="370"/>
      <c r="R59" s="370"/>
    </row>
    <row r="60" spans="1:18">
      <c r="A60" s="173" t="s">
        <v>512</v>
      </c>
      <c r="B60" s="365">
        <v>1000</v>
      </c>
      <c r="C60" s="175" t="s">
        <v>43</v>
      </c>
      <c r="D60" s="87">
        <v>6</v>
      </c>
      <c r="E60" s="87">
        <v>17</v>
      </c>
      <c r="F60" s="371">
        <v>1000</v>
      </c>
      <c r="G60" s="366">
        <v>20</v>
      </c>
      <c r="H60" s="367">
        <v>0.25</v>
      </c>
      <c r="I60" s="370">
        <v>10</v>
      </c>
      <c r="J60" s="370">
        <v>0</v>
      </c>
      <c r="K60" s="372">
        <v>0</v>
      </c>
      <c r="L60" s="373">
        <v>10</v>
      </c>
      <c r="M60" s="370">
        <v>0</v>
      </c>
      <c r="N60" s="372">
        <v>0</v>
      </c>
      <c r="O60" s="373">
        <v>10</v>
      </c>
      <c r="P60" s="370"/>
      <c r="Q60" s="370"/>
      <c r="R60" s="370"/>
    </row>
    <row r="61" spans="1:18">
      <c r="A61" s="173" t="s">
        <v>639</v>
      </c>
      <c r="B61" s="365">
        <v>53</v>
      </c>
      <c r="C61" s="175" t="s">
        <v>43</v>
      </c>
      <c r="D61" s="87">
        <v>21</v>
      </c>
      <c r="E61" s="87">
        <v>8</v>
      </c>
      <c r="F61" s="371">
        <v>53.113199999999999</v>
      </c>
      <c r="G61" s="366">
        <v>20</v>
      </c>
      <c r="H61" s="367">
        <v>0.25</v>
      </c>
      <c r="I61" s="370">
        <v>10</v>
      </c>
      <c r="J61" s="370">
        <v>0</v>
      </c>
      <c r="K61" s="372">
        <v>0</v>
      </c>
      <c r="L61" s="373">
        <v>10</v>
      </c>
      <c r="M61" s="370">
        <v>0</v>
      </c>
      <c r="N61" s="372">
        <v>0</v>
      </c>
      <c r="O61" s="373">
        <v>10</v>
      </c>
      <c r="P61" s="370"/>
      <c r="Q61" s="370"/>
      <c r="R61" s="370"/>
    </row>
    <row r="62" spans="1:18">
      <c r="A62" s="173" t="s">
        <v>639</v>
      </c>
      <c r="B62" s="365">
        <v>400</v>
      </c>
      <c r="C62" s="175" t="s">
        <v>43</v>
      </c>
      <c r="D62" s="87">
        <v>6</v>
      </c>
      <c r="E62" s="87">
        <v>17</v>
      </c>
      <c r="F62" s="371">
        <v>400.08100000000002</v>
      </c>
      <c r="G62" s="366">
        <v>20</v>
      </c>
      <c r="H62" s="367">
        <v>0.25</v>
      </c>
      <c r="I62" s="370">
        <v>10</v>
      </c>
      <c r="J62" s="370">
        <v>0</v>
      </c>
      <c r="K62" s="372">
        <v>0</v>
      </c>
      <c r="L62" s="373">
        <v>10</v>
      </c>
      <c r="M62" s="370">
        <v>0</v>
      </c>
      <c r="N62" s="372">
        <v>0</v>
      </c>
      <c r="O62" s="373">
        <v>10</v>
      </c>
      <c r="P62" s="370"/>
      <c r="Q62" s="370"/>
      <c r="R62" s="370"/>
    </row>
    <row r="63" spans="1:18">
      <c r="A63" s="173" t="s">
        <v>639</v>
      </c>
      <c r="B63" s="365">
        <v>1000</v>
      </c>
      <c r="C63" s="175" t="s">
        <v>43</v>
      </c>
      <c r="D63" s="87">
        <v>6</v>
      </c>
      <c r="E63" s="87">
        <v>20</v>
      </c>
      <c r="F63" s="371">
        <v>1000.178</v>
      </c>
      <c r="G63" s="366">
        <v>20</v>
      </c>
      <c r="H63" s="367">
        <v>0.25</v>
      </c>
      <c r="I63" s="370">
        <v>10</v>
      </c>
      <c r="J63" s="370">
        <v>0</v>
      </c>
      <c r="K63" s="372">
        <v>0</v>
      </c>
      <c r="L63" s="373">
        <v>10</v>
      </c>
      <c r="M63" s="370">
        <v>0</v>
      </c>
      <c r="N63" s="372">
        <v>0</v>
      </c>
      <c r="O63" s="373">
        <v>10</v>
      </c>
      <c r="P63" s="370"/>
      <c r="Q63" s="370"/>
      <c r="R63" s="370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Q16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1.42578125" defaultRowHeight="12.75"/>
  <cols>
    <col min="8" max="15" width="0" hidden="1" customWidth="1"/>
    <col min="16" max="16" width="12.28515625" customWidth="1"/>
    <col min="17" max="17" width="12.42578125" bestFit="1" customWidth="1"/>
    <col min="18" max="18" width="13.140625" bestFit="1" customWidth="1"/>
    <col min="26" max="27" width="15" customWidth="1"/>
    <col min="28" max="28" width="13.7109375" bestFit="1" customWidth="1"/>
    <col min="32" max="32" width="13.140625" bestFit="1" customWidth="1"/>
    <col min="36" max="36" width="17.28515625" customWidth="1"/>
    <col min="39" max="39" width="13.140625" bestFit="1" customWidth="1"/>
    <col min="45" max="45" width="13.140625" bestFit="1" customWidth="1"/>
  </cols>
  <sheetData>
    <row r="1" spans="1:43">
      <c r="A1" s="172" t="s">
        <v>180</v>
      </c>
      <c r="B1" s="172" t="s">
        <v>16</v>
      </c>
      <c r="C1" s="172" t="s">
        <v>33</v>
      </c>
      <c r="D1" s="172" t="s">
        <v>513</v>
      </c>
      <c r="E1" s="172" t="s">
        <v>514</v>
      </c>
      <c r="F1" s="172" t="s">
        <v>515</v>
      </c>
      <c r="G1" s="172" t="s">
        <v>443</v>
      </c>
      <c r="H1" s="172" t="s">
        <v>516</v>
      </c>
      <c r="I1" s="172" t="s">
        <v>517</v>
      </c>
      <c r="J1" s="172" t="s">
        <v>518</v>
      </c>
      <c r="K1" s="172" t="s">
        <v>519</v>
      </c>
      <c r="L1" s="172" t="s">
        <v>520</v>
      </c>
      <c r="M1" s="172" t="s">
        <v>521</v>
      </c>
      <c r="N1" s="172" t="s">
        <v>522</v>
      </c>
      <c r="O1" s="172" t="s">
        <v>523</v>
      </c>
      <c r="P1" s="172" t="s">
        <v>524</v>
      </c>
      <c r="Q1" s="172" t="s">
        <v>525</v>
      </c>
      <c r="R1" s="172" t="s">
        <v>526</v>
      </c>
      <c r="S1" s="172" t="s">
        <v>527</v>
      </c>
      <c r="T1" s="172" t="s">
        <v>528</v>
      </c>
      <c r="U1" s="172" t="s">
        <v>529</v>
      </c>
      <c r="V1" s="172" t="s">
        <v>530</v>
      </c>
      <c r="W1" s="172" t="s">
        <v>531</v>
      </c>
      <c r="X1" s="172" t="s">
        <v>532</v>
      </c>
      <c r="Y1" s="172" t="s">
        <v>533</v>
      </c>
      <c r="Z1" s="172" t="s">
        <v>534</v>
      </c>
      <c r="AA1" s="172" t="s">
        <v>687</v>
      </c>
      <c r="AB1" s="172" t="s">
        <v>688</v>
      </c>
      <c r="AC1" s="172" t="s">
        <v>689</v>
      </c>
      <c r="AD1" s="172" t="s">
        <v>17</v>
      </c>
      <c r="AE1" s="172" t="s">
        <v>690</v>
      </c>
      <c r="AF1" s="172" t="s">
        <v>691</v>
      </c>
      <c r="AG1" s="172" t="s">
        <v>692</v>
      </c>
      <c r="AH1" s="172" t="s">
        <v>17</v>
      </c>
      <c r="AI1" s="172" t="s">
        <v>693</v>
      </c>
      <c r="AJ1" s="172" t="s">
        <v>706</v>
      </c>
      <c r="AK1" s="172" t="s">
        <v>152</v>
      </c>
      <c r="AL1" s="172"/>
      <c r="AO1" s="172"/>
    </row>
    <row r="2" spans="1:43">
      <c r="A2" s="374" t="s">
        <v>628</v>
      </c>
      <c r="B2" s="374">
        <v>53</v>
      </c>
      <c r="C2" s="374" t="s">
        <v>85</v>
      </c>
      <c r="D2" s="374">
        <v>100</v>
      </c>
      <c r="E2" s="374">
        <v>38510</v>
      </c>
      <c r="F2" s="374">
        <v>53.101999999999997</v>
      </c>
      <c r="G2" s="374">
        <v>20</v>
      </c>
      <c r="H2" s="374">
        <v>0.25</v>
      </c>
      <c r="I2" s="374">
        <v>10</v>
      </c>
      <c r="J2" s="374">
        <v>0</v>
      </c>
      <c r="K2" s="374">
        <v>0</v>
      </c>
      <c r="L2" s="374">
        <v>10</v>
      </c>
      <c r="M2" s="374">
        <v>0</v>
      </c>
      <c r="N2" s="374">
        <v>0</v>
      </c>
      <c r="O2" s="374">
        <v>10</v>
      </c>
      <c r="P2" s="375">
        <v>5.0010295429872851E-9</v>
      </c>
      <c r="Q2" s="374">
        <v>3.948976346464804E-9</v>
      </c>
      <c r="R2" s="374">
        <v>2.0844785564647941</v>
      </c>
      <c r="S2" s="374">
        <v>3.851272269183463E-3</v>
      </c>
      <c r="T2" s="374">
        <v>3.9484386600699198E-5</v>
      </c>
      <c r="U2" s="374">
        <v>2.0844792489271482</v>
      </c>
      <c r="V2" s="374">
        <v>3.7663384561658133E-9</v>
      </c>
      <c r="W2" s="374">
        <v>3.7663403451886403E-5</v>
      </c>
      <c r="X2" s="83">
        <f t="shared" ref="X2:X18" si="0">Q2/V2</f>
        <v>1.0484921608678044</v>
      </c>
      <c r="Y2" s="83">
        <f t="shared" ref="Y2:Y18" si="1">T2/W2</f>
        <v>1.0483488740240652</v>
      </c>
      <c r="Z2" t="str">
        <f>A2&amp;B2</f>
        <v>0 ohm53</v>
      </c>
      <c r="AA2" s="245">
        <v>1000</v>
      </c>
      <c r="AB2" s="376">
        <f>AA2*S2</f>
        <v>3.8512722691834629</v>
      </c>
      <c r="AC2" s="337">
        <f>AA2*T2</f>
        <v>3.9484386600699195E-2</v>
      </c>
      <c r="AD2" s="83">
        <f>U2</f>
        <v>2.0844792489271482</v>
      </c>
      <c r="AE2" s="245">
        <v>1000000</v>
      </c>
      <c r="AF2" s="245">
        <f>AE2*P2</f>
        <v>5.0010295429872851E-3</v>
      </c>
      <c r="AG2" s="83">
        <f>AE2*Q2</f>
        <v>3.9489763464648038E-3</v>
      </c>
      <c r="AH2" s="65">
        <f>R2</f>
        <v>2.0844785564647941</v>
      </c>
      <c r="AI2" s="65">
        <f>B2</f>
        <v>53</v>
      </c>
      <c r="AJ2" s="83"/>
      <c r="AL2" s="172"/>
      <c r="AO2" s="172"/>
    </row>
    <row r="3" spans="1:43">
      <c r="A3" s="374" t="s">
        <v>628</v>
      </c>
      <c r="B3" s="374">
        <v>400</v>
      </c>
      <c r="C3" s="374" t="s">
        <v>85</v>
      </c>
      <c r="D3" s="374">
        <v>66</v>
      </c>
      <c r="E3" s="374">
        <v>38573</v>
      </c>
      <c r="F3" s="374">
        <v>400.02800000000002</v>
      </c>
      <c r="G3" s="374">
        <v>20</v>
      </c>
      <c r="H3" s="374">
        <v>0.25</v>
      </c>
      <c r="I3" s="374">
        <v>10</v>
      </c>
      <c r="J3" s="374">
        <v>0</v>
      </c>
      <c r="K3" s="374">
        <v>0</v>
      </c>
      <c r="L3" s="374">
        <v>10</v>
      </c>
      <c r="M3" s="374">
        <v>0</v>
      </c>
      <c r="N3" s="374">
        <v>0</v>
      </c>
      <c r="O3" s="374">
        <v>10</v>
      </c>
      <c r="P3" s="375">
        <v>7.8016060870601634E-9</v>
      </c>
      <c r="Q3" s="374">
        <v>9.6686382046339047E-10</v>
      </c>
      <c r="R3" s="374">
        <v>2.063975266540349</v>
      </c>
      <c r="S3" s="374">
        <v>3.8600728913514249E-3</v>
      </c>
      <c r="T3" s="374">
        <v>9.667166918819374E-6</v>
      </c>
      <c r="U3" s="374">
        <v>2.063984687168201</v>
      </c>
      <c r="V3" s="374">
        <v>4.9997989267887755E-10</v>
      </c>
      <c r="W3" s="374">
        <v>4.9999417449832147E-6</v>
      </c>
      <c r="X3" s="83">
        <f t="shared" si="0"/>
        <v>1.9338054082194438</v>
      </c>
      <c r="Y3" s="83">
        <f t="shared" si="1"/>
        <v>1.9334559104651783</v>
      </c>
      <c r="Z3" t="str">
        <f>A3&amp;B3</f>
        <v>0 ohm400</v>
      </c>
      <c r="AA3" s="245">
        <v>1000</v>
      </c>
      <c r="AB3" s="376">
        <f t="shared" ref="AB3:AB56" si="2">AA3*S3</f>
        <v>3.8600728913514248</v>
      </c>
      <c r="AC3" s="337">
        <f t="shared" ref="AC3:AC56" si="3">AA3*T3</f>
        <v>9.6671669188193744E-3</v>
      </c>
      <c r="AD3" s="83">
        <f t="shared" ref="AD3:AD56" si="4">U3</f>
        <v>2.063984687168201</v>
      </c>
      <c r="AE3" s="245">
        <v>1000000</v>
      </c>
      <c r="AF3" s="245">
        <f t="shared" ref="AF3:AF56" si="5">AE3*P3</f>
        <v>7.8016060870601638E-3</v>
      </c>
      <c r="AG3" s="83">
        <f t="shared" ref="AG3:AG56" si="6">AE3*Q3</f>
        <v>9.6686382046339047E-4</v>
      </c>
      <c r="AH3" s="65">
        <f t="shared" ref="AH3:AH56" si="7">R3</f>
        <v>2.063975266540349</v>
      </c>
      <c r="AI3" s="65">
        <f t="shared" ref="AI3:AI56" si="8">B3</f>
        <v>400</v>
      </c>
      <c r="AJ3" s="83"/>
    </row>
    <row r="4" spans="1:43">
      <c r="A4" s="374" t="s">
        <v>628</v>
      </c>
      <c r="B4" s="374">
        <v>1000</v>
      </c>
      <c r="C4" s="374" t="s">
        <v>85</v>
      </c>
      <c r="D4" s="374">
        <v>65</v>
      </c>
      <c r="E4" s="374">
        <v>38575</v>
      </c>
      <c r="F4" s="374">
        <v>1000.276</v>
      </c>
      <c r="G4" s="374">
        <v>20</v>
      </c>
      <c r="H4" s="374">
        <v>0.25</v>
      </c>
      <c r="I4" s="374">
        <v>10</v>
      </c>
      <c r="J4" s="374">
        <v>0</v>
      </c>
      <c r="K4" s="374">
        <v>0</v>
      </c>
      <c r="L4" s="374">
        <v>10</v>
      </c>
      <c r="M4" s="374">
        <v>0</v>
      </c>
      <c r="N4" s="374">
        <v>0</v>
      </c>
      <c r="O4" s="374">
        <v>10</v>
      </c>
      <c r="P4" s="375">
        <v>7.80160608706016E-9</v>
      </c>
      <c r="Q4" s="374">
        <v>5.5295485112781076E-10</v>
      </c>
      <c r="R4" s="374">
        <v>2.034281092083273</v>
      </c>
      <c r="S4" s="374">
        <v>3.8581727570197052E-3</v>
      </c>
      <c r="T4" s="374">
        <v>5.5285009139076067E-6</v>
      </c>
      <c r="U4" s="374">
        <v>2.034300756374595</v>
      </c>
      <c r="V4" s="374">
        <v>1.9998204877586999E-10</v>
      </c>
      <c r="W4" s="374">
        <v>2.0001775643410632E-6</v>
      </c>
      <c r="X4" s="83">
        <f t="shared" si="0"/>
        <v>2.7650224333261795</v>
      </c>
      <c r="Y4" s="83">
        <f t="shared" si="1"/>
        <v>2.7640050625849866</v>
      </c>
      <c r="Z4" t="str">
        <f t="shared" ref="Z4:Z17" si="9">A4&amp;B4</f>
        <v>0 ohm1000</v>
      </c>
      <c r="AA4" s="245">
        <v>1000</v>
      </c>
      <c r="AB4" s="376">
        <f t="shared" si="2"/>
        <v>3.8581727570197053</v>
      </c>
      <c r="AC4" s="337">
        <f t="shared" si="3"/>
        <v>5.5285009139076071E-3</v>
      </c>
      <c r="AD4" s="83">
        <f t="shared" si="4"/>
        <v>2.034300756374595</v>
      </c>
      <c r="AE4" s="245">
        <v>1000000</v>
      </c>
      <c r="AF4" s="245">
        <f t="shared" si="5"/>
        <v>7.8016060870601603E-3</v>
      </c>
      <c r="AG4" s="83">
        <f t="shared" si="6"/>
        <v>5.5295485112781073E-4</v>
      </c>
      <c r="AH4" s="65">
        <f t="shared" si="7"/>
        <v>2.034281092083273</v>
      </c>
      <c r="AI4" s="65">
        <f t="shared" si="8"/>
        <v>1000</v>
      </c>
      <c r="AJ4" s="83"/>
    </row>
    <row r="5" spans="1:43">
      <c r="A5" s="374" t="s">
        <v>629</v>
      </c>
      <c r="B5" s="374">
        <v>53</v>
      </c>
      <c r="C5" s="374" t="s">
        <v>85</v>
      </c>
      <c r="D5" s="374">
        <v>40</v>
      </c>
      <c r="E5" s="374">
        <v>-90</v>
      </c>
      <c r="F5" s="374">
        <v>53.101500000000001</v>
      </c>
      <c r="G5" s="374">
        <v>20</v>
      </c>
      <c r="H5" s="374">
        <v>0.25</v>
      </c>
      <c r="I5" s="374">
        <v>10</v>
      </c>
      <c r="J5" s="374">
        <v>0</v>
      </c>
      <c r="K5" s="374">
        <v>0</v>
      </c>
      <c r="L5" s="374">
        <v>10</v>
      </c>
      <c r="M5" s="374">
        <v>0</v>
      </c>
      <c r="N5" s="374">
        <v>0</v>
      </c>
      <c r="O5" s="374">
        <v>10</v>
      </c>
      <c r="P5" s="375">
        <v>-1.0002059085974569E-9</v>
      </c>
      <c r="Q5" s="374">
        <v>3.9489721471057287E-9</v>
      </c>
      <c r="R5" s="374">
        <v>2.08448168800897</v>
      </c>
      <c r="S5" s="374">
        <v>-9.0006363081410469E-6</v>
      </c>
      <c r="T5" s="374">
        <v>3.9484383254907421E-5</v>
      </c>
      <c r="U5" s="374">
        <v>2.0844816880304928</v>
      </c>
      <c r="V5" s="374">
        <v>3.7663719484889733E-9</v>
      </c>
      <c r="W5" s="374">
        <v>3.7663719482953028E-5</v>
      </c>
      <c r="X5" s="83">
        <f t="shared" si="0"/>
        <v>1.0484817222287386</v>
      </c>
      <c r="Y5" s="83">
        <f t="shared" si="1"/>
        <v>1.0483399886402203</v>
      </c>
      <c r="Z5" t="str">
        <f t="shared" si="9"/>
        <v>Short53</v>
      </c>
      <c r="AA5" s="245">
        <v>1000</v>
      </c>
      <c r="AB5" s="376">
        <f t="shared" si="2"/>
        <v>-9.0006363081410468E-3</v>
      </c>
      <c r="AC5" s="337">
        <f t="shared" si="3"/>
        <v>3.9484383254907419E-2</v>
      </c>
      <c r="AD5" s="83">
        <f t="shared" si="4"/>
        <v>2.0844816880304928</v>
      </c>
      <c r="AE5" s="245">
        <v>1000000</v>
      </c>
      <c r="AF5" s="245">
        <f t="shared" si="5"/>
        <v>-1.0002059085974569E-3</v>
      </c>
      <c r="AG5" s="83">
        <f t="shared" si="6"/>
        <v>3.9489721471057289E-3</v>
      </c>
      <c r="AH5" s="65">
        <f t="shared" si="7"/>
        <v>2.08448168800897</v>
      </c>
      <c r="AI5" s="65">
        <f t="shared" si="8"/>
        <v>53</v>
      </c>
      <c r="AJ5" s="83"/>
      <c r="AK5" s="83"/>
      <c r="AL5" s="245"/>
      <c r="AN5" s="83"/>
      <c r="AQ5" s="83"/>
    </row>
    <row r="6" spans="1:43">
      <c r="A6" s="374" t="s">
        <v>629</v>
      </c>
      <c r="B6" s="374">
        <v>400</v>
      </c>
      <c r="C6" s="374" t="s">
        <v>85</v>
      </c>
      <c r="D6" s="374">
        <v>-13</v>
      </c>
      <c r="E6" s="374">
        <v>-37</v>
      </c>
      <c r="F6" s="374">
        <v>400.04899999999998</v>
      </c>
      <c r="G6" s="374">
        <v>20</v>
      </c>
      <c r="H6" s="374">
        <v>0.25</v>
      </c>
      <c r="I6" s="374">
        <v>10</v>
      </c>
      <c r="J6" s="374">
        <v>0</v>
      </c>
      <c r="K6" s="374">
        <v>0</v>
      </c>
      <c r="L6" s="374">
        <v>10</v>
      </c>
      <c r="M6" s="374">
        <v>0</v>
      </c>
      <c r="N6" s="374">
        <v>0</v>
      </c>
      <c r="O6" s="374">
        <v>10</v>
      </c>
      <c r="P6" s="375">
        <v>-1.000205908597452E-10</v>
      </c>
      <c r="Q6" s="374">
        <v>9.6677302538858453E-10</v>
      </c>
      <c r="R6" s="374">
        <v>2.0640170643821949</v>
      </c>
      <c r="S6" s="374">
        <v>-1.200084841085473E-6</v>
      </c>
      <c r="T6" s="374">
        <v>9.666423371423489E-6</v>
      </c>
      <c r="U6" s="374">
        <v>2.0640170643854971</v>
      </c>
      <c r="V6" s="374">
        <v>4.9993875784731673E-10</v>
      </c>
      <c r="W6" s="374">
        <v>4.9993875769813586E-6</v>
      </c>
      <c r="X6" s="83">
        <f t="shared" si="0"/>
        <v>1.9337829088334872</v>
      </c>
      <c r="Y6" s="83">
        <f t="shared" si="1"/>
        <v>1.9335215008995357</v>
      </c>
      <c r="Z6" t="str">
        <f t="shared" si="9"/>
        <v>Short400</v>
      </c>
      <c r="AA6" s="245">
        <v>1000</v>
      </c>
      <c r="AB6" s="376">
        <f t="shared" si="2"/>
        <v>-1.2000848410854729E-3</v>
      </c>
      <c r="AC6" s="337">
        <f t="shared" si="3"/>
        <v>9.6664233714234896E-3</v>
      </c>
      <c r="AD6" s="83">
        <f t="shared" si="4"/>
        <v>2.0640170643854971</v>
      </c>
      <c r="AE6" s="245">
        <v>1000000</v>
      </c>
      <c r="AF6" s="245">
        <f t="shared" si="5"/>
        <v>-1.000205908597452E-4</v>
      </c>
      <c r="AG6" s="83">
        <f t="shared" si="6"/>
        <v>9.6677302538858455E-4</v>
      </c>
      <c r="AH6" s="65">
        <f t="shared" si="7"/>
        <v>2.0640170643821949</v>
      </c>
      <c r="AI6" s="65">
        <f t="shared" si="8"/>
        <v>400</v>
      </c>
      <c r="AJ6" s="83"/>
      <c r="AL6" s="245"/>
    </row>
    <row r="7" spans="1:43">
      <c r="A7" s="374" t="s">
        <v>629</v>
      </c>
      <c r="B7" s="374">
        <v>1000</v>
      </c>
      <c r="C7" s="374" t="s">
        <v>85</v>
      </c>
      <c r="D7" s="374">
        <v>-14</v>
      </c>
      <c r="E7" s="374">
        <v>-15</v>
      </c>
      <c r="F7" s="374">
        <v>1000.331</v>
      </c>
      <c r="G7" s="374">
        <v>20</v>
      </c>
      <c r="H7" s="374">
        <v>0.25</v>
      </c>
      <c r="I7" s="374">
        <v>10</v>
      </c>
      <c r="J7" s="374">
        <v>0</v>
      </c>
      <c r="K7" s="374">
        <v>0</v>
      </c>
      <c r="L7" s="374">
        <v>10</v>
      </c>
      <c r="M7" s="374">
        <v>0</v>
      </c>
      <c r="N7" s="374">
        <v>0</v>
      </c>
      <c r="O7" s="374">
        <v>10</v>
      </c>
      <c r="P7" s="375">
        <v>-1.000205908597461E-10</v>
      </c>
      <c r="Q7" s="374">
        <v>5.5281145980807979E-10</v>
      </c>
      <c r="R7" s="374">
        <v>2.034368976757627</v>
      </c>
      <c r="S7" s="374">
        <v>-1.1000777709950169E-6</v>
      </c>
      <c r="T7" s="374">
        <v>5.527367308246569E-6</v>
      </c>
      <c r="U7" s="374">
        <v>2.0343689767633339</v>
      </c>
      <c r="V7" s="374">
        <v>1.9993382287169071E-10</v>
      </c>
      <c r="W7" s="374">
        <v>1.9993382240634371E-6</v>
      </c>
      <c r="X7" s="83">
        <f t="shared" si="0"/>
        <v>2.7649721886368943</v>
      </c>
      <c r="Y7" s="83">
        <f t="shared" si="1"/>
        <v>2.7645984264797363</v>
      </c>
      <c r="Z7" t="str">
        <f t="shared" si="9"/>
        <v>Short1000</v>
      </c>
      <c r="AA7" s="245">
        <v>1000</v>
      </c>
      <c r="AB7" s="376">
        <f t="shared" si="2"/>
        <v>-1.1000777709950168E-3</v>
      </c>
      <c r="AC7" s="337">
        <f t="shared" si="3"/>
        <v>5.5273673082465689E-3</v>
      </c>
      <c r="AD7" s="83">
        <f t="shared" si="4"/>
        <v>2.0343689767633339</v>
      </c>
      <c r="AE7" s="245">
        <v>1000000</v>
      </c>
      <c r="AF7" s="245">
        <f t="shared" si="5"/>
        <v>-1.0002059085974611E-4</v>
      </c>
      <c r="AG7" s="83">
        <f t="shared" si="6"/>
        <v>5.528114598080798E-4</v>
      </c>
      <c r="AH7" s="65">
        <f t="shared" si="7"/>
        <v>2.034368976757627</v>
      </c>
      <c r="AI7" s="65">
        <f t="shared" si="8"/>
        <v>1000</v>
      </c>
      <c r="AJ7" s="83"/>
      <c r="AK7" s="83"/>
      <c r="AL7" s="245"/>
      <c r="AN7" s="83"/>
      <c r="AQ7" s="83"/>
    </row>
    <row r="8" spans="1:43">
      <c r="A8" s="374" t="s">
        <v>512</v>
      </c>
      <c r="B8" s="374">
        <v>53</v>
      </c>
      <c r="C8" s="374" t="s">
        <v>85</v>
      </c>
      <c r="D8" s="374">
        <v>50</v>
      </c>
      <c r="E8" s="374">
        <v>0</v>
      </c>
      <c r="F8" s="374">
        <v>53.098700000000001</v>
      </c>
      <c r="G8" s="374">
        <v>20</v>
      </c>
      <c r="H8" s="374">
        <v>0.25</v>
      </c>
      <c r="I8" s="374">
        <v>10</v>
      </c>
      <c r="J8" s="374">
        <v>0</v>
      </c>
      <c r="K8" s="374">
        <v>0</v>
      </c>
      <c r="L8" s="374">
        <v>10</v>
      </c>
      <c r="M8" s="374">
        <v>0</v>
      </c>
      <c r="N8" s="374">
        <v>0</v>
      </c>
      <c r="O8" s="374">
        <v>10</v>
      </c>
      <c r="P8" s="375">
        <v>0</v>
      </c>
      <c r="Q8" s="374">
        <v>0</v>
      </c>
      <c r="R8" s="374">
        <v>0</v>
      </c>
      <c r="S8" s="374">
        <v>0</v>
      </c>
      <c r="T8" s="374">
        <v>0</v>
      </c>
      <c r="U8" s="374">
        <v>0</v>
      </c>
      <c r="V8" s="374">
        <v>3.7665705569920307E-9</v>
      </c>
      <c r="W8" s="374">
        <v>3.7665705566733077E-5</v>
      </c>
      <c r="X8" s="83">
        <f t="shared" si="0"/>
        <v>0</v>
      </c>
      <c r="Y8" s="83">
        <f t="shared" si="1"/>
        <v>0</v>
      </c>
      <c r="Z8" t="str">
        <f t="shared" si="9"/>
        <v>coax zero53</v>
      </c>
      <c r="AA8" s="245">
        <v>1000</v>
      </c>
      <c r="AB8" s="376">
        <f t="shared" si="2"/>
        <v>0</v>
      </c>
      <c r="AC8" s="337">
        <f t="shared" si="3"/>
        <v>0</v>
      </c>
      <c r="AD8" s="83">
        <f t="shared" si="4"/>
        <v>0</v>
      </c>
      <c r="AE8" s="245">
        <v>1000000</v>
      </c>
      <c r="AF8" s="245">
        <f t="shared" si="5"/>
        <v>0</v>
      </c>
      <c r="AG8" s="83">
        <f t="shared" si="6"/>
        <v>0</v>
      </c>
      <c r="AH8" s="65">
        <f t="shared" si="7"/>
        <v>0</v>
      </c>
      <c r="AI8" s="65">
        <f t="shared" si="8"/>
        <v>53</v>
      </c>
      <c r="AJ8" s="83"/>
      <c r="AL8" s="245"/>
    </row>
    <row r="9" spans="1:43">
      <c r="A9" s="374" t="s">
        <v>512</v>
      </c>
      <c r="B9" s="374">
        <v>400</v>
      </c>
      <c r="C9" s="374" t="s">
        <v>85</v>
      </c>
      <c r="D9" s="374">
        <v>-12</v>
      </c>
      <c r="E9" s="374">
        <v>-25</v>
      </c>
      <c r="F9" s="374">
        <v>400.01</v>
      </c>
      <c r="G9" s="374">
        <v>20</v>
      </c>
      <c r="H9" s="374">
        <v>0.25</v>
      </c>
      <c r="I9" s="374">
        <v>10</v>
      </c>
      <c r="J9" s="374">
        <v>0</v>
      </c>
      <c r="K9" s="374">
        <v>0</v>
      </c>
      <c r="L9" s="374">
        <v>10</v>
      </c>
      <c r="M9" s="374">
        <v>0</v>
      </c>
      <c r="N9" s="374">
        <v>0</v>
      </c>
      <c r="O9" s="374">
        <v>10</v>
      </c>
      <c r="P9" s="375">
        <v>0</v>
      </c>
      <c r="Q9" s="374">
        <v>0</v>
      </c>
      <c r="R9" s="374">
        <v>0</v>
      </c>
      <c r="S9" s="374">
        <v>0</v>
      </c>
      <c r="T9" s="374">
        <v>0</v>
      </c>
      <c r="U9" s="374">
        <v>0</v>
      </c>
      <c r="V9" s="374">
        <v>4.9998750060110644E-10</v>
      </c>
      <c r="W9" s="374">
        <v>4.9998750046880717E-6</v>
      </c>
      <c r="X9" s="83">
        <f t="shared" si="0"/>
        <v>0</v>
      </c>
      <c r="Y9" s="83">
        <f t="shared" si="1"/>
        <v>0</v>
      </c>
      <c r="Z9" t="str">
        <f t="shared" si="9"/>
        <v>coax zero400</v>
      </c>
      <c r="AA9" s="245">
        <v>1000</v>
      </c>
      <c r="AB9" s="376">
        <f t="shared" si="2"/>
        <v>0</v>
      </c>
      <c r="AC9" s="337">
        <f t="shared" si="3"/>
        <v>0</v>
      </c>
      <c r="AD9" s="83">
        <f t="shared" si="4"/>
        <v>0</v>
      </c>
      <c r="AE9" s="245">
        <v>1000000</v>
      </c>
      <c r="AF9" s="245">
        <f t="shared" si="5"/>
        <v>0</v>
      </c>
      <c r="AG9" s="83">
        <f t="shared" si="6"/>
        <v>0</v>
      </c>
      <c r="AH9" s="65">
        <f t="shared" si="7"/>
        <v>0</v>
      </c>
      <c r="AI9" s="65">
        <f t="shared" si="8"/>
        <v>400</v>
      </c>
      <c r="AJ9" s="83"/>
      <c r="AK9" s="83"/>
      <c r="AL9" s="245"/>
      <c r="AN9" s="83"/>
      <c r="AQ9" s="83"/>
    </row>
    <row r="10" spans="1:43">
      <c r="A10" s="374" t="s">
        <v>512</v>
      </c>
      <c r="B10" s="374">
        <v>1000</v>
      </c>
      <c r="C10" s="374" t="s">
        <v>85</v>
      </c>
      <c r="D10" s="374">
        <v>-13</v>
      </c>
      <c r="E10" s="374">
        <v>-4</v>
      </c>
      <c r="F10" s="374">
        <v>1000.343</v>
      </c>
      <c r="G10" s="374">
        <v>20</v>
      </c>
      <c r="H10" s="374">
        <v>0.25</v>
      </c>
      <c r="I10" s="374">
        <v>10</v>
      </c>
      <c r="J10" s="374">
        <v>0</v>
      </c>
      <c r="K10" s="374">
        <v>0</v>
      </c>
      <c r="L10" s="374">
        <v>10</v>
      </c>
      <c r="M10" s="374">
        <v>0</v>
      </c>
      <c r="N10" s="374">
        <v>0</v>
      </c>
      <c r="O10" s="374">
        <v>10</v>
      </c>
      <c r="P10" s="375">
        <v>0</v>
      </c>
      <c r="Q10" s="374">
        <v>0</v>
      </c>
      <c r="R10" s="374">
        <v>0</v>
      </c>
      <c r="S10" s="374">
        <v>0</v>
      </c>
      <c r="T10" s="374">
        <v>0</v>
      </c>
      <c r="U10" s="374">
        <v>0</v>
      </c>
      <c r="V10" s="374">
        <v>1.9993142435085749E-10</v>
      </c>
      <c r="W10" s="374">
        <v>1.9993142394533538E-6</v>
      </c>
      <c r="X10" s="83">
        <f t="shared" si="0"/>
        <v>0</v>
      </c>
      <c r="Y10" s="83">
        <f t="shared" si="1"/>
        <v>0</v>
      </c>
      <c r="Z10" t="str">
        <f t="shared" si="9"/>
        <v>coax zero1000</v>
      </c>
      <c r="AA10" s="245">
        <v>1000</v>
      </c>
      <c r="AB10" s="376">
        <f t="shared" si="2"/>
        <v>0</v>
      </c>
      <c r="AC10" s="337">
        <f t="shared" si="3"/>
        <v>0</v>
      </c>
      <c r="AD10" s="83">
        <f t="shared" si="4"/>
        <v>0</v>
      </c>
      <c r="AE10" s="245">
        <v>1000000</v>
      </c>
      <c r="AF10" s="245">
        <f t="shared" si="5"/>
        <v>0</v>
      </c>
      <c r="AG10" s="83">
        <f t="shared" si="6"/>
        <v>0</v>
      </c>
      <c r="AH10" s="65">
        <f t="shared" si="7"/>
        <v>0</v>
      </c>
      <c r="AI10" s="65">
        <f t="shared" si="8"/>
        <v>1000</v>
      </c>
      <c r="AJ10" s="83"/>
      <c r="AK10" s="65"/>
      <c r="AL10" s="245"/>
    </row>
    <row r="11" spans="1:43">
      <c r="A11" s="374" t="s">
        <v>630</v>
      </c>
      <c r="B11" s="374">
        <v>53</v>
      </c>
      <c r="C11" s="374" t="s">
        <v>85</v>
      </c>
      <c r="D11" s="374">
        <v>90</v>
      </c>
      <c r="E11" s="374">
        <v>1057410</v>
      </c>
      <c r="F11" s="374">
        <v>53.100299999999997</v>
      </c>
      <c r="G11" s="374">
        <v>20</v>
      </c>
      <c r="H11" s="374">
        <v>0.25</v>
      </c>
      <c r="I11" s="374">
        <v>10</v>
      </c>
      <c r="J11" s="374">
        <v>0</v>
      </c>
      <c r="K11" s="374">
        <v>0</v>
      </c>
      <c r="L11" s="374">
        <v>10</v>
      </c>
      <c r="M11" s="374">
        <v>0</v>
      </c>
      <c r="N11" s="374">
        <v>5.0000000000000002E-5</v>
      </c>
      <c r="O11" s="374">
        <v>10</v>
      </c>
      <c r="P11" s="375">
        <v>4.0008236343898277E-9</v>
      </c>
      <c r="Q11" s="374">
        <v>3.9621824113848032E-9</v>
      </c>
      <c r="R11" s="374">
        <v>2.082182661507312</v>
      </c>
      <c r="S11" s="374">
        <v>0.10574847598434919</v>
      </c>
      <c r="T11" s="374">
        <v>3.9936101174720171E-5</v>
      </c>
      <c r="U11" s="374">
        <v>2.076873602788786</v>
      </c>
      <c r="V11" s="374">
        <v>3.7679412901440261E-9</v>
      </c>
      <c r="W11" s="374">
        <v>3.7693655949985958E-5</v>
      </c>
      <c r="X11" s="83">
        <f t="shared" si="0"/>
        <v>1.0515509946370083</v>
      </c>
      <c r="Y11" s="83">
        <f t="shared" si="1"/>
        <v>1.0594913167273987</v>
      </c>
      <c r="Z11" t="str">
        <f t="shared" si="9"/>
        <v>0.1 ohm53</v>
      </c>
      <c r="AA11" s="245">
        <v>1000</v>
      </c>
      <c r="AB11" s="376">
        <f t="shared" si="2"/>
        <v>105.7484759843492</v>
      </c>
      <c r="AC11" s="337">
        <f t="shared" si="3"/>
        <v>3.9936101174720171E-2</v>
      </c>
      <c r="AD11" s="83">
        <f t="shared" si="4"/>
        <v>2.076873602788786</v>
      </c>
      <c r="AE11" s="245">
        <v>1000000</v>
      </c>
      <c r="AF11" s="245">
        <f t="shared" si="5"/>
        <v>4.0008236343898277E-3</v>
      </c>
      <c r="AG11" s="83">
        <f t="shared" si="6"/>
        <v>3.9621824113848028E-3</v>
      </c>
      <c r="AH11" s="65">
        <f t="shared" si="7"/>
        <v>2.082182661507312</v>
      </c>
      <c r="AI11" s="65">
        <f t="shared" si="8"/>
        <v>53</v>
      </c>
      <c r="AJ11" s="83"/>
      <c r="AK11" s="65"/>
      <c r="AL11" s="245"/>
      <c r="AN11" s="83"/>
      <c r="AQ11" s="83"/>
    </row>
    <row r="12" spans="1:43">
      <c r="A12" s="374" t="s">
        <v>630</v>
      </c>
      <c r="B12" s="374">
        <v>400</v>
      </c>
      <c r="C12" s="374" t="s">
        <v>85</v>
      </c>
      <c r="D12" s="374">
        <v>64</v>
      </c>
      <c r="E12" s="374">
        <v>1057510</v>
      </c>
      <c r="F12" s="374">
        <v>400.06700000000001</v>
      </c>
      <c r="G12" s="374">
        <v>20</v>
      </c>
      <c r="H12" s="374">
        <v>0.25</v>
      </c>
      <c r="I12" s="374">
        <v>10</v>
      </c>
      <c r="J12" s="374">
        <v>0</v>
      </c>
      <c r="K12" s="374">
        <v>0</v>
      </c>
      <c r="L12" s="374">
        <v>10</v>
      </c>
      <c r="M12" s="374">
        <v>0</v>
      </c>
      <c r="N12" s="374">
        <v>5.0000000000000002E-5</v>
      </c>
      <c r="O12" s="374">
        <v>10</v>
      </c>
      <c r="P12" s="375">
        <v>7.6015649053406712E-9</v>
      </c>
      <c r="Q12" s="374">
        <v>1.024008058015246E-9</v>
      </c>
      <c r="R12" s="374">
        <v>2.042420762670174</v>
      </c>
      <c r="S12" s="374">
        <v>0.10576097686811051</v>
      </c>
      <c r="T12" s="374">
        <v>1.1543057244879219E-5</v>
      </c>
      <c r="U12" s="374">
        <v>2.0130531966621938</v>
      </c>
      <c r="V12" s="374">
        <v>5.1098056172523048E-10</v>
      </c>
      <c r="W12" s="374">
        <v>5.2138142631248964E-6</v>
      </c>
      <c r="X12" s="83">
        <f t="shared" si="0"/>
        <v>2.0040058951711859</v>
      </c>
      <c r="Y12" s="83">
        <f t="shared" si="1"/>
        <v>2.213937179641857</v>
      </c>
      <c r="Z12" t="str">
        <f t="shared" si="9"/>
        <v>0.1 ohm400</v>
      </c>
      <c r="AA12" s="245">
        <v>1000</v>
      </c>
      <c r="AB12" s="376">
        <f t="shared" si="2"/>
        <v>105.7609768681105</v>
      </c>
      <c r="AC12" s="337">
        <f t="shared" si="3"/>
        <v>1.154305724487922E-2</v>
      </c>
      <c r="AD12" s="83">
        <f t="shared" si="4"/>
        <v>2.0130531966621938</v>
      </c>
      <c r="AE12" s="245">
        <v>1000000</v>
      </c>
      <c r="AF12" s="245">
        <f t="shared" si="5"/>
        <v>7.6015649053406712E-3</v>
      </c>
      <c r="AG12" s="83">
        <f t="shared" si="6"/>
        <v>1.0240080580152459E-3</v>
      </c>
      <c r="AH12" s="65">
        <f t="shared" si="7"/>
        <v>2.042420762670174</v>
      </c>
      <c r="AI12" s="65">
        <f t="shared" si="8"/>
        <v>400</v>
      </c>
      <c r="AJ12" s="83"/>
      <c r="AK12" s="65"/>
      <c r="AL12" s="245"/>
    </row>
    <row r="13" spans="1:43">
      <c r="A13" s="374" t="s">
        <v>630</v>
      </c>
      <c r="B13" s="374">
        <v>1000</v>
      </c>
      <c r="C13" s="374" t="s">
        <v>85</v>
      </c>
      <c r="D13" s="374">
        <v>59</v>
      </c>
      <c r="E13" s="374">
        <v>1057595</v>
      </c>
      <c r="F13" s="374">
        <v>1000.25</v>
      </c>
      <c r="G13" s="374">
        <v>20</v>
      </c>
      <c r="H13" s="374">
        <v>0.25</v>
      </c>
      <c r="I13" s="374">
        <v>10</v>
      </c>
      <c r="J13" s="374">
        <v>0</v>
      </c>
      <c r="K13" s="374">
        <v>0</v>
      </c>
      <c r="L13" s="374">
        <v>10</v>
      </c>
      <c r="M13" s="374">
        <v>0</v>
      </c>
      <c r="N13" s="374">
        <v>5.0000000000000002E-5</v>
      </c>
      <c r="O13" s="374">
        <v>10</v>
      </c>
      <c r="P13" s="375">
        <v>7.201482541901687E-9</v>
      </c>
      <c r="Q13" s="374">
        <v>6.5656329226582743E-10</v>
      </c>
      <c r="R13" s="374">
        <v>2.0182114650357121</v>
      </c>
      <c r="S13" s="374">
        <v>0.1057673773205963</v>
      </c>
      <c r="T13" s="374">
        <v>8.5502744503667699E-6</v>
      </c>
      <c r="U13" s="374">
        <v>1.9970261903802351</v>
      </c>
      <c r="V13" s="374">
        <v>2.2620050355519561E-10</v>
      </c>
      <c r="W13" s="374">
        <v>2.488088660229351E-6</v>
      </c>
      <c r="X13" s="83">
        <f t="shared" si="0"/>
        <v>2.9025721956698396</v>
      </c>
      <c r="Y13" s="83">
        <f t="shared" si="1"/>
        <v>3.4364830269266244</v>
      </c>
      <c r="Z13" t="str">
        <f t="shared" si="9"/>
        <v>0.1 ohm1000</v>
      </c>
      <c r="AA13" s="245">
        <v>1000</v>
      </c>
      <c r="AB13" s="376">
        <f t="shared" si="2"/>
        <v>105.7673773205963</v>
      </c>
      <c r="AC13" s="337">
        <f t="shared" si="3"/>
        <v>8.55027445036677E-3</v>
      </c>
      <c r="AD13" s="83">
        <f t="shared" si="4"/>
        <v>1.9970261903802351</v>
      </c>
      <c r="AE13" s="245">
        <v>1000000</v>
      </c>
      <c r="AF13" s="245">
        <f t="shared" si="5"/>
        <v>7.2014825419016871E-3</v>
      </c>
      <c r="AG13" s="83">
        <f t="shared" si="6"/>
        <v>6.5656329226582741E-4</v>
      </c>
      <c r="AH13" s="65">
        <f t="shared" si="7"/>
        <v>2.0182114650357121</v>
      </c>
      <c r="AI13" s="65">
        <f t="shared" si="8"/>
        <v>1000</v>
      </c>
      <c r="AJ13" s="83"/>
      <c r="AK13" s="65"/>
      <c r="AL13" s="245"/>
      <c r="AN13" s="83"/>
      <c r="AQ13" s="83"/>
    </row>
    <row r="14" spans="1:43">
      <c r="A14" s="374" t="s">
        <v>631</v>
      </c>
      <c r="B14" s="374">
        <v>53</v>
      </c>
      <c r="C14" s="374" t="s">
        <v>85</v>
      </c>
      <c r="D14" s="374">
        <v>130</v>
      </c>
      <c r="E14" s="374">
        <v>9880970</v>
      </c>
      <c r="F14" s="374">
        <v>53.099899999999998</v>
      </c>
      <c r="G14" s="374">
        <v>20</v>
      </c>
      <c r="H14" s="374">
        <v>0.25</v>
      </c>
      <c r="I14" s="374">
        <v>10</v>
      </c>
      <c r="J14" s="374">
        <v>0</v>
      </c>
      <c r="K14" s="374">
        <v>0</v>
      </c>
      <c r="L14" s="374">
        <v>10</v>
      </c>
      <c r="M14" s="374">
        <v>-6.0000000000000002E-5</v>
      </c>
      <c r="N14" s="374">
        <v>3.0000000000000001E-5</v>
      </c>
      <c r="O14" s="374">
        <v>10</v>
      </c>
      <c r="P14" s="375">
        <v>8.0016472687796505E-9</v>
      </c>
      <c r="Q14" s="374">
        <v>5.1685054849873057E-9</v>
      </c>
      <c r="R14" s="374">
        <v>2.046015598179503</v>
      </c>
      <c r="S14" s="374">
        <v>0.98816685935169368</v>
      </c>
      <c r="T14" s="374">
        <v>8.8725559230234279E-5</v>
      </c>
      <c r="U14" s="374">
        <v>2.032673279756092</v>
      </c>
      <c r="V14" s="374">
        <v>3.8939550991537063E-9</v>
      </c>
      <c r="W14" s="374">
        <v>4.0125180485872727E-5</v>
      </c>
      <c r="X14" s="83">
        <f t="shared" si="0"/>
        <v>1.3273151213558174</v>
      </c>
      <c r="Y14" s="83">
        <f t="shared" si="1"/>
        <v>2.2112189442106751</v>
      </c>
      <c r="Z14" t="str">
        <f t="shared" si="9"/>
        <v>1 ohm53</v>
      </c>
      <c r="AA14" s="245">
        <v>1</v>
      </c>
      <c r="AB14" s="376">
        <f t="shared" si="2"/>
        <v>0.98816685935169368</v>
      </c>
      <c r="AC14" s="337">
        <f t="shared" si="3"/>
        <v>8.8725559230234279E-5</v>
      </c>
      <c r="AD14" s="83">
        <f t="shared" si="4"/>
        <v>2.032673279756092</v>
      </c>
      <c r="AE14" s="245">
        <v>1000000</v>
      </c>
      <c r="AF14" s="245">
        <f t="shared" si="5"/>
        <v>8.0016472687796502E-3</v>
      </c>
      <c r="AG14" s="83">
        <f t="shared" si="6"/>
        <v>5.1685054849873058E-3</v>
      </c>
      <c r="AH14" s="65">
        <f t="shared" si="7"/>
        <v>2.046015598179503</v>
      </c>
      <c r="AI14" s="65">
        <f t="shared" si="8"/>
        <v>53</v>
      </c>
      <c r="AJ14" s="83"/>
      <c r="AK14" s="65"/>
    </row>
    <row r="15" spans="1:43">
      <c r="A15" s="374" t="s">
        <v>631</v>
      </c>
      <c r="B15" s="374">
        <v>400</v>
      </c>
      <c r="C15" s="374" t="s">
        <v>85</v>
      </c>
      <c r="D15" s="374">
        <v>46</v>
      </c>
      <c r="E15" s="374">
        <v>9880940</v>
      </c>
      <c r="F15" s="374">
        <v>400.08600000000001</v>
      </c>
      <c r="G15" s="374">
        <v>20</v>
      </c>
      <c r="H15" s="374">
        <v>0.25</v>
      </c>
      <c r="I15" s="374">
        <v>10</v>
      </c>
      <c r="J15" s="374">
        <v>0</v>
      </c>
      <c r="K15" s="374">
        <v>0</v>
      </c>
      <c r="L15" s="374">
        <v>10</v>
      </c>
      <c r="M15" s="374">
        <v>-6.0000000000000002E-5</v>
      </c>
      <c r="N15" s="374">
        <v>3.0000000000000001E-5</v>
      </c>
      <c r="O15" s="374">
        <v>10</v>
      </c>
      <c r="P15" s="375">
        <v>5.8011942698652487E-9</v>
      </c>
      <c r="Q15" s="374">
        <v>3.7955292984738751E-9</v>
      </c>
      <c r="R15" s="374">
        <v>2.187105446339344</v>
      </c>
      <c r="S15" s="374">
        <v>0.98816635931634345</v>
      </c>
      <c r="T15" s="374">
        <v>8.1675210969494078E-5</v>
      </c>
      <c r="U15" s="374">
        <v>2.0623411550593911</v>
      </c>
      <c r="V15" s="374">
        <v>1.107411554625258E-9</v>
      </c>
      <c r="W15" s="374">
        <v>1.4709756793688331E-5</v>
      </c>
      <c r="X15" s="83">
        <f t="shared" si="0"/>
        <v>3.4273882032576961</v>
      </c>
      <c r="Y15" s="83">
        <f t="shared" si="1"/>
        <v>5.5524514861142586</v>
      </c>
      <c r="Z15" t="str">
        <f t="shared" si="9"/>
        <v>1 ohm400</v>
      </c>
      <c r="AA15" s="245">
        <v>1</v>
      </c>
      <c r="AB15" s="376">
        <f t="shared" si="2"/>
        <v>0.98816635931634345</v>
      </c>
      <c r="AC15" s="337">
        <f t="shared" si="3"/>
        <v>8.1675210969494078E-5</v>
      </c>
      <c r="AD15" s="83">
        <f t="shared" si="4"/>
        <v>2.0623411550593911</v>
      </c>
      <c r="AE15" s="245">
        <v>1000000</v>
      </c>
      <c r="AF15" s="245">
        <f t="shared" si="5"/>
        <v>5.801194269865249E-3</v>
      </c>
      <c r="AG15" s="83">
        <f t="shared" si="6"/>
        <v>3.7955292984738751E-3</v>
      </c>
      <c r="AH15" s="65">
        <f t="shared" si="7"/>
        <v>2.187105446339344</v>
      </c>
      <c r="AI15" s="65">
        <f t="shared" si="8"/>
        <v>400</v>
      </c>
      <c r="AJ15" s="83"/>
      <c r="AK15" s="65"/>
    </row>
    <row r="16" spans="1:43">
      <c r="A16" s="374" t="s">
        <v>631</v>
      </c>
      <c r="B16" s="374">
        <v>1000</v>
      </c>
      <c r="C16" s="374" t="s">
        <v>85</v>
      </c>
      <c r="D16" s="374">
        <v>41</v>
      </c>
      <c r="E16" s="374">
        <v>9880909</v>
      </c>
      <c r="F16" s="374">
        <v>1000.1950000000001</v>
      </c>
      <c r="G16" s="374">
        <v>20</v>
      </c>
      <c r="H16" s="374">
        <v>0.25</v>
      </c>
      <c r="I16" s="374">
        <v>10</v>
      </c>
      <c r="J16" s="374">
        <v>0</v>
      </c>
      <c r="K16" s="374">
        <v>0</v>
      </c>
      <c r="L16" s="374">
        <v>10</v>
      </c>
      <c r="M16" s="374">
        <v>-6.0000000000000002E-5</v>
      </c>
      <c r="N16" s="374">
        <v>3.0000000000000001E-5</v>
      </c>
      <c r="O16" s="374">
        <v>10</v>
      </c>
      <c r="P16" s="375">
        <v>5.4011119064262644E-9</v>
      </c>
      <c r="Q16" s="374">
        <v>3.7463887079120644E-9</v>
      </c>
      <c r="R16" s="374">
        <v>2.2129305363568279</v>
      </c>
      <c r="S16" s="374">
        <v>0.9881611589486986</v>
      </c>
      <c r="T16" s="374">
        <v>8.1374241599982205E-5</v>
      </c>
      <c r="U16" s="374">
        <v>2.0643458212524011</v>
      </c>
      <c r="V16" s="374">
        <v>1.0081895126056949E-9</v>
      </c>
      <c r="W16" s="374">
        <v>1.397801598856237E-5</v>
      </c>
      <c r="X16" s="83">
        <f t="shared" si="0"/>
        <v>3.7159568325893555</v>
      </c>
      <c r="Y16" s="83">
        <f t="shared" si="1"/>
        <v>5.8215873888373979</v>
      </c>
      <c r="Z16" t="str">
        <f t="shared" si="9"/>
        <v>1 ohm1000</v>
      </c>
      <c r="AA16" s="245">
        <v>1</v>
      </c>
      <c r="AB16" s="376">
        <f t="shared" si="2"/>
        <v>0.9881611589486986</v>
      </c>
      <c r="AC16" s="337">
        <f t="shared" si="3"/>
        <v>8.1374241599982205E-5</v>
      </c>
      <c r="AD16" s="83">
        <f t="shared" si="4"/>
        <v>2.0643458212524011</v>
      </c>
      <c r="AE16" s="245">
        <v>1000000</v>
      </c>
      <c r="AF16" s="245">
        <f t="shared" si="5"/>
        <v>5.401111906426264E-3</v>
      </c>
      <c r="AG16" s="83">
        <f t="shared" si="6"/>
        <v>3.7463887079120643E-3</v>
      </c>
      <c r="AH16" s="65">
        <f t="shared" si="7"/>
        <v>2.2129305363568279</v>
      </c>
      <c r="AI16" s="65">
        <f t="shared" si="8"/>
        <v>1000</v>
      </c>
      <c r="AJ16" s="83"/>
      <c r="AK16" s="65"/>
    </row>
    <row r="17" spans="1:37">
      <c r="A17" s="374" t="s">
        <v>512</v>
      </c>
      <c r="B17" s="374">
        <v>53</v>
      </c>
      <c r="C17" s="374" t="s">
        <v>86</v>
      </c>
      <c r="D17" s="374">
        <v>140</v>
      </c>
      <c r="E17" s="374">
        <v>-20</v>
      </c>
      <c r="F17" s="374">
        <v>53.103700000000003</v>
      </c>
      <c r="G17" s="374">
        <v>20</v>
      </c>
      <c r="H17" s="374">
        <v>0.25</v>
      </c>
      <c r="I17" s="374">
        <v>10</v>
      </c>
      <c r="J17" s="374">
        <v>0</v>
      </c>
      <c r="K17" s="374">
        <v>0</v>
      </c>
      <c r="L17" s="374">
        <v>10</v>
      </c>
      <c r="M17" s="374">
        <v>0</v>
      </c>
      <c r="N17" s="374">
        <v>0</v>
      </c>
      <c r="O17" s="374">
        <v>10</v>
      </c>
      <c r="P17" s="375">
        <v>0</v>
      </c>
      <c r="Q17" s="374">
        <v>0</v>
      </c>
      <c r="R17" s="374">
        <v>0</v>
      </c>
      <c r="S17" s="374">
        <v>0</v>
      </c>
      <c r="T17" s="374">
        <v>0</v>
      </c>
      <c r="U17" s="374">
        <v>0</v>
      </c>
      <c r="V17" s="374">
        <v>3.76621591849481E-8</v>
      </c>
      <c r="W17" s="374">
        <v>3.7662159159962931E-4</v>
      </c>
      <c r="X17" s="83">
        <f t="shared" si="0"/>
        <v>0</v>
      </c>
      <c r="Y17" s="83">
        <f t="shared" si="1"/>
        <v>0</v>
      </c>
      <c r="Z17" t="str">
        <f t="shared" si="9"/>
        <v>coax zero53</v>
      </c>
      <c r="AA17" s="245">
        <v>1</v>
      </c>
      <c r="AB17" s="376">
        <f t="shared" si="2"/>
        <v>0</v>
      </c>
      <c r="AC17" s="337">
        <f t="shared" si="3"/>
        <v>0</v>
      </c>
      <c r="AD17" s="83">
        <f t="shared" si="4"/>
        <v>0</v>
      </c>
      <c r="AE17" s="245">
        <v>1000000</v>
      </c>
      <c r="AF17" s="245">
        <f t="shared" si="5"/>
        <v>0</v>
      </c>
      <c r="AG17" s="83">
        <f t="shared" si="6"/>
        <v>0</v>
      </c>
      <c r="AH17" s="65">
        <f t="shared" si="7"/>
        <v>0</v>
      </c>
      <c r="AI17" s="65">
        <f t="shared" si="8"/>
        <v>53</v>
      </c>
      <c r="AJ17" s="83"/>
      <c r="AK17" s="65"/>
    </row>
    <row r="18" spans="1:37">
      <c r="A18" s="374" t="s">
        <v>512</v>
      </c>
      <c r="B18" s="374">
        <v>400</v>
      </c>
      <c r="C18" s="374" t="s">
        <v>86</v>
      </c>
      <c r="D18" s="374">
        <v>1</v>
      </c>
      <c r="E18" s="374">
        <v>3</v>
      </c>
      <c r="F18" s="374">
        <v>400.255</v>
      </c>
      <c r="G18" s="374">
        <v>20</v>
      </c>
      <c r="H18" s="374">
        <v>0.25</v>
      </c>
      <c r="I18" s="374">
        <v>10</v>
      </c>
      <c r="J18" s="374">
        <v>0</v>
      </c>
      <c r="K18" s="374">
        <v>0</v>
      </c>
      <c r="L18" s="374">
        <v>10</v>
      </c>
      <c r="M18" s="374">
        <v>0</v>
      </c>
      <c r="N18" s="374">
        <v>0</v>
      </c>
      <c r="O18" s="374">
        <v>10</v>
      </c>
      <c r="P18" s="374">
        <v>0</v>
      </c>
      <c r="Q18" s="374">
        <v>0</v>
      </c>
      <c r="R18" s="374">
        <v>0</v>
      </c>
      <c r="S18" s="374">
        <v>0</v>
      </c>
      <c r="T18" s="374">
        <v>0</v>
      </c>
      <c r="U18" s="374">
        <v>0</v>
      </c>
      <c r="V18" s="374">
        <v>4.9968145307571771E-9</v>
      </c>
      <c r="W18" s="374">
        <v>4.9968145307484307E-5</v>
      </c>
      <c r="X18" s="83">
        <f t="shared" si="0"/>
        <v>0</v>
      </c>
      <c r="Y18" s="83">
        <f t="shared" si="1"/>
        <v>0</v>
      </c>
      <c r="Z18" t="str">
        <f t="shared" ref="Z18:Z19" si="10">A18&amp;B18</f>
        <v>coax zero400</v>
      </c>
      <c r="AA18" s="245">
        <v>1</v>
      </c>
      <c r="AB18" s="376">
        <f t="shared" si="2"/>
        <v>0</v>
      </c>
      <c r="AC18" s="337">
        <f t="shared" si="3"/>
        <v>0</v>
      </c>
      <c r="AD18" s="83">
        <f t="shared" si="4"/>
        <v>0</v>
      </c>
      <c r="AE18" s="245">
        <v>1000000</v>
      </c>
      <c r="AF18" s="245">
        <f t="shared" si="5"/>
        <v>0</v>
      </c>
      <c r="AG18" s="83">
        <f t="shared" si="6"/>
        <v>0</v>
      </c>
      <c r="AH18" s="65">
        <f t="shared" si="7"/>
        <v>0</v>
      </c>
      <c r="AI18" s="65">
        <f t="shared" si="8"/>
        <v>400</v>
      </c>
      <c r="AJ18" s="83"/>
      <c r="AK18" s="65"/>
    </row>
    <row r="19" spans="1:37">
      <c r="A19" s="374" t="s">
        <v>512</v>
      </c>
      <c r="B19" s="374">
        <v>1000</v>
      </c>
      <c r="C19" s="374" t="s">
        <v>86</v>
      </c>
      <c r="D19" s="374">
        <v>-2</v>
      </c>
      <c r="E19" s="374">
        <v>-13</v>
      </c>
      <c r="F19" s="374">
        <v>1000.271</v>
      </c>
      <c r="G19" s="374">
        <v>20</v>
      </c>
      <c r="H19" s="374">
        <v>0.25</v>
      </c>
      <c r="I19" s="374">
        <v>10</v>
      </c>
      <c r="J19" s="374">
        <v>0</v>
      </c>
      <c r="K19" s="374">
        <v>0</v>
      </c>
      <c r="L19" s="374">
        <v>10</v>
      </c>
      <c r="M19" s="374">
        <v>0</v>
      </c>
      <c r="N19" s="374">
        <v>0</v>
      </c>
      <c r="O19" s="374">
        <v>10</v>
      </c>
      <c r="P19" s="374">
        <v>0</v>
      </c>
      <c r="Q19" s="374">
        <v>0</v>
      </c>
      <c r="R19" s="374">
        <v>0</v>
      </c>
      <c r="S19" s="374">
        <v>0</v>
      </c>
      <c r="T19" s="374">
        <v>0</v>
      </c>
      <c r="U19" s="374">
        <v>0</v>
      </c>
      <c r="V19" s="374">
        <v>1.9994581470806069E-9</v>
      </c>
      <c r="W19" s="374">
        <v>1.9994581470251179E-5</v>
      </c>
      <c r="X19" s="83">
        <f t="shared" ref="X19" si="11">Q19/V19</f>
        <v>0</v>
      </c>
      <c r="Y19" s="83">
        <f t="shared" ref="Y19" si="12">T19/W19</f>
        <v>0</v>
      </c>
      <c r="Z19" t="str">
        <f t="shared" si="10"/>
        <v>coax zero1000</v>
      </c>
      <c r="AA19" s="245">
        <v>1</v>
      </c>
      <c r="AB19" s="376">
        <f t="shared" si="2"/>
        <v>0</v>
      </c>
      <c r="AC19" s="337">
        <f t="shared" si="3"/>
        <v>0</v>
      </c>
      <c r="AD19" s="83">
        <f t="shared" si="4"/>
        <v>0</v>
      </c>
      <c r="AE19" s="245">
        <v>1000000</v>
      </c>
      <c r="AF19" s="245">
        <f t="shared" si="5"/>
        <v>0</v>
      </c>
      <c r="AG19" s="83">
        <f t="shared" si="6"/>
        <v>0</v>
      </c>
      <c r="AH19" s="65">
        <f t="shared" si="7"/>
        <v>0</v>
      </c>
      <c r="AI19" s="65">
        <f t="shared" si="8"/>
        <v>1000</v>
      </c>
      <c r="AJ19" s="83"/>
      <c r="AK19" s="65"/>
    </row>
    <row r="20" spans="1:37">
      <c r="A20" s="374" t="s">
        <v>632</v>
      </c>
      <c r="B20" s="374">
        <v>53</v>
      </c>
      <c r="C20" s="374" t="s">
        <v>86</v>
      </c>
      <c r="D20" s="374">
        <v>180</v>
      </c>
      <c r="E20" s="374">
        <v>9912310</v>
      </c>
      <c r="F20" s="374">
        <v>53.099800000000002</v>
      </c>
      <c r="G20" s="374">
        <v>20</v>
      </c>
      <c r="H20" s="374">
        <v>0.25</v>
      </c>
      <c r="I20" s="374">
        <v>10</v>
      </c>
      <c r="J20" s="374">
        <v>0</v>
      </c>
      <c r="K20" s="374">
        <v>0</v>
      </c>
      <c r="L20" s="374">
        <v>10</v>
      </c>
      <c r="M20" s="374">
        <v>-6.0000000000000002E-5</v>
      </c>
      <c r="N20" s="374">
        <v>3.0000000000000001E-5</v>
      </c>
      <c r="O20" s="374">
        <v>10</v>
      </c>
      <c r="P20" s="374">
        <v>4.0008236343898241E-8</v>
      </c>
      <c r="Q20" s="374">
        <v>5.175924773572173E-8</v>
      </c>
      <c r="R20" s="374">
        <v>2.0461461644718208</v>
      </c>
      <c r="S20" s="374">
        <v>9.913030810697304</v>
      </c>
      <c r="T20" s="374">
        <v>8.8958958103422517E-4</v>
      </c>
      <c r="U20" s="374">
        <v>2.0327975839106638</v>
      </c>
      <c r="V20" s="374">
        <v>3.894758512258944E-8</v>
      </c>
      <c r="W20" s="374">
        <v>4.0140396805991309E-4</v>
      </c>
      <c r="X20" s="83">
        <f t="shared" ref="X20:X56" si="13">Q20/V20</f>
        <v>1.3289462638776435</v>
      </c>
      <c r="Y20" s="83">
        <f t="shared" ref="Y20:Y56" si="14">T20/W20</f>
        <v>2.2161952841020396</v>
      </c>
      <c r="Z20" t="str">
        <f t="shared" ref="Z20:Z56" si="15">A20&amp;B20</f>
        <v>10 ohm53</v>
      </c>
      <c r="AA20" s="245">
        <v>1</v>
      </c>
      <c r="AB20" s="376">
        <f t="shared" si="2"/>
        <v>9.913030810697304</v>
      </c>
      <c r="AC20" s="337">
        <f t="shared" si="3"/>
        <v>8.8958958103422517E-4</v>
      </c>
      <c r="AD20" s="83">
        <f t="shared" si="4"/>
        <v>2.0327975839106638</v>
      </c>
      <c r="AE20" s="245">
        <v>1000000</v>
      </c>
      <c r="AF20" s="245">
        <f t="shared" si="5"/>
        <v>4.0008236343898239E-2</v>
      </c>
      <c r="AG20" s="83">
        <f t="shared" si="6"/>
        <v>5.1759247735721728E-2</v>
      </c>
      <c r="AH20" s="65">
        <f t="shared" si="7"/>
        <v>2.0461461644718208</v>
      </c>
      <c r="AI20" s="65">
        <f t="shared" si="8"/>
        <v>53</v>
      </c>
    </row>
    <row r="21" spans="1:37">
      <c r="A21" s="374" t="s">
        <v>632</v>
      </c>
      <c r="B21" s="374">
        <v>400</v>
      </c>
      <c r="C21" s="374" t="s">
        <v>86</v>
      </c>
      <c r="D21" s="374">
        <v>6</v>
      </c>
      <c r="E21" s="374">
        <v>9912281</v>
      </c>
      <c r="F21" s="374">
        <v>400.29599999999999</v>
      </c>
      <c r="G21" s="374">
        <v>20</v>
      </c>
      <c r="H21" s="374">
        <v>0.25</v>
      </c>
      <c r="I21" s="374">
        <v>10</v>
      </c>
      <c r="J21" s="374">
        <v>0</v>
      </c>
      <c r="K21" s="374">
        <v>0</v>
      </c>
      <c r="L21" s="374">
        <v>10</v>
      </c>
      <c r="M21" s="374">
        <v>-6.0000000000000002E-5</v>
      </c>
      <c r="N21" s="374">
        <v>3.0000000000000001E-5</v>
      </c>
      <c r="O21" s="374">
        <v>10</v>
      </c>
      <c r="P21" s="374">
        <v>5.0010295429872826E-9</v>
      </c>
      <c r="Q21" s="374">
        <v>3.8070145745737388E-8</v>
      </c>
      <c r="R21" s="374">
        <v>2.1873546603388592</v>
      </c>
      <c r="S21" s="374">
        <v>9.912978807020858</v>
      </c>
      <c r="T21" s="374">
        <v>8.1931042799358107E-4</v>
      </c>
      <c r="U21" s="374">
        <v>2.0623621750471179</v>
      </c>
      <c r="V21" s="374">
        <v>1.1100912095278731E-8</v>
      </c>
      <c r="W21" s="374">
        <v>1.4750144722061489E-4</v>
      </c>
      <c r="X21" s="83">
        <f t="shared" si="13"/>
        <v>3.4294610586033554</v>
      </c>
      <c r="Y21" s="83">
        <f t="shared" si="14"/>
        <v>5.5545924696464519</v>
      </c>
      <c r="Z21" t="str">
        <f t="shared" si="15"/>
        <v>10 ohm400</v>
      </c>
      <c r="AA21" s="245">
        <v>1</v>
      </c>
      <c r="AB21" s="376">
        <f t="shared" si="2"/>
        <v>9.912978807020858</v>
      </c>
      <c r="AC21" s="337">
        <f t="shared" si="3"/>
        <v>8.1931042799358107E-4</v>
      </c>
      <c r="AD21" s="83">
        <f t="shared" si="4"/>
        <v>2.0623621750471179</v>
      </c>
      <c r="AE21" s="245">
        <v>1000000</v>
      </c>
      <c r="AF21" s="245">
        <f t="shared" si="5"/>
        <v>5.0010295429872825E-3</v>
      </c>
      <c r="AG21" s="83">
        <f t="shared" si="6"/>
        <v>3.8070145745737388E-2</v>
      </c>
      <c r="AH21" s="65">
        <f t="shared" si="7"/>
        <v>2.1873546603388592</v>
      </c>
      <c r="AI21" s="65">
        <f t="shared" si="8"/>
        <v>400</v>
      </c>
    </row>
    <row r="22" spans="1:37">
      <c r="A22" s="374" t="s">
        <v>632</v>
      </c>
      <c r="B22" s="374">
        <v>1000</v>
      </c>
      <c r="C22" s="374" t="s">
        <v>86</v>
      </c>
      <c r="D22" s="374">
        <v>2</v>
      </c>
      <c r="E22" s="374">
        <v>9912124</v>
      </c>
      <c r="F22" s="374">
        <v>1000.306</v>
      </c>
      <c r="G22" s="374">
        <v>20</v>
      </c>
      <c r="H22" s="374">
        <v>0.25</v>
      </c>
      <c r="I22" s="374">
        <v>10</v>
      </c>
      <c r="J22" s="374">
        <v>0</v>
      </c>
      <c r="K22" s="374">
        <v>0</v>
      </c>
      <c r="L22" s="374">
        <v>10</v>
      </c>
      <c r="M22" s="374">
        <v>-6.0000000000000002E-5</v>
      </c>
      <c r="N22" s="374">
        <v>3.0000000000000001E-5</v>
      </c>
      <c r="O22" s="374">
        <v>10</v>
      </c>
      <c r="P22" s="374">
        <v>4.0008236343898261E-9</v>
      </c>
      <c r="Q22" s="374">
        <v>3.758077017826225E-8</v>
      </c>
      <c r="R22" s="374">
        <v>2.213021896018815</v>
      </c>
      <c r="S22" s="374">
        <v>9.9128377970520294</v>
      </c>
      <c r="T22" s="374">
        <v>8.1630356162688377E-4</v>
      </c>
      <c r="U22" s="374">
        <v>2.0643523323224611</v>
      </c>
      <c r="V22" s="374">
        <v>1.011245017603477E-8</v>
      </c>
      <c r="W22" s="374">
        <v>1.4021240322584729E-4</v>
      </c>
      <c r="X22" s="83">
        <f t="shared" si="13"/>
        <v>3.7162873016990412</v>
      </c>
      <c r="Y22" s="83">
        <f t="shared" si="14"/>
        <v>5.8219069272496657</v>
      </c>
      <c r="Z22" t="str">
        <f t="shared" si="15"/>
        <v>10 ohm1000</v>
      </c>
      <c r="AA22" s="245">
        <v>1</v>
      </c>
      <c r="AB22" s="376">
        <f t="shared" si="2"/>
        <v>9.9128377970520294</v>
      </c>
      <c r="AC22" s="337">
        <f t="shared" si="3"/>
        <v>8.1630356162688377E-4</v>
      </c>
      <c r="AD22" s="83">
        <f t="shared" si="4"/>
        <v>2.0643523323224611</v>
      </c>
      <c r="AE22" s="245">
        <v>1000000</v>
      </c>
      <c r="AF22" s="245">
        <f t="shared" si="5"/>
        <v>4.000823634389826E-3</v>
      </c>
      <c r="AG22" s="83">
        <f t="shared" si="6"/>
        <v>3.7580770178262252E-2</v>
      </c>
      <c r="AH22" s="65">
        <f t="shared" si="7"/>
        <v>2.213021896018815</v>
      </c>
      <c r="AI22" s="65">
        <f t="shared" si="8"/>
        <v>1000</v>
      </c>
    </row>
    <row r="23" spans="1:37">
      <c r="A23" s="374" t="s">
        <v>512</v>
      </c>
      <c r="B23" s="374">
        <v>53</v>
      </c>
      <c r="C23" s="374" t="s">
        <v>87</v>
      </c>
      <c r="D23" s="374">
        <v>50</v>
      </c>
      <c r="E23" s="374">
        <v>-10</v>
      </c>
      <c r="F23" s="374">
        <v>53.107799999999997</v>
      </c>
      <c r="G23" s="374">
        <v>20</v>
      </c>
      <c r="H23" s="374">
        <v>0.25</v>
      </c>
      <c r="I23" s="374">
        <v>10</v>
      </c>
      <c r="J23" s="374">
        <v>0</v>
      </c>
      <c r="K23" s="374">
        <v>0</v>
      </c>
      <c r="L23" s="374">
        <v>10</v>
      </c>
      <c r="M23" s="374">
        <v>0</v>
      </c>
      <c r="N23" s="374">
        <v>0</v>
      </c>
      <c r="O23" s="374">
        <v>10</v>
      </c>
      <c r="P23" s="374">
        <v>0</v>
      </c>
      <c r="Q23" s="374">
        <v>0</v>
      </c>
      <c r="R23" s="374">
        <v>0</v>
      </c>
      <c r="S23" s="374">
        <v>0</v>
      </c>
      <c r="T23" s="374">
        <v>0</v>
      </c>
      <c r="U23" s="374">
        <v>0</v>
      </c>
      <c r="V23" s="374">
        <v>3.7659251566544208E-7</v>
      </c>
      <c r="W23" s="374">
        <v>3.765925156335771E-3</v>
      </c>
      <c r="X23" s="83">
        <f t="shared" si="13"/>
        <v>0</v>
      </c>
      <c r="Y23" s="83">
        <f t="shared" si="14"/>
        <v>0</v>
      </c>
      <c r="Z23" t="str">
        <f t="shared" si="15"/>
        <v>coax zero53</v>
      </c>
      <c r="AA23" s="245">
        <v>1</v>
      </c>
      <c r="AB23" s="376">
        <f t="shared" si="2"/>
        <v>0</v>
      </c>
      <c r="AC23" s="337">
        <f t="shared" si="3"/>
        <v>0</v>
      </c>
      <c r="AD23" s="83">
        <f t="shared" si="4"/>
        <v>0</v>
      </c>
      <c r="AE23" s="245">
        <v>1000000</v>
      </c>
      <c r="AF23" s="245">
        <f t="shared" si="5"/>
        <v>0</v>
      </c>
      <c r="AG23" s="83">
        <f t="shared" si="6"/>
        <v>0</v>
      </c>
      <c r="AH23" s="65">
        <f t="shared" si="7"/>
        <v>0</v>
      </c>
      <c r="AI23" s="65">
        <f t="shared" si="8"/>
        <v>53</v>
      </c>
      <c r="AK23" s="83"/>
    </row>
    <row r="24" spans="1:37">
      <c r="A24" s="374" t="s">
        <v>512</v>
      </c>
      <c r="B24" s="374">
        <v>400</v>
      </c>
      <c r="C24" s="374" t="s">
        <v>87</v>
      </c>
      <c r="D24" s="374">
        <v>0</v>
      </c>
      <c r="E24" s="374">
        <v>-10</v>
      </c>
      <c r="F24" s="374">
        <v>400.51600000000002</v>
      </c>
      <c r="G24" s="374">
        <v>20</v>
      </c>
      <c r="H24" s="374">
        <v>0.25</v>
      </c>
      <c r="I24" s="374">
        <v>10</v>
      </c>
      <c r="J24" s="374">
        <v>0</v>
      </c>
      <c r="K24" s="374">
        <v>0</v>
      </c>
      <c r="L24" s="374">
        <v>10</v>
      </c>
      <c r="M24" s="374">
        <v>0</v>
      </c>
      <c r="N24" s="374">
        <v>0</v>
      </c>
      <c r="O24" s="374">
        <v>10</v>
      </c>
      <c r="P24" s="374">
        <v>0</v>
      </c>
      <c r="Q24" s="374">
        <v>0</v>
      </c>
      <c r="R24" s="374">
        <v>0</v>
      </c>
      <c r="S24" s="374">
        <v>0</v>
      </c>
      <c r="T24" s="374">
        <v>0</v>
      </c>
      <c r="U24" s="374">
        <v>0</v>
      </c>
      <c r="V24" s="374">
        <v>4.9935583097903973E-8</v>
      </c>
      <c r="W24" s="374">
        <v>4.9935583098000122E-4</v>
      </c>
      <c r="X24" s="83">
        <f t="shared" si="13"/>
        <v>0</v>
      </c>
      <c r="Y24" s="83">
        <f t="shared" si="14"/>
        <v>0</v>
      </c>
      <c r="Z24" t="str">
        <f t="shared" si="15"/>
        <v>coax zero400</v>
      </c>
      <c r="AA24" s="245">
        <v>1</v>
      </c>
      <c r="AB24" s="376">
        <f t="shared" si="2"/>
        <v>0</v>
      </c>
      <c r="AC24" s="337">
        <f t="shared" si="3"/>
        <v>0</v>
      </c>
      <c r="AD24" s="83">
        <f t="shared" si="4"/>
        <v>0</v>
      </c>
      <c r="AE24" s="245">
        <v>1000000</v>
      </c>
      <c r="AF24" s="245">
        <f t="shared" si="5"/>
        <v>0</v>
      </c>
      <c r="AG24" s="83">
        <f t="shared" si="6"/>
        <v>0</v>
      </c>
      <c r="AH24" s="65">
        <f t="shared" si="7"/>
        <v>0</v>
      </c>
      <c r="AI24" s="65">
        <f t="shared" si="8"/>
        <v>400</v>
      </c>
    </row>
    <row r="25" spans="1:37">
      <c r="A25" s="374" t="s">
        <v>512</v>
      </c>
      <c r="B25" s="374">
        <v>1000</v>
      </c>
      <c r="C25" s="374" t="s">
        <v>87</v>
      </c>
      <c r="D25" s="374">
        <v>-1</v>
      </c>
      <c r="E25" s="374">
        <v>-9</v>
      </c>
      <c r="F25" s="374">
        <v>1001.034</v>
      </c>
      <c r="G25" s="374">
        <v>20</v>
      </c>
      <c r="H25" s="374">
        <v>0.25</v>
      </c>
      <c r="I25" s="374">
        <v>10</v>
      </c>
      <c r="J25" s="374">
        <v>0</v>
      </c>
      <c r="K25" s="374">
        <v>0</v>
      </c>
      <c r="L25" s="374">
        <v>10</v>
      </c>
      <c r="M25" s="374">
        <v>0</v>
      </c>
      <c r="N25" s="374">
        <v>0</v>
      </c>
      <c r="O25" s="374">
        <v>10</v>
      </c>
      <c r="P25" s="374">
        <v>0</v>
      </c>
      <c r="Q25" s="374">
        <v>0</v>
      </c>
      <c r="R25" s="374">
        <v>0</v>
      </c>
      <c r="S25" s="374">
        <v>0</v>
      </c>
      <c r="T25" s="374">
        <v>0</v>
      </c>
      <c r="U25" s="374">
        <v>0</v>
      </c>
      <c r="V25" s="374">
        <v>1.9979341361726131E-8</v>
      </c>
      <c r="W25" s="374">
        <v>1.9979341361680419E-4</v>
      </c>
      <c r="X25" s="83">
        <f t="shared" si="13"/>
        <v>0</v>
      </c>
      <c r="Y25" s="83">
        <f t="shared" si="14"/>
        <v>0</v>
      </c>
      <c r="Z25" t="str">
        <f t="shared" si="15"/>
        <v>coax zero1000</v>
      </c>
      <c r="AA25" s="245">
        <v>1</v>
      </c>
      <c r="AB25" s="376">
        <f t="shared" si="2"/>
        <v>0</v>
      </c>
      <c r="AC25" s="337">
        <f t="shared" si="3"/>
        <v>0</v>
      </c>
      <c r="AD25" s="83">
        <f t="shared" si="4"/>
        <v>0</v>
      </c>
      <c r="AE25" s="245">
        <v>1000000</v>
      </c>
      <c r="AF25" s="245">
        <f t="shared" si="5"/>
        <v>0</v>
      </c>
      <c r="AG25" s="83">
        <f t="shared" si="6"/>
        <v>0</v>
      </c>
      <c r="AH25" s="65">
        <f t="shared" si="7"/>
        <v>0</v>
      </c>
      <c r="AI25" s="65">
        <f t="shared" si="8"/>
        <v>1000</v>
      </c>
    </row>
    <row r="26" spans="1:37">
      <c r="A26" s="374" t="s">
        <v>633</v>
      </c>
      <c r="B26" s="374">
        <v>53</v>
      </c>
      <c r="C26" s="374" t="s">
        <v>87</v>
      </c>
      <c r="D26" s="374">
        <v>40</v>
      </c>
      <c r="E26" s="374">
        <v>10003210</v>
      </c>
      <c r="F26" s="374">
        <v>53.104900000000001</v>
      </c>
      <c r="G26" s="374">
        <v>20</v>
      </c>
      <c r="H26" s="374">
        <v>0.25</v>
      </c>
      <c r="I26" s="374">
        <v>10</v>
      </c>
      <c r="J26" s="374">
        <v>0</v>
      </c>
      <c r="K26" s="374">
        <v>0</v>
      </c>
      <c r="L26" s="374">
        <v>10</v>
      </c>
      <c r="M26" s="374">
        <v>0</v>
      </c>
      <c r="N26" s="374">
        <v>5.0000000000000004E-6</v>
      </c>
      <c r="O26" s="374">
        <v>10</v>
      </c>
      <c r="P26" s="374">
        <v>-1.000205908597456E-7</v>
      </c>
      <c r="Q26" s="374">
        <v>5.1976227207997211E-7</v>
      </c>
      <c r="R26" s="374">
        <v>2.0465322645267481</v>
      </c>
      <c r="S26" s="374">
        <v>100.03927236702521</v>
      </c>
      <c r="T26" s="374">
        <v>4.9243923412098474E-3</v>
      </c>
      <c r="U26" s="374">
        <v>2.0329838111014271</v>
      </c>
      <c r="V26" s="374">
        <v>3.896732589547797E-7</v>
      </c>
      <c r="W26" s="374">
        <v>4.0181186057068894E-3</v>
      </c>
      <c r="X26" s="83">
        <f t="shared" si="13"/>
        <v>1.3338412635091514</v>
      </c>
      <c r="Y26" s="83">
        <f t="shared" si="14"/>
        <v>1.2255467855567497</v>
      </c>
      <c r="Z26" t="str">
        <f t="shared" si="15"/>
        <v>100 ohm53</v>
      </c>
      <c r="AA26" s="245">
        <v>1</v>
      </c>
      <c r="AB26" s="376">
        <f t="shared" si="2"/>
        <v>100.03927236702521</v>
      </c>
      <c r="AC26" s="337">
        <f t="shared" si="3"/>
        <v>4.9243923412098474E-3</v>
      </c>
      <c r="AD26" s="83">
        <f t="shared" si="4"/>
        <v>2.0329838111014271</v>
      </c>
      <c r="AE26" s="245">
        <v>1000000</v>
      </c>
      <c r="AF26" s="245">
        <f t="shared" si="5"/>
        <v>-0.1000205908597456</v>
      </c>
      <c r="AG26" s="83">
        <f t="shared" si="6"/>
        <v>0.51976227207997217</v>
      </c>
      <c r="AH26" s="65">
        <f t="shared" si="7"/>
        <v>2.0465322645267481</v>
      </c>
      <c r="AI26" s="65">
        <f t="shared" si="8"/>
        <v>53</v>
      </c>
    </row>
    <row r="27" spans="1:37">
      <c r="A27" s="374" t="s">
        <v>633</v>
      </c>
      <c r="B27" s="374">
        <v>400</v>
      </c>
      <c r="C27" s="374" t="s">
        <v>87</v>
      </c>
      <c r="D27" s="374">
        <v>5</v>
      </c>
      <c r="E27" s="374">
        <v>10003205</v>
      </c>
      <c r="F27" s="374">
        <v>400.46499999999997</v>
      </c>
      <c r="G27" s="374">
        <v>20</v>
      </c>
      <c r="H27" s="374">
        <v>0.25</v>
      </c>
      <c r="I27" s="374">
        <v>10</v>
      </c>
      <c r="J27" s="374">
        <v>0</v>
      </c>
      <c r="K27" s="374">
        <v>0</v>
      </c>
      <c r="L27" s="374">
        <v>10</v>
      </c>
      <c r="M27" s="374">
        <v>0</v>
      </c>
      <c r="N27" s="374">
        <v>5.0000000000000004E-6</v>
      </c>
      <c r="O27" s="374">
        <v>10</v>
      </c>
      <c r="P27" s="374">
        <v>5.0010295429872848E-8</v>
      </c>
      <c r="Q27" s="374">
        <v>3.8404918916042462E-7</v>
      </c>
      <c r="R27" s="374">
        <v>2.188017328079507</v>
      </c>
      <c r="S27" s="374">
        <v>100.0392223634902</v>
      </c>
      <c r="T27" s="374">
        <v>3.349632946369841E-3</v>
      </c>
      <c r="U27" s="374">
        <v>2.118970880231974</v>
      </c>
      <c r="V27" s="374">
        <v>1.1181244842231371E-7</v>
      </c>
      <c r="W27" s="374">
        <v>1.4869275901576899E-3</v>
      </c>
      <c r="X27" s="83">
        <f t="shared" si="13"/>
        <v>3.434762359463567</v>
      </c>
      <c r="Y27" s="83">
        <f t="shared" si="14"/>
        <v>2.2527209586679398</v>
      </c>
      <c r="Z27" t="str">
        <f t="shared" si="15"/>
        <v>100 ohm400</v>
      </c>
      <c r="AA27" s="245">
        <v>1</v>
      </c>
      <c r="AB27" s="376">
        <f t="shared" si="2"/>
        <v>100.0392223634902</v>
      </c>
      <c r="AC27" s="337">
        <f t="shared" si="3"/>
        <v>3.349632946369841E-3</v>
      </c>
      <c r="AD27" s="83">
        <f t="shared" si="4"/>
        <v>2.118970880231974</v>
      </c>
      <c r="AE27" s="245">
        <v>1000000</v>
      </c>
      <c r="AF27" s="245">
        <f t="shared" si="5"/>
        <v>5.0010295429872849E-2</v>
      </c>
      <c r="AG27" s="83">
        <f t="shared" si="6"/>
        <v>0.38404918916042463</v>
      </c>
      <c r="AH27" s="65">
        <f t="shared" si="7"/>
        <v>2.188017328079507</v>
      </c>
      <c r="AI27" s="65">
        <f t="shared" si="8"/>
        <v>400</v>
      </c>
    </row>
    <row r="28" spans="1:37">
      <c r="A28" s="374" t="s">
        <v>633</v>
      </c>
      <c r="B28" s="374">
        <v>1000</v>
      </c>
      <c r="C28" s="374" t="s">
        <v>87</v>
      </c>
      <c r="D28" s="374">
        <v>3</v>
      </c>
      <c r="E28" s="374">
        <v>10003167</v>
      </c>
      <c r="F28" s="374">
        <v>1001.189</v>
      </c>
      <c r="G28" s="374">
        <v>20</v>
      </c>
      <c r="H28" s="374">
        <v>0.25</v>
      </c>
      <c r="I28" s="374">
        <v>10</v>
      </c>
      <c r="J28" s="374">
        <v>0</v>
      </c>
      <c r="K28" s="374">
        <v>0</v>
      </c>
      <c r="L28" s="374">
        <v>10</v>
      </c>
      <c r="M28" s="374">
        <v>0</v>
      </c>
      <c r="N28" s="374">
        <v>5.0000000000000004E-6</v>
      </c>
      <c r="O28" s="374">
        <v>10</v>
      </c>
      <c r="P28" s="374">
        <v>4.0008236343898268E-8</v>
      </c>
      <c r="Q28" s="374">
        <v>3.7921405482835201E-7</v>
      </c>
      <c r="R28" s="374">
        <v>2.2132949662690811</v>
      </c>
      <c r="S28" s="374">
        <v>100.03883233591679</v>
      </c>
      <c r="T28" s="374">
        <v>3.283131335991635E-3</v>
      </c>
      <c r="U28" s="374">
        <v>2.1400347042980452</v>
      </c>
      <c r="V28" s="374">
        <v>1.020137268255358E-7</v>
      </c>
      <c r="W28" s="374">
        <v>1.414716947977662E-3</v>
      </c>
      <c r="X28" s="83">
        <f t="shared" si="13"/>
        <v>3.7172845912872599</v>
      </c>
      <c r="Y28" s="83">
        <f t="shared" si="14"/>
        <v>2.3206983847085962</v>
      </c>
      <c r="Z28" t="str">
        <f t="shared" si="15"/>
        <v>100 ohm1000</v>
      </c>
      <c r="AA28" s="245">
        <v>1</v>
      </c>
      <c r="AB28" s="376">
        <f t="shared" si="2"/>
        <v>100.03883233591679</v>
      </c>
      <c r="AC28" s="337">
        <f t="shared" si="3"/>
        <v>3.283131335991635E-3</v>
      </c>
      <c r="AD28" s="83">
        <f t="shared" si="4"/>
        <v>2.1400347042980452</v>
      </c>
      <c r="AE28" s="245">
        <v>1000000</v>
      </c>
      <c r="AF28" s="245">
        <f t="shared" si="5"/>
        <v>4.0008236343898267E-2</v>
      </c>
      <c r="AG28" s="83">
        <f t="shared" si="6"/>
        <v>0.37921405482835202</v>
      </c>
      <c r="AH28" s="65">
        <f t="shared" si="7"/>
        <v>2.2132949662690811</v>
      </c>
      <c r="AI28" s="65">
        <f t="shared" si="8"/>
        <v>1000</v>
      </c>
    </row>
    <row r="29" spans="1:37">
      <c r="A29" s="374" t="s">
        <v>512</v>
      </c>
      <c r="B29" s="374">
        <v>53</v>
      </c>
      <c r="C29" s="374" t="s">
        <v>88</v>
      </c>
      <c r="D29" s="374">
        <v>34</v>
      </c>
      <c r="E29" s="374">
        <v>-10</v>
      </c>
      <c r="F29" s="374">
        <v>53.1327</v>
      </c>
      <c r="G29" s="374">
        <v>20</v>
      </c>
      <c r="H29" s="374">
        <v>0.25</v>
      </c>
      <c r="I29" s="374">
        <v>10</v>
      </c>
      <c r="J29" s="374">
        <v>0</v>
      </c>
      <c r="K29" s="374">
        <v>0</v>
      </c>
      <c r="L29" s="374">
        <v>10</v>
      </c>
      <c r="M29" s="374">
        <v>0</v>
      </c>
      <c r="N29" s="374">
        <v>0</v>
      </c>
      <c r="O29" s="374">
        <v>10</v>
      </c>
      <c r="P29" s="374">
        <v>0</v>
      </c>
      <c r="Q29" s="374">
        <v>0</v>
      </c>
      <c r="R29" s="374">
        <v>0</v>
      </c>
      <c r="S29" s="374">
        <v>0</v>
      </c>
      <c r="T29" s="374">
        <v>0</v>
      </c>
      <c r="U29" s="374">
        <v>0</v>
      </c>
      <c r="V29" s="374">
        <v>3.7641603008317799E-6</v>
      </c>
      <c r="W29" s="374">
        <v>3.7641603006844347E-2</v>
      </c>
      <c r="X29" s="83">
        <f t="shared" si="13"/>
        <v>0</v>
      </c>
      <c r="Y29" s="83">
        <f t="shared" si="14"/>
        <v>0</v>
      </c>
      <c r="Z29" t="str">
        <f t="shared" si="15"/>
        <v>coax zero53</v>
      </c>
      <c r="AA29" s="245">
        <v>1</v>
      </c>
      <c r="AB29" s="376">
        <f t="shared" si="2"/>
        <v>0</v>
      </c>
      <c r="AC29" s="337">
        <f t="shared" si="3"/>
        <v>0</v>
      </c>
      <c r="AD29" s="83">
        <f t="shared" si="4"/>
        <v>0</v>
      </c>
      <c r="AE29" s="245">
        <v>1000000</v>
      </c>
      <c r="AF29" s="245">
        <f t="shared" si="5"/>
        <v>0</v>
      </c>
      <c r="AG29" s="83">
        <f t="shared" si="6"/>
        <v>0</v>
      </c>
      <c r="AH29" s="65">
        <f t="shared" si="7"/>
        <v>0</v>
      </c>
      <c r="AI29" s="65">
        <f t="shared" si="8"/>
        <v>53</v>
      </c>
    </row>
    <row r="30" spans="1:37">
      <c r="A30" s="374" t="s">
        <v>512</v>
      </c>
      <c r="B30" s="374">
        <v>400</v>
      </c>
      <c r="C30" s="374" t="s">
        <v>88</v>
      </c>
      <c r="D30" s="374">
        <v>1</v>
      </c>
      <c r="E30" s="374">
        <v>-10</v>
      </c>
      <c r="F30" s="374">
        <v>400.33600000000001</v>
      </c>
      <c r="G30" s="374">
        <v>20</v>
      </c>
      <c r="H30" s="374">
        <v>0.25</v>
      </c>
      <c r="I30" s="374">
        <v>10</v>
      </c>
      <c r="J30" s="374">
        <v>0</v>
      </c>
      <c r="K30" s="374">
        <v>0</v>
      </c>
      <c r="L30" s="374">
        <v>10</v>
      </c>
      <c r="M30" s="374">
        <v>0</v>
      </c>
      <c r="N30" s="374">
        <v>0</v>
      </c>
      <c r="O30" s="374">
        <v>10</v>
      </c>
      <c r="P30" s="374">
        <v>0</v>
      </c>
      <c r="Q30" s="374">
        <v>0</v>
      </c>
      <c r="R30" s="374">
        <v>0</v>
      </c>
      <c r="S30" s="374">
        <v>0</v>
      </c>
      <c r="T30" s="374">
        <v>0</v>
      </c>
      <c r="U30" s="374">
        <v>0</v>
      </c>
      <c r="V30" s="374">
        <v>4.9958035250686011E-7</v>
      </c>
      <c r="W30" s="374">
        <v>4.9958035250685989E-3</v>
      </c>
      <c r="X30" s="83">
        <f t="shared" si="13"/>
        <v>0</v>
      </c>
      <c r="Y30" s="83">
        <f t="shared" si="14"/>
        <v>0</v>
      </c>
      <c r="Z30" t="str">
        <f t="shared" si="15"/>
        <v>coax zero400</v>
      </c>
      <c r="AA30" s="245">
        <v>1</v>
      </c>
      <c r="AB30" s="376">
        <f t="shared" si="2"/>
        <v>0</v>
      </c>
      <c r="AC30" s="337">
        <f t="shared" si="3"/>
        <v>0</v>
      </c>
      <c r="AD30" s="83">
        <f t="shared" si="4"/>
        <v>0</v>
      </c>
      <c r="AE30" s="245">
        <v>1000000</v>
      </c>
      <c r="AF30" s="245">
        <f t="shared" si="5"/>
        <v>0</v>
      </c>
      <c r="AG30" s="83">
        <f t="shared" si="6"/>
        <v>0</v>
      </c>
      <c r="AH30" s="65">
        <f t="shared" si="7"/>
        <v>0</v>
      </c>
      <c r="AI30" s="65">
        <f t="shared" si="8"/>
        <v>400</v>
      </c>
    </row>
    <row r="31" spans="1:37">
      <c r="A31" s="374" t="s">
        <v>512</v>
      </c>
      <c r="B31" s="374">
        <v>1000</v>
      </c>
      <c r="C31" s="374" t="s">
        <v>88</v>
      </c>
      <c r="D31" s="374">
        <v>-1</v>
      </c>
      <c r="E31" s="374">
        <v>-10</v>
      </c>
      <c r="F31" s="374">
        <v>1000.175</v>
      </c>
      <c r="G31" s="374">
        <v>20</v>
      </c>
      <c r="H31" s="374">
        <v>0.25</v>
      </c>
      <c r="I31" s="374">
        <v>10</v>
      </c>
      <c r="J31" s="374">
        <v>0</v>
      </c>
      <c r="K31" s="374">
        <v>0</v>
      </c>
      <c r="L31" s="374">
        <v>10</v>
      </c>
      <c r="M31" s="374">
        <v>0</v>
      </c>
      <c r="N31" s="374">
        <v>0</v>
      </c>
      <c r="O31" s="374">
        <v>10</v>
      </c>
      <c r="P31" s="374">
        <v>0</v>
      </c>
      <c r="Q31" s="374">
        <v>0</v>
      </c>
      <c r="R31" s="374">
        <v>0</v>
      </c>
      <c r="S31" s="374">
        <v>0</v>
      </c>
      <c r="T31" s="374">
        <v>0</v>
      </c>
      <c r="U31" s="374">
        <v>0</v>
      </c>
      <c r="V31" s="374">
        <v>1.9996500613133201E-7</v>
      </c>
      <c r="W31" s="374">
        <v>1.9996500613133129E-3</v>
      </c>
      <c r="X31" s="83">
        <f t="shared" si="13"/>
        <v>0</v>
      </c>
      <c r="Y31" s="83">
        <f t="shared" si="14"/>
        <v>0</v>
      </c>
      <c r="Z31" t="str">
        <f t="shared" si="15"/>
        <v>coax zero1000</v>
      </c>
      <c r="AA31" s="245">
        <v>1</v>
      </c>
      <c r="AB31" s="376">
        <f t="shared" si="2"/>
        <v>0</v>
      </c>
      <c r="AC31" s="337">
        <f t="shared" si="3"/>
        <v>0</v>
      </c>
      <c r="AD31" s="83">
        <f t="shared" si="4"/>
        <v>0</v>
      </c>
      <c r="AE31" s="245">
        <v>1000000</v>
      </c>
      <c r="AF31" s="245">
        <f t="shared" si="5"/>
        <v>0</v>
      </c>
      <c r="AG31" s="83">
        <f t="shared" si="6"/>
        <v>0</v>
      </c>
      <c r="AH31" s="65">
        <f t="shared" si="7"/>
        <v>0</v>
      </c>
      <c r="AI31" s="65">
        <f t="shared" si="8"/>
        <v>1000</v>
      </c>
    </row>
    <row r="32" spans="1:37">
      <c r="A32" s="374" t="s">
        <v>634</v>
      </c>
      <c r="B32" s="374">
        <v>53</v>
      </c>
      <c r="C32" s="374" t="s">
        <v>88</v>
      </c>
      <c r="D32" s="374">
        <v>43</v>
      </c>
      <c r="E32" s="374">
        <v>10001861</v>
      </c>
      <c r="F32" s="374">
        <v>53.132399999999997</v>
      </c>
      <c r="G32" s="374">
        <v>20</v>
      </c>
      <c r="H32" s="374">
        <v>0.25</v>
      </c>
      <c r="I32" s="374">
        <v>10</v>
      </c>
      <c r="J32" s="374">
        <v>0</v>
      </c>
      <c r="K32" s="374">
        <v>0</v>
      </c>
      <c r="L32" s="374">
        <v>10</v>
      </c>
      <c r="M32" s="374">
        <v>0</v>
      </c>
      <c r="N32" s="374">
        <v>5.0000000000000004E-6</v>
      </c>
      <c r="O32" s="374">
        <v>10</v>
      </c>
      <c r="P32" s="374">
        <v>9.001853177377122E-7</v>
      </c>
      <c r="Q32" s="374">
        <v>5.1963216281005274E-6</v>
      </c>
      <c r="R32" s="374">
        <v>2.0465412126881501</v>
      </c>
      <c r="S32" s="374">
        <v>1000.2578141327</v>
      </c>
      <c r="T32" s="374">
        <v>4.9230770562050087E-2</v>
      </c>
      <c r="U32" s="374">
        <v>2.0329827348899192</v>
      </c>
      <c r="V32" s="374">
        <v>3.8948140480916842E-6</v>
      </c>
      <c r="W32" s="374">
        <v>4.0162257921773921E-2</v>
      </c>
      <c r="X32" s="83">
        <f t="shared" si="13"/>
        <v>1.3341642409466337</v>
      </c>
      <c r="Y32" s="83">
        <f t="shared" si="14"/>
        <v>1.225796882683722</v>
      </c>
      <c r="Z32" t="str">
        <f t="shared" si="15"/>
        <v>1000 ohm53</v>
      </c>
      <c r="AA32" s="245">
        <v>1E-3</v>
      </c>
      <c r="AB32" s="376">
        <f t="shared" si="2"/>
        <v>1.0002578141327001</v>
      </c>
      <c r="AC32" s="337">
        <f t="shared" si="3"/>
        <v>4.9230770562050089E-5</v>
      </c>
      <c r="AD32" s="83">
        <f t="shared" si="4"/>
        <v>2.0329827348899192</v>
      </c>
      <c r="AE32" s="245">
        <v>1000000</v>
      </c>
      <c r="AF32" s="245">
        <f t="shared" si="5"/>
        <v>0.90018531773771215</v>
      </c>
      <c r="AG32" s="83">
        <f t="shared" si="6"/>
        <v>5.1963216281005273</v>
      </c>
      <c r="AH32" s="65">
        <f t="shared" si="7"/>
        <v>2.0465412126881501</v>
      </c>
      <c r="AI32" s="65">
        <f t="shared" si="8"/>
        <v>53</v>
      </c>
      <c r="AJ32" s="245">
        <f>-AF32/AB32^2</f>
        <v>-0.89972133618300054</v>
      </c>
      <c r="AK32" s="245">
        <f>--AG32/AB32^2</f>
        <v>5.193643293606196</v>
      </c>
    </row>
    <row r="33" spans="1:37">
      <c r="A33" s="374" t="s">
        <v>634</v>
      </c>
      <c r="B33" s="374">
        <v>400</v>
      </c>
      <c r="C33" s="374" t="s">
        <v>88</v>
      </c>
      <c r="D33" s="374">
        <v>4</v>
      </c>
      <c r="E33" s="374">
        <v>10001866</v>
      </c>
      <c r="F33" s="374">
        <v>400.37799999999999</v>
      </c>
      <c r="G33" s="374">
        <v>20</v>
      </c>
      <c r="H33" s="374">
        <v>0.25</v>
      </c>
      <c r="I33" s="374">
        <v>10</v>
      </c>
      <c r="J33" s="374">
        <v>0</v>
      </c>
      <c r="K33" s="374">
        <v>0</v>
      </c>
      <c r="L33" s="374">
        <v>10</v>
      </c>
      <c r="M33" s="374">
        <v>0</v>
      </c>
      <c r="N33" s="374">
        <v>5.0000000000000004E-6</v>
      </c>
      <c r="O33" s="374">
        <v>10</v>
      </c>
      <c r="P33" s="374">
        <v>3.0006177257923699E-7</v>
      </c>
      <c r="Q33" s="374">
        <v>3.8400308787044638E-6</v>
      </c>
      <c r="R33" s="374">
        <v>2.1879930528051301</v>
      </c>
      <c r="S33" s="374">
        <v>1000.25831416805</v>
      </c>
      <c r="T33" s="374">
        <v>3.3492562450691661E-2</v>
      </c>
      <c r="U33" s="374">
        <v>2.1189511568037882</v>
      </c>
      <c r="V33" s="374">
        <v>1.118053157664005E-6</v>
      </c>
      <c r="W33" s="374">
        <v>1.486787466309869E-2</v>
      </c>
      <c r="X33" s="83">
        <f t="shared" si="13"/>
        <v>3.4345691458245153</v>
      </c>
      <c r="Y33" s="83">
        <f t="shared" si="14"/>
        <v>2.2526799027851978</v>
      </c>
      <c r="Z33" t="str">
        <f t="shared" si="15"/>
        <v>1000 ohm400</v>
      </c>
      <c r="AA33" s="245">
        <v>1E-3</v>
      </c>
      <c r="AB33" s="376">
        <f t="shared" si="2"/>
        <v>1.0002583141680501</v>
      </c>
      <c r="AC33" s="337">
        <f t="shared" si="3"/>
        <v>3.3492562450691663E-5</v>
      </c>
      <c r="AD33" s="83">
        <f t="shared" si="4"/>
        <v>2.1189511568037882</v>
      </c>
      <c r="AE33" s="245">
        <v>1000000</v>
      </c>
      <c r="AF33" s="245">
        <f t="shared" si="5"/>
        <v>0.300061772579237</v>
      </c>
      <c r="AG33" s="83">
        <f t="shared" si="6"/>
        <v>3.8400308787044639</v>
      </c>
      <c r="AH33" s="65">
        <f t="shared" si="7"/>
        <v>2.1879930528051301</v>
      </c>
      <c r="AI33" s="65">
        <f t="shared" si="8"/>
        <v>400</v>
      </c>
      <c r="AJ33" s="245">
        <f t="shared" ref="AJ33:AJ34" si="16">-AF33/AB33^2</f>
        <v>-0.29990681221021492</v>
      </c>
      <c r="AK33" s="245">
        <f t="shared" ref="AK33:AK34" si="17">--AG33/AB33^2</f>
        <v>3.8380477783684723</v>
      </c>
    </row>
    <row r="34" spans="1:37">
      <c r="A34" s="374" t="s">
        <v>634</v>
      </c>
      <c r="B34" s="374">
        <v>1000</v>
      </c>
      <c r="C34" s="374" t="s">
        <v>88</v>
      </c>
      <c r="D34" s="374">
        <v>3</v>
      </c>
      <c r="E34" s="374">
        <v>10001835</v>
      </c>
      <c r="F34" s="374">
        <v>1000.186</v>
      </c>
      <c r="G34" s="374">
        <v>20</v>
      </c>
      <c r="H34" s="374">
        <v>0.25</v>
      </c>
      <c r="I34" s="374">
        <v>10</v>
      </c>
      <c r="J34" s="374">
        <v>0</v>
      </c>
      <c r="K34" s="374">
        <v>0</v>
      </c>
      <c r="L34" s="374">
        <v>10</v>
      </c>
      <c r="M34" s="374">
        <v>0</v>
      </c>
      <c r="N34" s="374">
        <v>5.0000000000000004E-6</v>
      </c>
      <c r="O34" s="374">
        <v>10</v>
      </c>
      <c r="P34" s="374">
        <v>4.0008236343898268E-7</v>
      </c>
      <c r="Q34" s="374">
        <v>3.791664954737123E-6</v>
      </c>
      <c r="R34" s="374">
        <v>2.2132775118735482</v>
      </c>
      <c r="S34" s="374">
        <v>1000.255213948878</v>
      </c>
      <c r="T34" s="374">
        <v>3.282735172100272E-2</v>
      </c>
      <c r="U34" s="374">
        <v>2.1400197923792921</v>
      </c>
      <c r="V34" s="374">
        <v>1.0200458894330131E-6</v>
      </c>
      <c r="W34" s="374">
        <v>1.414560627624829E-2</v>
      </c>
      <c r="X34" s="83">
        <f t="shared" si="13"/>
        <v>3.7171513497737823</v>
      </c>
      <c r="Y34" s="83">
        <f t="shared" si="14"/>
        <v>2.3206747791448654</v>
      </c>
      <c r="Z34" t="str">
        <f t="shared" si="15"/>
        <v>1000 ohm1000</v>
      </c>
      <c r="AA34" s="245">
        <v>1E-3</v>
      </c>
      <c r="AB34" s="376">
        <f t="shared" si="2"/>
        <v>1.0002552139488781</v>
      </c>
      <c r="AC34" s="337">
        <f t="shared" si="3"/>
        <v>3.2827351721002721E-5</v>
      </c>
      <c r="AD34" s="83">
        <f t="shared" si="4"/>
        <v>2.1400197923792921</v>
      </c>
      <c r="AE34" s="245">
        <v>1000000</v>
      </c>
      <c r="AF34" s="245">
        <f t="shared" si="5"/>
        <v>0.40008236343898268</v>
      </c>
      <c r="AG34" s="83">
        <f t="shared" si="6"/>
        <v>3.7916649547371231</v>
      </c>
      <c r="AH34" s="65">
        <f t="shared" si="7"/>
        <v>2.2132775118735482</v>
      </c>
      <c r="AI34" s="65">
        <f t="shared" si="8"/>
        <v>1000</v>
      </c>
      <c r="AJ34" s="245">
        <f t="shared" si="16"/>
        <v>-0.39987822838977488</v>
      </c>
      <c r="AK34" s="245">
        <f t="shared" si="17"/>
        <v>3.7897303238139761</v>
      </c>
    </row>
    <row r="35" spans="1:37">
      <c r="A35" s="374" t="s">
        <v>512</v>
      </c>
      <c r="B35" s="374">
        <v>53</v>
      </c>
      <c r="C35" s="374" t="s">
        <v>89</v>
      </c>
      <c r="D35" s="374">
        <v>7</v>
      </c>
      <c r="E35" s="374">
        <v>-30</v>
      </c>
      <c r="F35" s="374">
        <v>53.135100000000001</v>
      </c>
      <c r="G35" s="374">
        <v>20</v>
      </c>
      <c r="H35" s="374">
        <v>0.25</v>
      </c>
      <c r="I35" s="374">
        <v>10</v>
      </c>
      <c r="J35" s="374">
        <v>0</v>
      </c>
      <c r="K35" s="374">
        <v>0</v>
      </c>
      <c r="L35" s="374">
        <v>10</v>
      </c>
      <c r="M35" s="374">
        <v>0</v>
      </c>
      <c r="N35" s="374">
        <v>0</v>
      </c>
      <c r="O35" s="374">
        <v>10</v>
      </c>
      <c r="P35" s="374">
        <v>0</v>
      </c>
      <c r="Q35" s="374">
        <v>0</v>
      </c>
      <c r="R35" s="374">
        <v>0</v>
      </c>
      <c r="S35" s="374">
        <v>0</v>
      </c>
      <c r="T35" s="374">
        <v>0</v>
      </c>
      <c r="U35" s="374">
        <v>0</v>
      </c>
      <c r="V35" s="374">
        <v>3.7639902813910507E-5</v>
      </c>
      <c r="W35" s="374">
        <v>0.37639902813859483</v>
      </c>
      <c r="X35" s="83">
        <f t="shared" si="13"/>
        <v>0</v>
      </c>
      <c r="Y35" s="83">
        <f t="shared" si="14"/>
        <v>0</v>
      </c>
      <c r="Z35" t="str">
        <f t="shared" si="15"/>
        <v>coax zero53</v>
      </c>
      <c r="AA35" s="245">
        <v>1</v>
      </c>
      <c r="AB35" s="376">
        <f t="shared" si="2"/>
        <v>0</v>
      </c>
      <c r="AC35" s="337">
        <f t="shared" si="3"/>
        <v>0</v>
      </c>
      <c r="AD35" s="83">
        <f t="shared" si="4"/>
        <v>0</v>
      </c>
      <c r="AE35" s="245">
        <v>1000000</v>
      </c>
      <c r="AF35" s="245">
        <f t="shared" si="5"/>
        <v>0</v>
      </c>
      <c r="AG35" s="83">
        <f t="shared" si="6"/>
        <v>0</v>
      </c>
      <c r="AH35" s="65">
        <f t="shared" si="7"/>
        <v>0</v>
      </c>
      <c r="AI35" s="65">
        <f t="shared" si="8"/>
        <v>53</v>
      </c>
    </row>
    <row r="36" spans="1:37">
      <c r="A36" s="374" t="s">
        <v>512</v>
      </c>
      <c r="B36" s="374">
        <v>400</v>
      </c>
      <c r="C36" s="374" t="s">
        <v>89</v>
      </c>
      <c r="D36" s="374">
        <v>0</v>
      </c>
      <c r="E36" s="374">
        <v>-28</v>
      </c>
      <c r="F36" s="374">
        <v>400.22800000000001</v>
      </c>
      <c r="G36" s="374">
        <v>20</v>
      </c>
      <c r="H36" s="374">
        <v>0.25</v>
      </c>
      <c r="I36" s="374">
        <v>10</v>
      </c>
      <c r="J36" s="374">
        <v>0</v>
      </c>
      <c r="K36" s="374">
        <v>0</v>
      </c>
      <c r="L36" s="374">
        <v>10</v>
      </c>
      <c r="M36" s="374">
        <v>0</v>
      </c>
      <c r="N36" s="374">
        <v>0</v>
      </c>
      <c r="O36" s="374">
        <v>10</v>
      </c>
      <c r="P36" s="374">
        <v>0</v>
      </c>
      <c r="Q36" s="374">
        <v>0</v>
      </c>
      <c r="R36" s="374">
        <v>0</v>
      </c>
      <c r="S36" s="374">
        <v>0</v>
      </c>
      <c r="T36" s="374">
        <v>0</v>
      </c>
      <c r="U36" s="374">
        <v>0</v>
      </c>
      <c r="V36" s="374">
        <v>4.9971516236530181E-6</v>
      </c>
      <c r="W36" s="374">
        <v>4.997151623728336E-2</v>
      </c>
      <c r="X36" s="83">
        <f t="shared" si="13"/>
        <v>0</v>
      </c>
      <c r="Y36" s="83">
        <f t="shared" si="14"/>
        <v>0</v>
      </c>
      <c r="Z36" t="str">
        <f t="shared" si="15"/>
        <v>coax zero400</v>
      </c>
      <c r="AA36" s="245">
        <v>1</v>
      </c>
      <c r="AB36" s="376">
        <f t="shared" si="2"/>
        <v>0</v>
      </c>
      <c r="AC36" s="337">
        <f t="shared" si="3"/>
        <v>0</v>
      </c>
      <c r="AD36" s="83">
        <f t="shared" si="4"/>
        <v>0</v>
      </c>
      <c r="AE36" s="245">
        <v>1000000</v>
      </c>
      <c r="AF36" s="245">
        <f t="shared" si="5"/>
        <v>0</v>
      </c>
      <c r="AG36" s="83">
        <f t="shared" si="6"/>
        <v>0</v>
      </c>
      <c r="AH36" s="65">
        <f t="shared" si="7"/>
        <v>0</v>
      </c>
      <c r="AI36" s="65">
        <f t="shared" si="8"/>
        <v>400</v>
      </c>
    </row>
    <row r="37" spans="1:37">
      <c r="A37" s="374" t="s">
        <v>512</v>
      </c>
      <c r="B37" s="374">
        <v>1000</v>
      </c>
      <c r="C37" s="374" t="s">
        <v>89</v>
      </c>
      <c r="D37" s="374">
        <v>0</v>
      </c>
      <c r="E37" s="374">
        <v>-26</v>
      </c>
      <c r="F37" s="374">
        <v>1000.807</v>
      </c>
      <c r="G37" s="374">
        <v>20</v>
      </c>
      <c r="H37" s="374">
        <v>0.25</v>
      </c>
      <c r="I37" s="374">
        <v>10</v>
      </c>
      <c r="J37" s="374">
        <v>0</v>
      </c>
      <c r="K37" s="374">
        <v>0</v>
      </c>
      <c r="L37" s="374">
        <v>10</v>
      </c>
      <c r="M37" s="374">
        <v>0</v>
      </c>
      <c r="N37" s="374">
        <v>0</v>
      </c>
      <c r="O37" s="374">
        <v>10</v>
      </c>
      <c r="P37" s="374">
        <v>0</v>
      </c>
      <c r="Q37" s="374">
        <v>0</v>
      </c>
      <c r="R37" s="374">
        <v>0</v>
      </c>
      <c r="S37" s="374">
        <v>0</v>
      </c>
      <c r="T37" s="374">
        <v>0</v>
      </c>
      <c r="U37" s="374">
        <v>0</v>
      </c>
      <c r="V37" s="374">
        <v>1.9983873016168922E-6</v>
      </c>
      <c r="W37" s="374">
        <v>1.998387301779286E-2</v>
      </c>
      <c r="X37" s="83">
        <f t="shared" si="13"/>
        <v>0</v>
      </c>
      <c r="Y37" s="83">
        <f t="shared" si="14"/>
        <v>0</v>
      </c>
      <c r="Z37" t="str">
        <f t="shared" si="15"/>
        <v>coax zero1000</v>
      </c>
      <c r="AA37" s="245">
        <v>1</v>
      </c>
      <c r="AB37" s="376">
        <f t="shared" si="2"/>
        <v>0</v>
      </c>
      <c r="AC37" s="337">
        <f t="shared" si="3"/>
        <v>0</v>
      </c>
      <c r="AD37" s="83">
        <f t="shared" si="4"/>
        <v>0</v>
      </c>
      <c r="AE37" s="245">
        <v>1000000</v>
      </c>
      <c r="AF37" s="245">
        <f t="shared" si="5"/>
        <v>0</v>
      </c>
      <c r="AG37" s="83">
        <f t="shared" si="6"/>
        <v>0</v>
      </c>
      <c r="AH37" s="65">
        <f t="shared" si="7"/>
        <v>0</v>
      </c>
      <c r="AI37" s="65">
        <f t="shared" si="8"/>
        <v>1000</v>
      </c>
    </row>
    <row r="38" spans="1:37">
      <c r="A38" s="374" t="s">
        <v>635</v>
      </c>
      <c r="B38" s="374">
        <v>53</v>
      </c>
      <c r="C38" s="374" t="s">
        <v>89</v>
      </c>
      <c r="D38" s="374">
        <v>-63</v>
      </c>
      <c r="E38" s="374">
        <v>10001664</v>
      </c>
      <c r="F38" s="374">
        <v>53.136000000000003</v>
      </c>
      <c r="G38" s="374">
        <v>20</v>
      </c>
      <c r="H38" s="374">
        <v>0.25</v>
      </c>
      <c r="I38" s="374">
        <v>10</v>
      </c>
      <c r="J38" s="374">
        <v>0</v>
      </c>
      <c r="K38" s="374">
        <v>0</v>
      </c>
      <c r="L38" s="374">
        <v>10</v>
      </c>
      <c r="M38" s="374">
        <v>0</v>
      </c>
      <c r="N38" s="374">
        <v>5.0000000000000004E-6</v>
      </c>
      <c r="O38" s="374">
        <v>10</v>
      </c>
      <c r="P38" s="374">
        <v>-7.0014413601821978E-5</v>
      </c>
      <c r="Q38" s="374">
        <v>5.196167268753265E-5</v>
      </c>
      <c r="R38" s="374">
        <v>2.046542140192348</v>
      </c>
      <c r="S38" s="374">
        <v>10002.40112881294</v>
      </c>
      <c r="T38" s="374">
        <v>0.49229221257685568</v>
      </c>
      <c r="U38" s="374">
        <v>2.0329826261742978</v>
      </c>
      <c r="V38" s="374">
        <v>3.8945625169826132E-5</v>
      </c>
      <c r="W38" s="374">
        <v>0.40159771544634693</v>
      </c>
      <c r="X38" s="83">
        <f t="shared" si="13"/>
        <v>1.3342107736350051</v>
      </c>
      <c r="Y38" s="83">
        <f t="shared" si="14"/>
        <v>1.2258341958686403</v>
      </c>
      <c r="Z38" t="str">
        <f t="shared" si="15"/>
        <v>10 k ohm53</v>
      </c>
      <c r="AA38" s="245">
        <v>1E-3</v>
      </c>
      <c r="AB38" s="376">
        <f t="shared" si="2"/>
        <v>10.002401128812942</v>
      </c>
      <c r="AC38" s="337">
        <f t="shared" si="3"/>
        <v>4.9229221257685572E-4</v>
      </c>
      <c r="AD38" s="83">
        <f t="shared" si="4"/>
        <v>2.0329826261742978</v>
      </c>
      <c r="AE38" s="245">
        <v>1000000</v>
      </c>
      <c r="AF38" s="245">
        <f t="shared" si="5"/>
        <v>-70.014413601821985</v>
      </c>
      <c r="AG38" s="83">
        <f t="shared" si="6"/>
        <v>51.961672687532648</v>
      </c>
      <c r="AH38" s="65">
        <f t="shared" si="7"/>
        <v>2.046542140192348</v>
      </c>
      <c r="AI38" s="65">
        <f t="shared" si="8"/>
        <v>53</v>
      </c>
      <c r="AJ38" s="245">
        <f>-AF38/AB38^2</f>
        <v>0.69980802982656187</v>
      </c>
      <c r="AK38" s="245">
        <f>--AG38/AB38^2</f>
        <v>0.51936728338189797</v>
      </c>
    </row>
    <row r="39" spans="1:37">
      <c r="A39" s="374" t="s">
        <v>635</v>
      </c>
      <c r="B39" s="374">
        <v>400</v>
      </c>
      <c r="C39" s="374" t="s">
        <v>89</v>
      </c>
      <c r="D39" s="374">
        <v>-65</v>
      </c>
      <c r="E39" s="374">
        <v>10001668</v>
      </c>
      <c r="F39" s="374">
        <v>400.18400000000003</v>
      </c>
      <c r="G39" s="374">
        <v>20</v>
      </c>
      <c r="H39" s="374">
        <v>0.25</v>
      </c>
      <c r="I39" s="374">
        <v>10</v>
      </c>
      <c r="J39" s="374">
        <v>0</v>
      </c>
      <c r="K39" s="374">
        <v>0</v>
      </c>
      <c r="L39" s="374">
        <v>10</v>
      </c>
      <c r="M39" s="374">
        <v>0</v>
      </c>
      <c r="N39" s="374">
        <v>5.0000000000000004E-6</v>
      </c>
      <c r="O39" s="374">
        <v>10</v>
      </c>
      <c r="P39" s="374">
        <v>-6.5013384058834671E-5</v>
      </c>
      <c r="Q39" s="374">
        <v>3.8400016550158798E-5</v>
      </c>
      <c r="R39" s="374">
        <v>2.187974843649036</v>
      </c>
      <c r="S39" s="374">
        <v>10002.40312895434</v>
      </c>
      <c r="T39" s="374">
        <v>0.33492497225559231</v>
      </c>
      <c r="U39" s="374">
        <v>2.1189364071527539</v>
      </c>
      <c r="V39" s="374">
        <v>1.118143661921112E-5</v>
      </c>
      <c r="W39" s="374">
        <v>0.14868427365298659</v>
      </c>
      <c r="X39" s="83">
        <f t="shared" si="13"/>
        <v>3.4342650106501269</v>
      </c>
      <c r="Y39" s="83">
        <f t="shared" si="14"/>
        <v>2.25259177737433</v>
      </c>
      <c r="Z39" t="str">
        <f t="shared" si="15"/>
        <v>10 k ohm400</v>
      </c>
      <c r="AA39" s="245">
        <v>1E-3</v>
      </c>
      <c r="AB39" s="376">
        <f t="shared" si="2"/>
        <v>10.00240312895434</v>
      </c>
      <c r="AC39" s="337">
        <f t="shared" si="3"/>
        <v>3.3492497225559234E-4</v>
      </c>
      <c r="AD39" s="83">
        <f t="shared" si="4"/>
        <v>2.1189364071527539</v>
      </c>
      <c r="AE39" s="245">
        <v>1000000</v>
      </c>
      <c r="AF39" s="245">
        <f t="shared" si="5"/>
        <v>-65.013384058834674</v>
      </c>
      <c r="AG39" s="83">
        <f t="shared" si="6"/>
        <v>38.400016550158796</v>
      </c>
      <c r="AH39" s="65">
        <f t="shared" si="7"/>
        <v>2.187974843649036</v>
      </c>
      <c r="AI39" s="65">
        <f t="shared" si="8"/>
        <v>400</v>
      </c>
      <c r="AJ39" s="245">
        <f t="shared" ref="AJ39:AJ40" si="18">-AF39/AB39^2</f>
        <v>0.64982148209721324</v>
      </c>
      <c r="AK39" s="245">
        <f t="shared" ref="AK39:AK40" si="19">--AG39/AB39^2</f>
        <v>0.38381567162539998</v>
      </c>
    </row>
    <row r="40" spans="1:37">
      <c r="A40" s="374" t="s">
        <v>635</v>
      </c>
      <c r="B40" s="374">
        <v>1000</v>
      </c>
      <c r="C40" s="374" t="s">
        <v>89</v>
      </c>
      <c r="D40" s="374">
        <v>-65</v>
      </c>
      <c r="E40" s="374">
        <v>10001648</v>
      </c>
      <c r="F40" s="374">
        <v>1000.894</v>
      </c>
      <c r="G40" s="374">
        <v>20</v>
      </c>
      <c r="H40" s="374">
        <v>0.25</v>
      </c>
      <c r="I40" s="374">
        <v>10</v>
      </c>
      <c r="J40" s="374">
        <v>0</v>
      </c>
      <c r="K40" s="374">
        <v>0</v>
      </c>
      <c r="L40" s="374">
        <v>10</v>
      </c>
      <c r="M40" s="374">
        <v>0</v>
      </c>
      <c r="N40" s="374">
        <v>5.0000000000000004E-6</v>
      </c>
      <c r="O40" s="374">
        <v>10</v>
      </c>
      <c r="P40" s="374">
        <v>-6.5013384058834684E-5</v>
      </c>
      <c r="Q40" s="374">
        <v>3.7915845587953572E-5</v>
      </c>
      <c r="R40" s="374">
        <v>2.2132868810653972</v>
      </c>
      <c r="S40" s="374">
        <v>10002.381127398919</v>
      </c>
      <c r="T40" s="374">
        <v>0.3282657090144801</v>
      </c>
      <c r="U40" s="374">
        <v>2.140027831104732</v>
      </c>
      <c r="V40" s="374">
        <v>1.0199998356160841E-5</v>
      </c>
      <c r="W40" s="374">
        <v>0.1414514721717077</v>
      </c>
      <c r="X40" s="83">
        <f t="shared" si="13"/>
        <v>3.7172403625979258</v>
      </c>
      <c r="Y40" s="83">
        <f t="shared" si="14"/>
        <v>2.3206948925635706</v>
      </c>
      <c r="Z40" t="str">
        <f t="shared" si="15"/>
        <v>10 k ohm1000</v>
      </c>
      <c r="AA40" s="245">
        <v>1E-3</v>
      </c>
      <c r="AB40" s="376">
        <f t="shared" si="2"/>
        <v>10.00238112739892</v>
      </c>
      <c r="AC40" s="337">
        <f t="shared" si="3"/>
        <v>3.282657090144801E-4</v>
      </c>
      <c r="AD40" s="83">
        <f t="shared" si="4"/>
        <v>2.140027831104732</v>
      </c>
      <c r="AE40" s="245">
        <v>1000000</v>
      </c>
      <c r="AF40" s="245">
        <f t="shared" si="5"/>
        <v>-65.013384058834689</v>
      </c>
      <c r="AG40" s="83">
        <f t="shared" si="6"/>
        <v>37.915845587953569</v>
      </c>
      <c r="AH40" s="65">
        <f t="shared" si="7"/>
        <v>2.2132868810653972</v>
      </c>
      <c r="AI40" s="65">
        <f t="shared" si="8"/>
        <v>1000</v>
      </c>
      <c r="AJ40" s="245">
        <f t="shared" si="18"/>
        <v>0.64982434083632634</v>
      </c>
      <c r="AK40" s="245">
        <f t="shared" si="19"/>
        <v>0.3789779554337121</v>
      </c>
    </row>
    <row r="41" spans="1:37">
      <c r="A41" s="374" t="s">
        <v>512</v>
      </c>
      <c r="B41" s="374">
        <v>53</v>
      </c>
      <c r="C41" s="374" t="s">
        <v>90</v>
      </c>
      <c r="D41" s="374">
        <v>5</v>
      </c>
      <c r="E41" s="374">
        <v>-10</v>
      </c>
      <c r="F41" s="374">
        <v>53.077100000000002</v>
      </c>
      <c r="G41" s="374">
        <v>20</v>
      </c>
      <c r="H41" s="374">
        <v>0.25</v>
      </c>
      <c r="I41" s="374">
        <v>10</v>
      </c>
      <c r="J41" s="374">
        <v>0</v>
      </c>
      <c r="K41" s="374">
        <v>0</v>
      </c>
      <c r="L41" s="374">
        <v>10</v>
      </c>
      <c r="M41" s="374">
        <v>0</v>
      </c>
      <c r="N41" s="374">
        <v>0</v>
      </c>
      <c r="O41" s="374">
        <v>10</v>
      </c>
      <c r="P41" s="374">
        <v>0</v>
      </c>
      <c r="Q41" s="374">
        <v>0</v>
      </c>
      <c r="R41" s="374">
        <v>0</v>
      </c>
      <c r="S41" s="374">
        <v>0</v>
      </c>
      <c r="T41" s="374">
        <v>0</v>
      </c>
      <c r="U41" s="374">
        <v>0</v>
      </c>
      <c r="V41" s="374">
        <v>3.768103381691016E-4</v>
      </c>
      <c r="W41" s="374">
        <v>3.7681033816879581</v>
      </c>
      <c r="X41" s="83">
        <f t="shared" si="13"/>
        <v>0</v>
      </c>
      <c r="Y41" s="83">
        <f t="shared" si="14"/>
        <v>0</v>
      </c>
      <c r="Z41" t="str">
        <f t="shared" si="15"/>
        <v>coax zero53</v>
      </c>
      <c r="AA41" s="245">
        <v>1</v>
      </c>
      <c r="AB41" s="376">
        <f t="shared" si="2"/>
        <v>0</v>
      </c>
      <c r="AC41" s="337">
        <f t="shared" si="3"/>
        <v>0</v>
      </c>
      <c r="AD41" s="83">
        <f t="shared" si="4"/>
        <v>0</v>
      </c>
      <c r="AE41" s="245">
        <v>1000000</v>
      </c>
      <c r="AF41" s="245">
        <f t="shared" si="5"/>
        <v>0</v>
      </c>
      <c r="AG41" s="83">
        <f t="shared" si="6"/>
        <v>0</v>
      </c>
      <c r="AH41" s="65">
        <f t="shared" si="7"/>
        <v>0</v>
      </c>
      <c r="AI41" s="65">
        <f t="shared" si="8"/>
        <v>53</v>
      </c>
      <c r="AJ41" s="245"/>
    </row>
    <row r="42" spans="1:37">
      <c r="A42" s="374" t="s">
        <v>512</v>
      </c>
      <c r="B42" s="374">
        <v>400</v>
      </c>
      <c r="C42" s="374" t="s">
        <v>90</v>
      </c>
      <c r="D42" s="374">
        <v>-2</v>
      </c>
      <c r="E42" s="374">
        <v>-10</v>
      </c>
      <c r="F42" s="374">
        <v>399.78199999999998</v>
      </c>
      <c r="G42" s="374">
        <v>20</v>
      </c>
      <c r="H42" s="374">
        <v>0.25</v>
      </c>
      <c r="I42" s="374">
        <v>10</v>
      </c>
      <c r="J42" s="374">
        <v>0</v>
      </c>
      <c r="K42" s="374">
        <v>0</v>
      </c>
      <c r="L42" s="374">
        <v>10</v>
      </c>
      <c r="M42" s="374">
        <v>0</v>
      </c>
      <c r="N42" s="374">
        <v>0</v>
      </c>
      <c r="O42" s="374">
        <v>10</v>
      </c>
      <c r="P42" s="374">
        <v>0</v>
      </c>
      <c r="Q42" s="374">
        <v>0</v>
      </c>
      <c r="R42" s="374">
        <v>0</v>
      </c>
      <c r="S42" s="374">
        <v>0</v>
      </c>
      <c r="T42" s="374">
        <v>0</v>
      </c>
      <c r="U42" s="374">
        <v>0</v>
      </c>
      <c r="V42" s="374">
        <v>5.0027264860232102E-5</v>
      </c>
      <c r="W42" s="374">
        <v>0.50027264859944132</v>
      </c>
      <c r="X42" s="83">
        <f t="shared" si="13"/>
        <v>0</v>
      </c>
      <c r="Y42" s="83">
        <f t="shared" si="14"/>
        <v>0</v>
      </c>
      <c r="Z42" t="str">
        <f t="shared" si="15"/>
        <v>coax zero400</v>
      </c>
      <c r="AA42" s="245">
        <v>1</v>
      </c>
      <c r="AB42" s="376">
        <f t="shared" si="2"/>
        <v>0</v>
      </c>
      <c r="AC42" s="337">
        <f t="shared" si="3"/>
        <v>0</v>
      </c>
      <c r="AD42" s="83">
        <f t="shared" si="4"/>
        <v>0</v>
      </c>
      <c r="AE42" s="245">
        <v>1000000</v>
      </c>
      <c r="AF42" s="245">
        <f t="shared" si="5"/>
        <v>0</v>
      </c>
      <c r="AG42" s="83">
        <f t="shared" si="6"/>
        <v>0</v>
      </c>
      <c r="AH42" s="65">
        <f t="shared" si="7"/>
        <v>0</v>
      </c>
      <c r="AI42" s="65">
        <f t="shared" si="8"/>
        <v>400</v>
      </c>
    </row>
    <row r="43" spans="1:37">
      <c r="A43" s="374" t="s">
        <v>512</v>
      </c>
      <c r="B43" s="374">
        <v>1000</v>
      </c>
      <c r="C43" s="374" t="s">
        <v>90</v>
      </c>
      <c r="D43" s="374">
        <v>-1</v>
      </c>
      <c r="E43" s="374">
        <v>-10</v>
      </c>
      <c r="F43" s="374">
        <v>1000.897</v>
      </c>
      <c r="G43" s="374">
        <v>20</v>
      </c>
      <c r="H43" s="374">
        <v>0.25</v>
      </c>
      <c r="I43" s="374">
        <v>10</v>
      </c>
      <c r="J43" s="374">
        <v>0</v>
      </c>
      <c r="K43" s="374">
        <v>0</v>
      </c>
      <c r="L43" s="374">
        <v>10</v>
      </c>
      <c r="M43" s="374">
        <v>0</v>
      </c>
      <c r="N43" s="374">
        <v>0</v>
      </c>
      <c r="O43" s="374">
        <v>10</v>
      </c>
      <c r="P43" s="374">
        <v>0</v>
      </c>
      <c r="Q43" s="374">
        <v>0</v>
      </c>
      <c r="R43" s="374">
        <v>0</v>
      </c>
      <c r="S43" s="374">
        <v>0</v>
      </c>
      <c r="T43" s="374">
        <v>0</v>
      </c>
      <c r="U43" s="374">
        <v>0</v>
      </c>
      <c r="V43" s="374">
        <v>1.998207607849906E-5</v>
      </c>
      <c r="W43" s="374">
        <v>0.19982076078498989</v>
      </c>
      <c r="X43" s="83">
        <f t="shared" si="13"/>
        <v>0</v>
      </c>
      <c r="Y43" s="83">
        <f t="shared" si="14"/>
        <v>0</v>
      </c>
      <c r="Z43" t="str">
        <f t="shared" si="15"/>
        <v>coax zero1000</v>
      </c>
      <c r="AA43" s="245">
        <v>1</v>
      </c>
      <c r="AB43" s="376">
        <f t="shared" si="2"/>
        <v>0</v>
      </c>
      <c r="AC43" s="337">
        <f t="shared" si="3"/>
        <v>0</v>
      </c>
      <c r="AD43" s="83">
        <f t="shared" si="4"/>
        <v>0</v>
      </c>
      <c r="AE43" s="245">
        <v>1000000</v>
      </c>
      <c r="AF43" s="245">
        <f t="shared" si="5"/>
        <v>0</v>
      </c>
      <c r="AG43" s="83">
        <f t="shared" si="6"/>
        <v>0</v>
      </c>
      <c r="AH43" s="65">
        <f t="shared" si="7"/>
        <v>0</v>
      </c>
      <c r="AI43" s="65">
        <f t="shared" si="8"/>
        <v>1000</v>
      </c>
    </row>
    <row r="44" spans="1:37">
      <c r="A44" s="374" t="s">
        <v>636</v>
      </c>
      <c r="B44" s="374">
        <v>53</v>
      </c>
      <c r="C44" s="374" t="s">
        <v>90</v>
      </c>
      <c r="D44" s="374">
        <v>-828</v>
      </c>
      <c r="E44" s="374">
        <v>10002996</v>
      </c>
      <c r="F44" s="374">
        <v>53.075800000000001</v>
      </c>
      <c r="G44" s="374">
        <v>20</v>
      </c>
      <c r="H44" s="374">
        <v>0.25</v>
      </c>
      <c r="I44" s="374">
        <v>10</v>
      </c>
      <c r="J44" s="374">
        <v>0</v>
      </c>
      <c r="K44" s="374">
        <v>0</v>
      </c>
      <c r="L44" s="374">
        <v>10</v>
      </c>
      <c r="M44" s="374">
        <v>0</v>
      </c>
      <c r="N44" s="374">
        <v>5.0000000000000004E-6</v>
      </c>
      <c r="O44" s="374">
        <v>10</v>
      </c>
      <c r="P44" s="374">
        <v>-8.3311936815635892E-3</v>
      </c>
      <c r="Q44" s="374">
        <v>5.1983605468323155E-4</v>
      </c>
      <c r="R44" s="374">
        <v>2.0465144928294028</v>
      </c>
      <c r="S44" s="374">
        <v>100030.8702312743</v>
      </c>
      <c r="T44" s="374">
        <v>4.9252524073377302</v>
      </c>
      <c r="U44" s="374">
        <v>2.0329856272737881</v>
      </c>
      <c r="V44" s="374">
        <v>3.8987068994079428E-4</v>
      </c>
      <c r="W44" s="374">
        <v>4.0200131477969343</v>
      </c>
      <c r="X44" s="83">
        <f t="shared" si="13"/>
        <v>1.3333550536003971</v>
      </c>
      <c r="Y44" s="83">
        <f t="shared" si="14"/>
        <v>1.2251831589249624</v>
      </c>
      <c r="Z44" t="str">
        <f t="shared" si="15"/>
        <v>100 k ohm53</v>
      </c>
      <c r="AA44" s="245">
        <v>1E-3</v>
      </c>
      <c r="AB44" s="376">
        <f t="shared" si="2"/>
        <v>100.03087023127429</v>
      </c>
      <c r="AC44" s="337">
        <f t="shared" si="3"/>
        <v>4.9252524073377301E-3</v>
      </c>
      <c r="AD44" s="83">
        <f t="shared" si="4"/>
        <v>2.0329856272737881</v>
      </c>
      <c r="AE44" s="245">
        <v>1000000</v>
      </c>
      <c r="AF44" s="245">
        <f t="shared" si="5"/>
        <v>-8331.1936815635891</v>
      </c>
      <c r="AG44" s="83">
        <f t="shared" si="6"/>
        <v>519.83605468323151</v>
      </c>
      <c r="AH44" s="65">
        <f t="shared" si="7"/>
        <v>2.0465144928294028</v>
      </c>
      <c r="AI44" s="65">
        <f t="shared" si="8"/>
        <v>53</v>
      </c>
      <c r="AJ44" s="245">
        <f>-AF44/AB44^2</f>
        <v>0.83260523448850277</v>
      </c>
      <c r="AK44" s="245">
        <f>--AG44/AB44^2</f>
        <v>5.1951525405406165E-2</v>
      </c>
    </row>
    <row r="45" spans="1:37">
      <c r="A45" s="374" t="s">
        <v>636</v>
      </c>
      <c r="B45" s="374">
        <v>400</v>
      </c>
      <c r="C45" s="374" t="s">
        <v>90</v>
      </c>
      <c r="D45" s="374">
        <v>-792</v>
      </c>
      <c r="E45" s="374">
        <v>10002957</v>
      </c>
      <c r="F45" s="374">
        <v>399.81200000000001</v>
      </c>
      <c r="G45" s="374">
        <v>20</v>
      </c>
      <c r="H45" s="374">
        <v>0.25</v>
      </c>
      <c r="I45" s="374">
        <v>10</v>
      </c>
      <c r="J45" s="374">
        <v>0</v>
      </c>
      <c r="K45" s="374">
        <v>0</v>
      </c>
      <c r="L45" s="374">
        <v>10</v>
      </c>
      <c r="M45" s="374">
        <v>0</v>
      </c>
      <c r="N45" s="374">
        <v>5.0000000000000004E-6</v>
      </c>
      <c r="O45" s="374">
        <v>10</v>
      </c>
      <c r="P45" s="374">
        <v>-7.9011320629474649E-3</v>
      </c>
      <c r="Q45" s="374">
        <v>3.840331301996045E-4</v>
      </c>
      <c r="R45" s="374">
        <v>2.1879374386675572</v>
      </c>
      <c r="S45" s="374">
        <v>100030.4802281154</v>
      </c>
      <c r="T45" s="374">
        <v>3.349576066417677</v>
      </c>
      <c r="U45" s="374">
        <v>2.1189061881574829</v>
      </c>
      <c r="V45" s="374">
        <v>1.118411414646074E-4</v>
      </c>
      <c r="W45" s="374">
        <v>1.4870867086464219</v>
      </c>
      <c r="X45" s="83">
        <f t="shared" si="13"/>
        <v>3.4337375778763253</v>
      </c>
      <c r="Y45" s="83">
        <f t="shared" si="14"/>
        <v>2.2524416679552819</v>
      </c>
      <c r="Z45" t="str">
        <f t="shared" si="15"/>
        <v>100 k ohm400</v>
      </c>
      <c r="AA45" s="245">
        <v>1E-3</v>
      </c>
      <c r="AB45" s="376">
        <f t="shared" si="2"/>
        <v>100.03048022811539</v>
      </c>
      <c r="AC45" s="337">
        <f t="shared" si="3"/>
        <v>3.3495760664176773E-3</v>
      </c>
      <c r="AD45" s="83">
        <f t="shared" si="4"/>
        <v>2.1189061881574829</v>
      </c>
      <c r="AE45" s="245">
        <v>1000000</v>
      </c>
      <c r="AF45" s="245">
        <f t="shared" si="5"/>
        <v>-7901.1320629474649</v>
      </c>
      <c r="AG45" s="83">
        <f t="shared" si="6"/>
        <v>384.0331301996045</v>
      </c>
      <c r="AH45" s="65">
        <f t="shared" si="7"/>
        <v>2.1879374386675572</v>
      </c>
      <c r="AI45" s="65">
        <f t="shared" si="8"/>
        <v>400</v>
      </c>
      <c r="AJ45" s="245">
        <f t="shared" ref="AJ45:AJ46" si="20">-AF45/AB45^2</f>
        <v>0.78963176980504013</v>
      </c>
      <c r="AK45" s="245">
        <f t="shared" ref="AK45:AK46" si="21">--AG45/AB45^2</f>
        <v>3.8379912884301245E-2</v>
      </c>
    </row>
    <row r="46" spans="1:37">
      <c r="A46" s="374" t="s">
        <v>636</v>
      </c>
      <c r="B46" s="374">
        <v>1000</v>
      </c>
      <c r="C46" s="374" t="s">
        <v>90</v>
      </c>
      <c r="D46" s="374">
        <v>-784</v>
      </c>
      <c r="E46" s="374">
        <v>10002857</v>
      </c>
      <c r="F46" s="374">
        <v>1000.9450000000001</v>
      </c>
      <c r="G46" s="374">
        <v>20</v>
      </c>
      <c r="H46" s="374">
        <v>0.25</v>
      </c>
      <c r="I46" s="374">
        <v>10</v>
      </c>
      <c r="J46" s="374">
        <v>0</v>
      </c>
      <c r="K46" s="374">
        <v>0</v>
      </c>
      <c r="L46" s="374">
        <v>10</v>
      </c>
      <c r="M46" s="374">
        <v>0</v>
      </c>
      <c r="N46" s="374">
        <v>5.0000000000000004E-6</v>
      </c>
      <c r="O46" s="374">
        <v>10</v>
      </c>
      <c r="P46" s="374">
        <v>-7.8311220320099548E-3</v>
      </c>
      <c r="Q46" s="374">
        <v>3.7917926020147549E-4</v>
      </c>
      <c r="R46" s="374">
        <v>2.213291008593075</v>
      </c>
      <c r="S46" s="374">
        <v>100029.4802200155</v>
      </c>
      <c r="T46" s="374">
        <v>3.2828332262179831</v>
      </c>
      <c r="U46" s="374">
        <v>2.140031471106187</v>
      </c>
      <c r="V46" s="374">
        <v>1.020055588094604E-4</v>
      </c>
      <c r="W46" s="374">
        <v>1.41459428658532</v>
      </c>
      <c r="X46" s="83">
        <f t="shared" si="13"/>
        <v>3.717241144766994</v>
      </c>
      <c r="Y46" s="83">
        <f t="shared" si="14"/>
        <v>2.3206888769092888</v>
      </c>
      <c r="Z46" t="str">
        <f t="shared" si="15"/>
        <v>100 k ohm1000</v>
      </c>
      <c r="AA46" s="245">
        <v>1E-3</v>
      </c>
      <c r="AB46" s="376">
        <f t="shared" si="2"/>
        <v>100.0294802200155</v>
      </c>
      <c r="AC46" s="337">
        <f t="shared" si="3"/>
        <v>3.2828332262179833E-3</v>
      </c>
      <c r="AD46" s="83">
        <f t="shared" si="4"/>
        <v>2.140031471106187</v>
      </c>
      <c r="AE46" s="245">
        <v>1000000</v>
      </c>
      <c r="AF46" s="245">
        <f t="shared" si="5"/>
        <v>-7831.1220320099546</v>
      </c>
      <c r="AG46" s="83">
        <f t="shared" si="6"/>
        <v>379.17926020147547</v>
      </c>
      <c r="AH46" s="65">
        <f t="shared" si="7"/>
        <v>2.213291008593075</v>
      </c>
      <c r="AI46" s="65">
        <f t="shared" si="8"/>
        <v>1000</v>
      </c>
      <c r="AJ46" s="245">
        <f t="shared" si="20"/>
        <v>0.78265068089676382</v>
      </c>
      <c r="AK46" s="245">
        <f t="shared" si="21"/>
        <v>3.7895579326382628E-2</v>
      </c>
    </row>
    <row r="47" spans="1:37">
      <c r="A47" s="374" t="s">
        <v>512</v>
      </c>
      <c r="B47" s="374">
        <v>1600</v>
      </c>
      <c r="C47" s="374" t="s">
        <v>88</v>
      </c>
      <c r="D47" s="374">
        <v>-1</v>
      </c>
      <c r="E47" s="374">
        <v>-9</v>
      </c>
      <c r="F47" s="374">
        <v>1600.1</v>
      </c>
      <c r="G47" s="374">
        <v>20</v>
      </c>
      <c r="H47" s="374">
        <v>0.25</v>
      </c>
      <c r="I47" s="374">
        <v>10</v>
      </c>
      <c r="J47" s="374">
        <v>0</v>
      </c>
      <c r="K47" s="374">
        <v>0</v>
      </c>
      <c r="L47" s="374">
        <v>10</v>
      </c>
      <c r="M47" s="374">
        <v>0</v>
      </c>
      <c r="N47" s="374">
        <v>0</v>
      </c>
      <c r="O47" s="374">
        <v>10</v>
      </c>
      <c r="P47" s="374">
        <v>0</v>
      </c>
      <c r="Q47" s="374">
        <v>0</v>
      </c>
      <c r="R47" s="374">
        <v>0</v>
      </c>
      <c r="S47" s="374">
        <v>0</v>
      </c>
      <c r="T47" s="374">
        <v>0</v>
      </c>
      <c r="U47" s="374">
        <v>0</v>
      </c>
      <c r="V47" s="374">
        <v>1.2499218799933511E-7</v>
      </c>
      <c r="W47" s="374">
        <v>1.249921879986043E-3</v>
      </c>
      <c r="X47" s="83">
        <f t="shared" si="13"/>
        <v>0</v>
      </c>
      <c r="Y47" s="83">
        <f t="shared" si="14"/>
        <v>0</v>
      </c>
      <c r="Z47" t="str">
        <f t="shared" si="15"/>
        <v>coax zero1600</v>
      </c>
      <c r="AA47" s="245">
        <v>1</v>
      </c>
      <c r="AB47" s="376">
        <f t="shared" si="2"/>
        <v>0</v>
      </c>
      <c r="AC47" s="337">
        <f t="shared" si="3"/>
        <v>0</v>
      </c>
      <c r="AD47" s="83">
        <f t="shared" si="4"/>
        <v>0</v>
      </c>
      <c r="AE47" s="245">
        <v>1000000</v>
      </c>
      <c r="AF47" s="245">
        <f t="shared" si="5"/>
        <v>0</v>
      </c>
      <c r="AG47" s="83">
        <f t="shared" si="6"/>
        <v>0</v>
      </c>
      <c r="AH47" s="65">
        <f t="shared" si="7"/>
        <v>0</v>
      </c>
      <c r="AI47" s="65">
        <f t="shared" si="8"/>
        <v>1600</v>
      </c>
    </row>
    <row r="48" spans="1:37">
      <c r="A48" s="374" t="s">
        <v>637</v>
      </c>
      <c r="B48" s="374">
        <v>1600</v>
      </c>
      <c r="C48" s="374" t="s">
        <v>88</v>
      </c>
      <c r="D48" s="374">
        <v>1000</v>
      </c>
      <c r="E48" s="374">
        <v>6324591</v>
      </c>
      <c r="F48" s="374">
        <v>1600.08</v>
      </c>
      <c r="G48" s="374">
        <v>20</v>
      </c>
      <c r="H48" s="374">
        <v>0.25</v>
      </c>
      <c r="I48" s="374">
        <v>10</v>
      </c>
      <c r="J48" s="374">
        <v>3.1500000000000001E-4</v>
      </c>
      <c r="K48" s="374">
        <v>3.15E-5</v>
      </c>
      <c r="L48" s="374">
        <v>10</v>
      </c>
      <c r="M48" s="374">
        <v>0</v>
      </c>
      <c r="N48" s="374">
        <v>5.0000000000000004E-6</v>
      </c>
      <c r="O48" s="374">
        <v>10</v>
      </c>
      <c r="P48" s="374">
        <v>1.001206114506054E-4</v>
      </c>
      <c r="Q48" s="374">
        <v>2.4069304832975711E-6</v>
      </c>
      <c r="R48" s="374">
        <v>2.2047268281331718</v>
      </c>
      <c r="S48" s="374">
        <v>632.5047154940986</v>
      </c>
      <c r="T48" s="374">
        <v>2.0885643612010601E-2</v>
      </c>
      <c r="U48" s="374">
        <v>2.1328648615221359</v>
      </c>
      <c r="V48" s="374">
        <v>6.447375240813301E-7</v>
      </c>
      <c r="W48" s="374">
        <v>8.9428415396666499E-3</v>
      </c>
      <c r="X48" s="83">
        <f t="shared" si="13"/>
        <v>3.733194351805635</v>
      </c>
      <c r="Y48" s="83">
        <f t="shared" si="14"/>
        <v>2.3354594308051584</v>
      </c>
      <c r="Z48" t="str">
        <f t="shared" si="15"/>
        <v>100 micro1600</v>
      </c>
      <c r="AA48" s="245">
        <v>1</v>
      </c>
      <c r="AB48" s="376">
        <f t="shared" si="2"/>
        <v>632.5047154940986</v>
      </c>
      <c r="AC48" s="337">
        <f t="shared" si="3"/>
        <v>2.0885643612010601E-2</v>
      </c>
      <c r="AD48" s="83">
        <f t="shared" si="4"/>
        <v>2.1328648615221359</v>
      </c>
      <c r="AE48" s="245">
        <v>1000000</v>
      </c>
      <c r="AF48" s="245">
        <f t="shared" si="5"/>
        <v>100.1206114506054</v>
      </c>
      <c r="AG48" s="83">
        <f t="shared" si="6"/>
        <v>2.4069304832975709</v>
      </c>
      <c r="AH48" s="65">
        <f t="shared" si="7"/>
        <v>2.2047268281331718</v>
      </c>
      <c r="AI48" s="65">
        <f t="shared" si="8"/>
        <v>1600</v>
      </c>
    </row>
    <row r="49" spans="1:35">
      <c r="A49" s="374" t="s">
        <v>512</v>
      </c>
      <c r="B49" s="374">
        <v>1600</v>
      </c>
      <c r="C49" s="374" t="s">
        <v>89</v>
      </c>
      <c r="D49" s="374">
        <v>0</v>
      </c>
      <c r="E49" s="374">
        <v>-22</v>
      </c>
      <c r="F49" s="374">
        <v>1600</v>
      </c>
      <c r="G49" s="374">
        <v>20</v>
      </c>
      <c r="H49" s="374">
        <v>0.25</v>
      </c>
      <c r="I49" s="374">
        <v>10</v>
      </c>
      <c r="J49" s="374">
        <v>0</v>
      </c>
      <c r="K49" s="374">
        <v>0</v>
      </c>
      <c r="L49" s="374">
        <v>10</v>
      </c>
      <c r="M49" s="374">
        <v>0</v>
      </c>
      <c r="N49" s="374">
        <v>0</v>
      </c>
      <c r="O49" s="374">
        <v>10</v>
      </c>
      <c r="P49" s="374">
        <v>0</v>
      </c>
      <c r="Q49" s="374">
        <v>0</v>
      </c>
      <c r="R49" s="374">
        <v>0</v>
      </c>
      <c r="S49" s="374">
        <v>0</v>
      </c>
      <c r="T49" s="374">
        <v>0</v>
      </c>
      <c r="U49" s="374">
        <v>0</v>
      </c>
      <c r="V49" s="374">
        <v>1.250000000193627E-6</v>
      </c>
      <c r="W49" s="374">
        <v>1.25000000037951E-2</v>
      </c>
      <c r="X49" s="83">
        <f t="shared" si="13"/>
        <v>0</v>
      </c>
      <c r="Y49" s="83">
        <f t="shared" si="14"/>
        <v>0</v>
      </c>
      <c r="Z49" t="str">
        <f t="shared" si="15"/>
        <v>coax zero1600</v>
      </c>
      <c r="AA49" s="245">
        <v>1</v>
      </c>
      <c r="AB49" s="376">
        <f t="shared" si="2"/>
        <v>0</v>
      </c>
      <c r="AC49" s="337">
        <f t="shared" si="3"/>
        <v>0</v>
      </c>
      <c r="AD49" s="83">
        <f t="shared" si="4"/>
        <v>0</v>
      </c>
      <c r="AE49" s="245">
        <v>1000000</v>
      </c>
      <c r="AF49" s="245">
        <f t="shared" si="5"/>
        <v>0</v>
      </c>
      <c r="AG49" s="83">
        <f t="shared" si="6"/>
        <v>0</v>
      </c>
      <c r="AH49" s="65">
        <f t="shared" si="7"/>
        <v>0</v>
      </c>
      <c r="AI49" s="65">
        <f t="shared" si="8"/>
        <v>1600</v>
      </c>
    </row>
    <row r="50" spans="1:35">
      <c r="A50" s="374" t="s">
        <v>638</v>
      </c>
      <c r="B50" s="374">
        <v>1600</v>
      </c>
      <c r="C50" s="374" t="s">
        <v>89</v>
      </c>
      <c r="D50" s="374">
        <v>99864</v>
      </c>
      <c r="E50" s="374">
        <v>2000407</v>
      </c>
      <c r="F50" s="374">
        <v>1600.05</v>
      </c>
      <c r="G50" s="374">
        <v>20</v>
      </c>
      <c r="H50" s="374">
        <v>0.25</v>
      </c>
      <c r="I50" s="374">
        <v>10</v>
      </c>
      <c r="J50" s="374">
        <v>3.1500000000000001E-4</v>
      </c>
      <c r="K50" s="374">
        <v>3.15E-5</v>
      </c>
      <c r="L50" s="374">
        <v>10</v>
      </c>
      <c r="M50" s="374">
        <v>0</v>
      </c>
      <c r="N50" s="374">
        <v>5.0000000000000004E-6</v>
      </c>
      <c r="O50" s="374">
        <v>10</v>
      </c>
      <c r="P50" s="374">
        <v>9.9884562856176404E-2</v>
      </c>
      <c r="Q50" s="374">
        <v>3.8312341442776927E-5</v>
      </c>
      <c r="R50" s="374">
        <v>2.1127724230093929</v>
      </c>
      <c r="S50" s="374">
        <v>2000.5704321398091</v>
      </c>
      <c r="T50" s="374">
        <v>8.300474007012075E-2</v>
      </c>
      <c r="U50" s="374">
        <v>2.026108743499266</v>
      </c>
      <c r="V50" s="374">
        <v>2.7422753047874541E-6</v>
      </c>
      <c r="W50" s="374">
        <v>3.2255844777849443E-2</v>
      </c>
      <c r="X50" s="83">
        <f t="shared" si="13"/>
        <v>13.971004798785659</v>
      </c>
      <c r="Y50" s="83">
        <f t="shared" si="14"/>
        <v>2.5733240174543903</v>
      </c>
      <c r="Z50" t="str">
        <f t="shared" si="15"/>
        <v>100 milli1600</v>
      </c>
      <c r="AA50" s="245">
        <v>1</v>
      </c>
      <c r="AB50" s="376">
        <f t="shared" si="2"/>
        <v>2000.5704321398091</v>
      </c>
      <c r="AC50" s="337">
        <f t="shared" si="3"/>
        <v>8.300474007012075E-2</v>
      </c>
      <c r="AD50" s="83">
        <f t="shared" si="4"/>
        <v>2.026108743499266</v>
      </c>
      <c r="AE50" s="245">
        <v>1000000</v>
      </c>
      <c r="AF50" s="245">
        <f t="shared" si="5"/>
        <v>99884.562856176402</v>
      </c>
      <c r="AG50" s="83">
        <f t="shared" si="6"/>
        <v>38.312341442776926</v>
      </c>
      <c r="AH50" s="65">
        <f t="shared" si="7"/>
        <v>2.1127724230093929</v>
      </c>
      <c r="AI50" s="65">
        <f t="shared" si="8"/>
        <v>1600</v>
      </c>
    </row>
    <row r="51" spans="1:35">
      <c r="A51" s="374" t="s">
        <v>512</v>
      </c>
      <c r="B51" s="374">
        <v>53</v>
      </c>
      <c r="C51" s="374" t="s">
        <v>43</v>
      </c>
      <c r="D51" s="374">
        <v>29</v>
      </c>
      <c r="E51" s="374">
        <v>12</v>
      </c>
      <c r="F51" s="374">
        <v>53.103099999999998</v>
      </c>
      <c r="G51" s="374">
        <v>20</v>
      </c>
      <c r="H51" s="374">
        <v>0.25</v>
      </c>
      <c r="I51" s="374">
        <v>10</v>
      </c>
      <c r="J51" s="374">
        <v>0</v>
      </c>
      <c r="K51" s="374">
        <v>0</v>
      </c>
      <c r="L51" s="374">
        <v>10</v>
      </c>
      <c r="M51" s="374">
        <v>0</v>
      </c>
      <c r="N51" s="374">
        <v>0</v>
      </c>
      <c r="O51" s="374">
        <v>10</v>
      </c>
      <c r="P51" s="374">
        <v>0</v>
      </c>
      <c r="Q51" s="374">
        <v>0</v>
      </c>
      <c r="R51" s="374">
        <v>0</v>
      </c>
      <c r="S51" s="374">
        <v>0</v>
      </c>
      <c r="T51" s="374">
        <v>0</v>
      </c>
      <c r="U51" s="374">
        <v>0</v>
      </c>
      <c r="V51" s="374">
        <v>3.7663222710324016E-15</v>
      </c>
      <c r="W51" s="374">
        <v>9.0113413731405128E-14</v>
      </c>
      <c r="X51" s="83">
        <f t="shared" si="13"/>
        <v>0</v>
      </c>
      <c r="Y51" s="83">
        <f t="shared" si="14"/>
        <v>0</v>
      </c>
      <c r="Z51" t="str">
        <f t="shared" si="15"/>
        <v>coax zero53</v>
      </c>
      <c r="AA51" s="245">
        <v>1</v>
      </c>
      <c r="AB51" s="376">
        <f t="shared" si="2"/>
        <v>0</v>
      </c>
      <c r="AC51" s="337">
        <f t="shared" si="3"/>
        <v>0</v>
      </c>
      <c r="AD51" s="83">
        <f t="shared" si="4"/>
        <v>0</v>
      </c>
      <c r="AE51" s="245">
        <v>1000000</v>
      </c>
      <c r="AF51" s="245">
        <f t="shared" si="5"/>
        <v>0</v>
      </c>
      <c r="AG51" s="83">
        <f t="shared" si="6"/>
        <v>0</v>
      </c>
      <c r="AH51" s="65">
        <f t="shared" si="7"/>
        <v>0</v>
      </c>
      <c r="AI51" s="65">
        <f t="shared" si="8"/>
        <v>53</v>
      </c>
    </row>
    <row r="52" spans="1:35">
      <c r="A52" s="374" t="s">
        <v>512</v>
      </c>
      <c r="B52" s="374">
        <v>400</v>
      </c>
      <c r="C52" s="374" t="s">
        <v>43</v>
      </c>
      <c r="D52" s="374">
        <v>6</v>
      </c>
      <c r="E52" s="374">
        <v>17</v>
      </c>
      <c r="F52" s="374">
        <v>400.108</v>
      </c>
      <c r="G52" s="374">
        <v>20</v>
      </c>
      <c r="H52" s="374">
        <v>0.25</v>
      </c>
      <c r="I52" s="374">
        <v>10</v>
      </c>
      <c r="J52" s="374">
        <v>0</v>
      </c>
      <c r="K52" s="374">
        <v>0</v>
      </c>
      <c r="L52" s="374">
        <v>10</v>
      </c>
      <c r="M52" s="374">
        <v>0</v>
      </c>
      <c r="N52" s="374">
        <v>0</v>
      </c>
      <c r="O52" s="374">
        <v>10</v>
      </c>
      <c r="P52" s="374">
        <v>0</v>
      </c>
      <c r="Q52" s="374">
        <v>0</v>
      </c>
      <c r="R52" s="374">
        <v>0</v>
      </c>
      <c r="S52" s="374">
        <v>0</v>
      </c>
      <c r="T52" s="374">
        <v>0</v>
      </c>
      <c r="U52" s="374">
        <v>0</v>
      </c>
      <c r="V52" s="374">
        <v>4.9987823727035142E-16</v>
      </c>
      <c r="W52" s="374">
        <v>6.7880795945419471E-13</v>
      </c>
      <c r="X52" s="83">
        <f t="shared" si="13"/>
        <v>0</v>
      </c>
      <c r="Y52" s="83">
        <f t="shared" si="14"/>
        <v>0</v>
      </c>
      <c r="Z52" t="str">
        <f t="shared" si="15"/>
        <v>coax zero400</v>
      </c>
      <c r="AA52" s="245">
        <v>1</v>
      </c>
      <c r="AB52" s="376">
        <f t="shared" si="2"/>
        <v>0</v>
      </c>
      <c r="AC52" s="337">
        <f t="shared" si="3"/>
        <v>0</v>
      </c>
      <c r="AD52" s="83">
        <f t="shared" si="4"/>
        <v>0</v>
      </c>
      <c r="AE52" s="245">
        <v>1000000</v>
      </c>
      <c r="AF52" s="245">
        <f t="shared" si="5"/>
        <v>0</v>
      </c>
      <c r="AG52" s="83">
        <f t="shared" si="6"/>
        <v>0</v>
      </c>
      <c r="AH52" s="65">
        <f t="shared" si="7"/>
        <v>0</v>
      </c>
      <c r="AI52" s="65">
        <f t="shared" si="8"/>
        <v>400</v>
      </c>
    </row>
    <row r="53" spans="1:35">
      <c r="A53" s="374" t="s">
        <v>512</v>
      </c>
      <c r="B53" s="374">
        <v>1000</v>
      </c>
      <c r="C53" s="374" t="s">
        <v>43</v>
      </c>
      <c r="D53" s="374">
        <v>6</v>
      </c>
      <c r="E53" s="374">
        <v>17</v>
      </c>
      <c r="F53" s="374">
        <v>1000</v>
      </c>
      <c r="G53" s="374">
        <v>20</v>
      </c>
      <c r="H53" s="374">
        <v>0.25</v>
      </c>
      <c r="I53" s="374">
        <v>10</v>
      </c>
      <c r="J53" s="374">
        <v>0</v>
      </c>
      <c r="K53" s="374">
        <v>0</v>
      </c>
      <c r="L53" s="374">
        <v>10</v>
      </c>
      <c r="M53" s="374">
        <v>0</v>
      </c>
      <c r="N53" s="374">
        <v>0</v>
      </c>
      <c r="O53" s="374">
        <v>10</v>
      </c>
      <c r="P53" s="374">
        <v>0</v>
      </c>
      <c r="Q53" s="374">
        <v>0</v>
      </c>
      <c r="R53" s="374">
        <v>0</v>
      </c>
      <c r="S53" s="374">
        <v>0</v>
      </c>
      <c r="T53" s="374">
        <v>0</v>
      </c>
      <c r="U53" s="374">
        <v>0</v>
      </c>
      <c r="V53" s="374">
        <v>2.000132008301902E-16</v>
      </c>
      <c r="W53" s="374">
        <v>1.696561826942212E-12</v>
      </c>
      <c r="X53" s="83">
        <f t="shared" si="13"/>
        <v>0</v>
      </c>
      <c r="Y53" s="83">
        <f t="shared" si="14"/>
        <v>0</v>
      </c>
      <c r="Z53" t="str">
        <f t="shared" si="15"/>
        <v>coax zero1000</v>
      </c>
      <c r="AA53" s="245">
        <v>1</v>
      </c>
      <c r="AB53" s="376">
        <f t="shared" si="2"/>
        <v>0</v>
      </c>
      <c r="AC53" s="337">
        <f t="shared" si="3"/>
        <v>0</v>
      </c>
      <c r="AD53" s="83">
        <f t="shared" si="4"/>
        <v>0</v>
      </c>
      <c r="AE53" s="245">
        <v>1000000</v>
      </c>
      <c r="AF53" s="245">
        <f t="shared" si="5"/>
        <v>0</v>
      </c>
      <c r="AG53" s="83">
        <f t="shared" si="6"/>
        <v>0</v>
      </c>
      <c r="AH53" s="65">
        <f t="shared" si="7"/>
        <v>0</v>
      </c>
      <c r="AI53" s="65">
        <f t="shared" si="8"/>
        <v>1000</v>
      </c>
    </row>
    <row r="54" spans="1:35">
      <c r="A54" s="374" t="s">
        <v>639</v>
      </c>
      <c r="B54" s="374">
        <v>53</v>
      </c>
      <c r="C54" s="374" t="s">
        <v>43</v>
      </c>
      <c r="D54" s="374">
        <v>21</v>
      </c>
      <c r="E54" s="374">
        <v>8</v>
      </c>
      <c r="F54" s="374">
        <v>53.113199999999999</v>
      </c>
      <c r="G54" s="374">
        <v>20</v>
      </c>
      <c r="H54" s="374">
        <v>0.25</v>
      </c>
      <c r="I54" s="374">
        <v>10</v>
      </c>
      <c r="J54" s="374">
        <v>0</v>
      </c>
      <c r="K54" s="374">
        <v>0</v>
      </c>
      <c r="L54" s="374">
        <v>10</v>
      </c>
      <c r="M54" s="374">
        <v>0</v>
      </c>
      <c r="N54" s="374">
        <v>0</v>
      </c>
      <c r="O54" s="374">
        <v>10</v>
      </c>
      <c r="P54" s="374">
        <v>-8.0005031455873763E-16</v>
      </c>
      <c r="Q54" s="374">
        <v>3.9479818130365563E-15</v>
      </c>
      <c r="R54" s="374">
        <v>2.0844813731878782</v>
      </c>
      <c r="S54" s="374">
        <v>-3.9997108193533068E-13</v>
      </c>
      <c r="T54" s="374">
        <v>3.9474481253514853E-11</v>
      </c>
      <c r="U54" s="374">
        <v>2.0844813731992442</v>
      </c>
      <c r="V54" s="374">
        <v>3.7655884786487957E-15</v>
      </c>
      <c r="W54" s="374">
        <v>9.0123344139943624E-14</v>
      </c>
      <c r="X54" s="83">
        <f t="shared" si="13"/>
        <v>1.0484368739234109</v>
      </c>
      <c r="Y54" s="83">
        <f t="shared" si="14"/>
        <v>438.00506550465809</v>
      </c>
      <c r="Z54" t="str">
        <f t="shared" si="15"/>
        <v>Open53</v>
      </c>
      <c r="AA54" s="245">
        <v>1000000000</v>
      </c>
      <c r="AB54" s="376">
        <f t="shared" si="2"/>
        <v>-3.999710819353307E-4</v>
      </c>
      <c r="AC54" s="337">
        <f t="shared" si="3"/>
        <v>3.9474481253514854E-2</v>
      </c>
      <c r="AD54" s="83">
        <f t="shared" si="4"/>
        <v>2.0844813731992442</v>
      </c>
      <c r="AE54" s="245">
        <v>1000000000000</v>
      </c>
      <c r="AF54" s="245">
        <f t="shared" si="5"/>
        <v>-8.0005031455873763E-4</v>
      </c>
      <c r="AG54" s="83">
        <f t="shared" si="6"/>
        <v>3.9479818130365562E-3</v>
      </c>
      <c r="AH54" s="65">
        <f t="shared" si="7"/>
        <v>2.0844813731878782</v>
      </c>
      <c r="AI54" s="65">
        <f t="shared" si="8"/>
        <v>53</v>
      </c>
    </row>
    <row r="55" spans="1:35">
      <c r="A55" s="374" t="s">
        <v>639</v>
      </c>
      <c r="B55" s="374">
        <v>400</v>
      </c>
      <c r="C55" s="374" t="s">
        <v>43</v>
      </c>
      <c r="D55" s="374">
        <v>6</v>
      </c>
      <c r="E55" s="374">
        <v>17</v>
      </c>
      <c r="F55" s="374">
        <v>400.08100000000002</v>
      </c>
      <c r="G55" s="374">
        <v>20</v>
      </c>
      <c r="H55" s="374">
        <v>0.25</v>
      </c>
      <c r="I55" s="374">
        <v>10</v>
      </c>
      <c r="J55" s="374">
        <v>0</v>
      </c>
      <c r="K55" s="374">
        <v>0</v>
      </c>
      <c r="L55" s="374">
        <v>10</v>
      </c>
      <c r="M55" s="374">
        <v>0</v>
      </c>
      <c r="N55" s="374">
        <v>0</v>
      </c>
      <c r="O55" s="374">
        <v>10</v>
      </c>
      <c r="P55" s="374">
        <v>9.8607613152626476E-32</v>
      </c>
      <c r="Q55" s="374">
        <v>9.6653091423885827E-16</v>
      </c>
      <c r="R55" s="374">
        <v>2.064012940498773</v>
      </c>
      <c r="S55" s="374">
        <v>0</v>
      </c>
      <c r="T55" s="374">
        <v>9.6640025872692468E-12</v>
      </c>
      <c r="U55" s="374">
        <v>2.064012940498773</v>
      </c>
      <c r="V55" s="374">
        <v>4.9991197132916427E-16</v>
      </c>
      <c r="W55" s="374">
        <v>6.7876215228486728E-13</v>
      </c>
      <c r="X55" s="83">
        <f t="shared" si="13"/>
        <v>1.9334022181326227</v>
      </c>
      <c r="Y55" s="83">
        <f t="shared" si="14"/>
        <v>14.23768628633465</v>
      </c>
      <c r="Z55" t="str">
        <f t="shared" si="15"/>
        <v>Open400</v>
      </c>
      <c r="AA55" s="245">
        <v>1000000000</v>
      </c>
      <c r="AB55" s="376">
        <f t="shared" si="2"/>
        <v>0</v>
      </c>
      <c r="AC55" s="337">
        <f t="shared" si="3"/>
        <v>9.6640025872692468E-3</v>
      </c>
      <c r="AD55" s="83">
        <f t="shared" si="4"/>
        <v>2.064012940498773</v>
      </c>
      <c r="AE55" s="245">
        <v>1000000000000</v>
      </c>
      <c r="AF55" s="245">
        <f t="shared" si="5"/>
        <v>9.8607613152626476E-20</v>
      </c>
      <c r="AG55" s="83">
        <f t="shared" si="6"/>
        <v>9.6653091423885829E-4</v>
      </c>
      <c r="AH55" s="65">
        <f t="shared" si="7"/>
        <v>2.064012940498773</v>
      </c>
      <c r="AI55" s="65">
        <f t="shared" si="8"/>
        <v>400</v>
      </c>
    </row>
    <row r="56" spans="1:35">
      <c r="A56" s="374" t="s">
        <v>639</v>
      </c>
      <c r="B56" s="374">
        <v>1000</v>
      </c>
      <c r="C56" s="374" t="s">
        <v>43</v>
      </c>
      <c r="D56" s="374">
        <v>6</v>
      </c>
      <c r="E56" s="374">
        <v>20</v>
      </c>
      <c r="F56" s="374">
        <v>1000.178</v>
      </c>
      <c r="G56" s="374">
        <v>20</v>
      </c>
      <c r="H56" s="374">
        <v>0.25</v>
      </c>
      <c r="I56" s="374">
        <v>10</v>
      </c>
      <c r="J56" s="374">
        <v>0</v>
      </c>
      <c r="K56" s="374">
        <v>0</v>
      </c>
      <c r="L56" s="374">
        <v>10</v>
      </c>
      <c r="M56" s="374">
        <v>0</v>
      </c>
      <c r="N56" s="374">
        <v>0</v>
      </c>
      <c r="O56" s="374">
        <v>10</v>
      </c>
      <c r="P56" s="374">
        <v>0</v>
      </c>
      <c r="Q56" s="374">
        <v>5.5280601441104249E-16</v>
      </c>
      <c r="R56" s="374">
        <v>2.0343771526758858</v>
      </c>
      <c r="S56" s="374">
        <v>2.9997831145149822E-13</v>
      </c>
      <c r="T56" s="374">
        <v>5.5273128617222049E-12</v>
      </c>
      <c r="U56" s="374">
        <v>2.0343771526760048</v>
      </c>
      <c r="V56" s="374">
        <v>1.9997760716586249E-16</v>
      </c>
      <c r="W56" s="374">
        <v>1.696863814947408E-12</v>
      </c>
      <c r="X56" s="83">
        <f t="shared" si="13"/>
        <v>2.7643395790436789</v>
      </c>
      <c r="Y56" s="83">
        <f t="shared" si="14"/>
        <v>3.2573697506146164</v>
      </c>
      <c r="Z56" t="str">
        <f t="shared" si="15"/>
        <v>Open1000</v>
      </c>
      <c r="AA56" s="245">
        <v>1000000000</v>
      </c>
      <c r="AB56" s="376">
        <f t="shared" si="2"/>
        <v>2.9997831145149822E-4</v>
      </c>
      <c r="AC56" s="337">
        <f t="shared" si="3"/>
        <v>5.5273128617222052E-3</v>
      </c>
      <c r="AD56" s="83">
        <f t="shared" si="4"/>
        <v>2.0343771526760048</v>
      </c>
      <c r="AE56" s="245">
        <v>1000000000000</v>
      </c>
      <c r="AF56" s="245">
        <f t="shared" si="5"/>
        <v>0</v>
      </c>
      <c r="AG56" s="83">
        <f t="shared" si="6"/>
        <v>5.5280601441104254E-4</v>
      </c>
      <c r="AH56" s="65">
        <f t="shared" si="7"/>
        <v>2.0343771526758858</v>
      </c>
      <c r="AI56" s="65">
        <f t="shared" si="8"/>
        <v>1000</v>
      </c>
    </row>
    <row r="59" spans="1:35">
      <c r="A59" t="s">
        <v>628</v>
      </c>
      <c r="B59">
        <v>53</v>
      </c>
      <c r="C59" t="s">
        <v>85</v>
      </c>
      <c r="D59">
        <v>100</v>
      </c>
      <c r="E59">
        <v>38510</v>
      </c>
      <c r="F59">
        <v>53.098700000000001</v>
      </c>
      <c r="G59">
        <v>20</v>
      </c>
      <c r="H59">
        <v>0.25</v>
      </c>
      <c r="I59">
        <v>10</v>
      </c>
      <c r="J59">
        <v>0</v>
      </c>
      <c r="K59">
        <v>0</v>
      </c>
      <c r="L59">
        <v>10</v>
      </c>
      <c r="M59">
        <v>0</v>
      </c>
      <c r="N59">
        <v>0</v>
      </c>
      <c r="O59">
        <v>10</v>
      </c>
      <c r="P59">
        <v>5.0010295429872826E-9</v>
      </c>
      <c r="Q59">
        <v>3.9490636269477253E-9</v>
      </c>
      <c r="R59">
        <v>2.0844786213347528</v>
      </c>
      <c r="S59">
        <v>3.851272269183463E-3</v>
      </c>
      <c r="T59">
        <v>3.9485259288401289E-5</v>
      </c>
      <c r="U59">
        <v>2.084479313766924</v>
      </c>
      <c r="V59">
        <v>3.7665725278830616E-9</v>
      </c>
      <c r="W59">
        <v>3.7665744167884988E-5</v>
      </c>
    </row>
    <row r="60" spans="1:35">
      <c r="A60" t="s">
        <v>628</v>
      </c>
      <c r="B60">
        <v>400</v>
      </c>
      <c r="C60" t="s">
        <v>85</v>
      </c>
      <c r="D60">
        <v>66</v>
      </c>
      <c r="E60">
        <v>38573</v>
      </c>
      <c r="F60">
        <v>400.02800000000002</v>
      </c>
      <c r="G60">
        <v>20</v>
      </c>
      <c r="H60">
        <v>0.25</v>
      </c>
      <c r="I60">
        <v>10</v>
      </c>
      <c r="J60">
        <v>0</v>
      </c>
      <c r="K60">
        <v>0</v>
      </c>
      <c r="L60">
        <v>10</v>
      </c>
      <c r="M60">
        <v>0</v>
      </c>
      <c r="N60">
        <v>0</v>
      </c>
      <c r="O60">
        <v>10</v>
      </c>
      <c r="P60">
        <v>7.8016060870601634E-9</v>
      </c>
      <c r="Q60">
        <v>9.6686382046339047E-10</v>
      </c>
      <c r="R60">
        <v>2.063975266540349</v>
      </c>
      <c r="S60">
        <v>3.8600728913514249E-3</v>
      </c>
      <c r="T60">
        <v>9.667166918819374E-6</v>
      </c>
      <c r="U60">
        <v>2.063984687168201</v>
      </c>
      <c r="V60">
        <v>4.9997989267887755E-10</v>
      </c>
      <c r="W60">
        <v>4.9999417449832147E-6</v>
      </c>
    </row>
    <row r="61" spans="1:35">
      <c r="A61" t="s">
        <v>628</v>
      </c>
      <c r="B61">
        <v>1000</v>
      </c>
      <c r="C61" t="s">
        <v>85</v>
      </c>
      <c r="D61">
        <v>65</v>
      </c>
      <c r="E61">
        <v>38575</v>
      </c>
      <c r="F61">
        <v>1000.276</v>
      </c>
      <c r="G61">
        <v>20</v>
      </c>
      <c r="H61">
        <v>0.25</v>
      </c>
      <c r="I61">
        <v>10</v>
      </c>
      <c r="J61">
        <v>0</v>
      </c>
      <c r="K61">
        <v>0</v>
      </c>
      <c r="L61">
        <v>10</v>
      </c>
      <c r="M61">
        <v>0</v>
      </c>
      <c r="N61">
        <v>0</v>
      </c>
      <c r="O61">
        <v>10</v>
      </c>
      <c r="P61">
        <v>7.80160608706016E-9</v>
      </c>
      <c r="Q61">
        <v>5.5295485112781076E-10</v>
      </c>
      <c r="R61">
        <v>2.034281092083273</v>
      </c>
      <c r="S61">
        <v>3.8581727570197052E-3</v>
      </c>
      <c r="T61">
        <v>5.5285009139076067E-6</v>
      </c>
      <c r="U61">
        <v>2.034300756374595</v>
      </c>
      <c r="V61">
        <v>1.9998204877586999E-10</v>
      </c>
      <c r="W61">
        <v>2.0001775643410632E-6</v>
      </c>
    </row>
    <row r="62" spans="1:35">
      <c r="A62" t="s">
        <v>629</v>
      </c>
      <c r="B62">
        <v>53</v>
      </c>
      <c r="C62" t="s">
        <v>85</v>
      </c>
      <c r="D62">
        <v>40</v>
      </c>
      <c r="E62">
        <v>-90</v>
      </c>
      <c r="F62">
        <v>53.101500000000001</v>
      </c>
      <c r="G62">
        <v>20</v>
      </c>
      <c r="H62">
        <v>0.25</v>
      </c>
      <c r="I62">
        <v>10</v>
      </c>
      <c r="J62">
        <v>0</v>
      </c>
      <c r="K62">
        <v>0</v>
      </c>
      <c r="L62">
        <v>10</v>
      </c>
      <c r="M62">
        <v>0</v>
      </c>
      <c r="N62">
        <v>0</v>
      </c>
      <c r="O62">
        <v>10</v>
      </c>
      <c r="P62">
        <v>-1.0002059085974569E-9</v>
      </c>
      <c r="Q62">
        <v>3.9489721471057287E-9</v>
      </c>
      <c r="R62">
        <v>2.08448168800897</v>
      </c>
      <c r="S62">
        <v>-9.0006363081410469E-6</v>
      </c>
      <c r="T62">
        <v>3.9484383254907421E-5</v>
      </c>
      <c r="U62">
        <v>2.0844816880304928</v>
      </c>
      <c r="V62">
        <v>3.7663719484889733E-9</v>
      </c>
      <c r="W62">
        <v>3.7663719482953028E-5</v>
      </c>
    </row>
    <row r="63" spans="1:35">
      <c r="A63" t="s">
        <v>629</v>
      </c>
      <c r="B63">
        <v>400</v>
      </c>
      <c r="C63" t="s">
        <v>85</v>
      </c>
      <c r="D63">
        <v>-13</v>
      </c>
      <c r="E63">
        <v>-37</v>
      </c>
      <c r="F63">
        <v>400.04899999999998</v>
      </c>
      <c r="G63">
        <v>20</v>
      </c>
      <c r="H63">
        <v>0.25</v>
      </c>
      <c r="I63">
        <v>10</v>
      </c>
      <c r="J63">
        <v>0</v>
      </c>
      <c r="K63">
        <v>0</v>
      </c>
      <c r="L63">
        <v>10</v>
      </c>
      <c r="M63">
        <v>0</v>
      </c>
      <c r="N63">
        <v>0</v>
      </c>
      <c r="O63">
        <v>10</v>
      </c>
      <c r="P63">
        <v>-1.000205908597452E-10</v>
      </c>
      <c r="Q63">
        <v>9.6677302538858453E-10</v>
      </c>
      <c r="R63">
        <v>2.0640170643821949</v>
      </c>
      <c r="S63">
        <v>-1.200084841085473E-6</v>
      </c>
      <c r="T63">
        <v>9.666423371423489E-6</v>
      </c>
      <c r="U63">
        <v>2.0640170643854971</v>
      </c>
      <c r="V63">
        <v>4.9993875784731673E-10</v>
      </c>
      <c r="W63">
        <v>4.9993875769813586E-6</v>
      </c>
    </row>
    <row r="64" spans="1:35">
      <c r="A64" t="s">
        <v>629</v>
      </c>
      <c r="B64">
        <v>1000</v>
      </c>
      <c r="C64" t="s">
        <v>85</v>
      </c>
      <c r="D64">
        <v>-14</v>
      </c>
      <c r="E64">
        <v>-15</v>
      </c>
      <c r="F64">
        <v>1000.331</v>
      </c>
      <c r="G64">
        <v>20</v>
      </c>
      <c r="H64">
        <v>0.25</v>
      </c>
      <c r="I64">
        <v>10</v>
      </c>
      <c r="J64">
        <v>0</v>
      </c>
      <c r="K64">
        <v>0</v>
      </c>
      <c r="L64">
        <v>10</v>
      </c>
      <c r="M64">
        <v>0</v>
      </c>
      <c r="N64">
        <v>0</v>
      </c>
      <c r="O64">
        <v>10</v>
      </c>
      <c r="P64">
        <v>-1.000205908597461E-10</v>
      </c>
      <c r="Q64">
        <v>5.5281145980807979E-10</v>
      </c>
      <c r="R64">
        <v>2.034368976757627</v>
      </c>
      <c r="S64">
        <v>-1.1000777709950169E-6</v>
      </c>
      <c r="T64">
        <v>5.527367308246569E-6</v>
      </c>
      <c r="U64">
        <v>2.0343689767633339</v>
      </c>
      <c r="V64">
        <v>1.9993382287169071E-10</v>
      </c>
      <c r="W64">
        <v>1.9993382240634371E-6</v>
      </c>
    </row>
    <row r="65" spans="1:23">
      <c r="A65" t="s">
        <v>512</v>
      </c>
      <c r="B65">
        <v>53</v>
      </c>
      <c r="C65" t="s">
        <v>85</v>
      </c>
      <c r="D65">
        <v>50</v>
      </c>
      <c r="E65">
        <v>0</v>
      </c>
      <c r="F65">
        <v>53.098700000000001</v>
      </c>
      <c r="G65">
        <v>20</v>
      </c>
      <c r="H65">
        <v>0.25</v>
      </c>
      <c r="I65">
        <v>10</v>
      </c>
      <c r="J65">
        <v>0</v>
      </c>
      <c r="K65">
        <v>0</v>
      </c>
      <c r="L65">
        <v>10</v>
      </c>
      <c r="M65">
        <v>0</v>
      </c>
      <c r="N65">
        <v>0</v>
      </c>
      <c r="O65">
        <v>10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3.7665705569920307E-9</v>
      </c>
      <c r="W65">
        <v>3.7665705566733077E-5</v>
      </c>
    </row>
    <row r="66" spans="1:23">
      <c r="A66" t="s">
        <v>512</v>
      </c>
      <c r="B66">
        <v>400</v>
      </c>
      <c r="C66" t="s">
        <v>85</v>
      </c>
      <c r="D66">
        <v>-12</v>
      </c>
      <c r="E66">
        <v>-25</v>
      </c>
      <c r="F66">
        <v>400.01</v>
      </c>
      <c r="G66">
        <v>20</v>
      </c>
      <c r="H66">
        <v>0.25</v>
      </c>
      <c r="I66">
        <v>10</v>
      </c>
      <c r="J66">
        <v>0</v>
      </c>
      <c r="K66">
        <v>0</v>
      </c>
      <c r="L66">
        <v>10</v>
      </c>
      <c r="M66">
        <v>0</v>
      </c>
      <c r="N66">
        <v>0</v>
      </c>
      <c r="O66">
        <v>10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4.9998750060110644E-10</v>
      </c>
      <c r="W66">
        <v>4.9998750046880717E-6</v>
      </c>
    </row>
    <row r="67" spans="1:23">
      <c r="A67" t="s">
        <v>512</v>
      </c>
      <c r="B67">
        <v>1000</v>
      </c>
      <c r="C67" t="s">
        <v>85</v>
      </c>
      <c r="D67">
        <v>-13</v>
      </c>
      <c r="E67">
        <v>-4</v>
      </c>
      <c r="F67">
        <v>1000.343</v>
      </c>
      <c r="G67">
        <v>20</v>
      </c>
      <c r="H67">
        <v>0.25</v>
      </c>
      <c r="I67">
        <v>10</v>
      </c>
      <c r="J67">
        <v>0</v>
      </c>
      <c r="K67">
        <v>0</v>
      </c>
      <c r="L67">
        <v>10</v>
      </c>
      <c r="M67">
        <v>0</v>
      </c>
      <c r="N67">
        <v>0</v>
      </c>
      <c r="O67">
        <v>10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1.9993142435085749E-10</v>
      </c>
      <c r="W67">
        <v>1.9993142394533538E-6</v>
      </c>
    </row>
    <row r="68" spans="1:23">
      <c r="A68" t="s">
        <v>630</v>
      </c>
      <c r="B68">
        <v>53</v>
      </c>
      <c r="C68" t="s">
        <v>85</v>
      </c>
      <c r="D68">
        <v>90</v>
      </c>
      <c r="E68">
        <v>1057410</v>
      </c>
      <c r="F68">
        <v>53.100299999999997</v>
      </c>
      <c r="G68">
        <v>20</v>
      </c>
      <c r="H68">
        <v>0.25</v>
      </c>
      <c r="I68">
        <v>10</v>
      </c>
      <c r="J68">
        <v>0</v>
      </c>
      <c r="K68">
        <v>0</v>
      </c>
      <c r="L68">
        <v>10</v>
      </c>
      <c r="M68">
        <v>0</v>
      </c>
      <c r="N68">
        <v>5.0000000000000002E-5</v>
      </c>
      <c r="O68">
        <v>10</v>
      </c>
      <c r="P68">
        <v>4.0008236343898277E-9</v>
      </c>
      <c r="Q68">
        <v>3.9621824113848032E-9</v>
      </c>
      <c r="R68">
        <v>2.082182661507312</v>
      </c>
      <c r="S68">
        <v>0.10574847598434919</v>
      </c>
      <c r="T68">
        <v>3.9936101174720171E-5</v>
      </c>
      <c r="U68">
        <v>2.076873602788786</v>
      </c>
      <c r="V68">
        <v>3.7679412901440261E-9</v>
      </c>
      <c r="W68">
        <v>3.7693655949985958E-5</v>
      </c>
    </row>
    <row r="69" spans="1:23">
      <c r="A69" t="s">
        <v>630</v>
      </c>
      <c r="B69">
        <v>400</v>
      </c>
      <c r="C69" t="s">
        <v>85</v>
      </c>
      <c r="D69">
        <v>64</v>
      </c>
      <c r="E69">
        <v>1057510</v>
      </c>
      <c r="F69">
        <v>400.06700000000001</v>
      </c>
      <c r="G69">
        <v>20</v>
      </c>
      <c r="H69">
        <v>0.25</v>
      </c>
      <c r="I69">
        <v>10</v>
      </c>
      <c r="J69">
        <v>0</v>
      </c>
      <c r="K69">
        <v>0</v>
      </c>
      <c r="L69">
        <v>10</v>
      </c>
      <c r="M69">
        <v>0</v>
      </c>
      <c r="N69">
        <v>5.0000000000000002E-5</v>
      </c>
      <c r="O69">
        <v>10</v>
      </c>
      <c r="P69">
        <v>7.6015649053406712E-9</v>
      </c>
      <c r="Q69">
        <v>1.024008058015246E-9</v>
      </c>
      <c r="R69">
        <v>2.042420762670174</v>
      </c>
      <c r="S69">
        <v>0.10576097686811051</v>
      </c>
      <c r="T69">
        <v>1.1543057244879219E-5</v>
      </c>
      <c r="U69">
        <v>2.0130531966621938</v>
      </c>
      <c r="V69">
        <v>5.1098056172523048E-10</v>
      </c>
      <c r="W69">
        <v>5.2138142631248964E-6</v>
      </c>
    </row>
    <row r="70" spans="1:23">
      <c r="A70" t="s">
        <v>630</v>
      </c>
      <c r="B70">
        <v>1000</v>
      </c>
      <c r="C70" t="s">
        <v>85</v>
      </c>
      <c r="D70">
        <v>59</v>
      </c>
      <c r="E70">
        <v>1057595</v>
      </c>
      <c r="F70">
        <v>1000.25</v>
      </c>
      <c r="G70">
        <v>20</v>
      </c>
      <c r="H70">
        <v>0.25</v>
      </c>
      <c r="I70">
        <v>10</v>
      </c>
      <c r="J70">
        <v>0</v>
      </c>
      <c r="K70">
        <v>0</v>
      </c>
      <c r="L70">
        <v>10</v>
      </c>
      <c r="M70">
        <v>0</v>
      </c>
      <c r="N70">
        <v>5.0000000000000002E-5</v>
      </c>
      <c r="O70">
        <v>10</v>
      </c>
      <c r="P70">
        <v>7.201482541901687E-9</v>
      </c>
      <c r="Q70">
        <v>6.5656329226582743E-10</v>
      </c>
      <c r="R70">
        <v>2.0182114650357121</v>
      </c>
      <c r="S70">
        <v>0.1057673773205963</v>
      </c>
      <c r="T70">
        <v>8.5502744503667699E-6</v>
      </c>
      <c r="U70">
        <v>1.9970261903802351</v>
      </c>
      <c r="V70">
        <v>2.2620050355519561E-10</v>
      </c>
      <c r="W70">
        <v>2.488088660229351E-6</v>
      </c>
    </row>
    <row r="71" spans="1:23">
      <c r="A71" t="s">
        <v>631</v>
      </c>
      <c r="B71">
        <v>53</v>
      </c>
      <c r="C71" t="s">
        <v>85</v>
      </c>
      <c r="D71">
        <v>130</v>
      </c>
      <c r="E71">
        <v>9880970</v>
      </c>
      <c r="F71">
        <v>53.099899999999998</v>
      </c>
      <c r="G71">
        <v>20</v>
      </c>
      <c r="H71">
        <v>0.25</v>
      </c>
      <c r="I71">
        <v>10</v>
      </c>
      <c r="J71">
        <v>0</v>
      </c>
      <c r="K71">
        <v>0</v>
      </c>
      <c r="L71">
        <v>10</v>
      </c>
      <c r="M71">
        <v>-6.0000000000000002E-5</v>
      </c>
      <c r="N71">
        <v>3.0000000000000001E-5</v>
      </c>
      <c r="O71">
        <v>10</v>
      </c>
      <c r="P71">
        <v>8.0016472687796505E-9</v>
      </c>
      <c r="Q71">
        <v>5.1685054849873057E-9</v>
      </c>
      <c r="R71">
        <v>2.046015598179503</v>
      </c>
      <c r="S71">
        <v>0.98816685935169368</v>
      </c>
      <c r="T71">
        <v>8.8725559230234279E-5</v>
      </c>
      <c r="U71">
        <v>2.032673279756092</v>
      </c>
      <c r="V71">
        <v>3.8939550991537063E-9</v>
      </c>
      <c r="W71">
        <v>4.0125180485872727E-5</v>
      </c>
    </row>
    <row r="72" spans="1:23">
      <c r="A72" t="s">
        <v>631</v>
      </c>
      <c r="B72">
        <v>400</v>
      </c>
      <c r="C72" t="s">
        <v>85</v>
      </c>
      <c r="D72">
        <v>46</v>
      </c>
      <c r="E72">
        <v>9880940</v>
      </c>
      <c r="F72">
        <v>400.08600000000001</v>
      </c>
      <c r="G72">
        <v>20</v>
      </c>
      <c r="H72">
        <v>0.25</v>
      </c>
      <c r="I72">
        <v>10</v>
      </c>
      <c r="J72">
        <v>0</v>
      </c>
      <c r="K72">
        <v>0</v>
      </c>
      <c r="L72">
        <v>10</v>
      </c>
      <c r="M72">
        <v>-6.0000000000000002E-5</v>
      </c>
      <c r="N72">
        <v>3.0000000000000001E-5</v>
      </c>
      <c r="O72">
        <v>10</v>
      </c>
      <c r="P72">
        <v>5.8011942698652487E-9</v>
      </c>
      <c r="Q72">
        <v>3.7955292984738751E-9</v>
      </c>
      <c r="R72">
        <v>2.187105446339344</v>
      </c>
      <c r="S72">
        <v>0.98816635931634345</v>
      </c>
      <c r="T72">
        <v>8.1675210969494078E-5</v>
      </c>
      <c r="U72">
        <v>2.0623411550593911</v>
      </c>
      <c r="V72">
        <v>1.107411554625258E-9</v>
      </c>
      <c r="W72">
        <v>1.4709756793688331E-5</v>
      </c>
    </row>
    <row r="73" spans="1:23">
      <c r="A73" t="s">
        <v>631</v>
      </c>
      <c r="B73">
        <v>1000</v>
      </c>
      <c r="C73" t="s">
        <v>85</v>
      </c>
      <c r="D73">
        <v>41</v>
      </c>
      <c r="E73">
        <v>9880909</v>
      </c>
      <c r="F73">
        <v>1000.1950000000001</v>
      </c>
      <c r="G73">
        <v>20</v>
      </c>
      <c r="H73">
        <v>0.25</v>
      </c>
      <c r="I73">
        <v>10</v>
      </c>
      <c r="J73">
        <v>0</v>
      </c>
      <c r="K73">
        <v>0</v>
      </c>
      <c r="L73">
        <v>10</v>
      </c>
      <c r="M73">
        <v>-6.0000000000000002E-5</v>
      </c>
      <c r="N73">
        <v>3.0000000000000001E-5</v>
      </c>
      <c r="O73">
        <v>10</v>
      </c>
      <c r="P73">
        <v>5.4011119064262644E-9</v>
      </c>
      <c r="Q73">
        <v>3.7463887079120644E-9</v>
      </c>
      <c r="R73">
        <v>2.2129305363568279</v>
      </c>
      <c r="S73">
        <v>0.9881611589486986</v>
      </c>
      <c r="T73">
        <v>8.1374241599982205E-5</v>
      </c>
      <c r="U73">
        <v>2.0643458212524011</v>
      </c>
      <c r="V73">
        <v>1.0081895126056949E-9</v>
      </c>
      <c r="W73">
        <v>1.397801598856237E-5</v>
      </c>
    </row>
    <row r="74" spans="1:23">
      <c r="A74" t="s">
        <v>512</v>
      </c>
      <c r="B74">
        <v>53</v>
      </c>
      <c r="C74" t="s">
        <v>86</v>
      </c>
      <c r="D74">
        <v>140</v>
      </c>
      <c r="E74">
        <v>-20</v>
      </c>
      <c r="F74">
        <v>53.098700000000001</v>
      </c>
      <c r="G74">
        <v>20</v>
      </c>
      <c r="H74">
        <v>0.25</v>
      </c>
      <c r="I74">
        <v>10</v>
      </c>
      <c r="J74">
        <v>0</v>
      </c>
      <c r="K74">
        <v>0</v>
      </c>
      <c r="L74">
        <v>10</v>
      </c>
      <c r="M74">
        <v>0</v>
      </c>
      <c r="N74">
        <v>0</v>
      </c>
      <c r="O74">
        <v>10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3.7665705614435341E-8</v>
      </c>
      <c r="W74">
        <v>3.766570558945253E-4</v>
      </c>
    </row>
    <row r="75" spans="1:23">
      <c r="A75" t="s">
        <v>512</v>
      </c>
      <c r="B75">
        <v>400</v>
      </c>
      <c r="C75" t="s">
        <v>86</v>
      </c>
      <c r="D75">
        <v>1</v>
      </c>
      <c r="E75">
        <v>3</v>
      </c>
      <c r="F75">
        <v>400.01</v>
      </c>
      <c r="G75">
        <v>20</v>
      </c>
      <c r="H75">
        <v>0.25</v>
      </c>
      <c r="I75">
        <v>10</v>
      </c>
      <c r="J75">
        <v>0</v>
      </c>
      <c r="K75">
        <v>0</v>
      </c>
      <c r="L75">
        <v>10</v>
      </c>
      <c r="M75">
        <v>0</v>
      </c>
      <c r="N75">
        <v>0</v>
      </c>
      <c r="O75">
        <v>10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4.9998750031454303E-9</v>
      </c>
      <c r="W75">
        <v>4.9998750031366907E-5</v>
      </c>
    </row>
    <row r="76" spans="1:23">
      <c r="A76" t="s">
        <v>512</v>
      </c>
      <c r="B76">
        <v>1000</v>
      </c>
      <c r="C76" t="s">
        <v>86</v>
      </c>
      <c r="D76">
        <v>-2</v>
      </c>
      <c r="E76">
        <v>-13</v>
      </c>
      <c r="F76">
        <v>1000.343</v>
      </c>
      <c r="G76">
        <v>20</v>
      </c>
      <c r="H76">
        <v>0.25</v>
      </c>
      <c r="I76">
        <v>10</v>
      </c>
      <c r="J76">
        <v>0</v>
      </c>
      <c r="K76">
        <v>0</v>
      </c>
      <c r="L76">
        <v>10</v>
      </c>
      <c r="M76">
        <v>0</v>
      </c>
      <c r="N76">
        <v>0</v>
      </c>
      <c r="O76">
        <v>10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1.999314235455739E-9</v>
      </c>
      <c r="W76">
        <v>1.999314235400246E-5</v>
      </c>
    </row>
    <row r="77" spans="1:23">
      <c r="A77" t="s">
        <v>632</v>
      </c>
      <c r="B77">
        <v>53</v>
      </c>
      <c r="C77" t="s">
        <v>86</v>
      </c>
      <c r="D77">
        <v>180</v>
      </c>
      <c r="E77">
        <v>9912310</v>
      </c>
      <c r="F77">
        <v>53.099800000000002</v>
      </c>
      <c r="G77">
        <v>20</v>
      </c>
      <c r="H77">
        <v>0.25</v>
      </c>
      <c r="I77">
        <v>10</v>
      </c>
      <c r="J77">
        <v>0</v>
      </c>
      <c r="K77">
        <v>0</v>
      </c>
      <c r="L77">
        <v>10</v>
      </c>
      <c r="M77">
        <v>-6.0000000000000002E-5</v>
      </c>
      <c r="N77">
        <v>3.0000000000000001E-5</v>
      </c>
      <c r="O77">
        <v>10</v>
      </c>
      <c r="P77">
        <v>4.0008236343898268E-8</v>
      </c>
      <c r="Q77">
        <v>5.176018449553911E-8</v>
      </c>
      <c r="R77">
        <v>2.0461448196736218</v>
      </c>
      <c r="S77">
        <v>9.913030810697304</v>
      </c>
      <c r="T77">
        <v>8.8959458712524172E-4</v>
      </c>
      <c r="U77">
        <v>2.0327962876095138</v>
      </c>
      <c r="V77">
        <v>3.894758512258944E-8</v>
      </c>
      <c r="W77">
        <v>4.0140396805991309E-4</v>
      </c>
    </row>
    <row r="78" spans="1:23">
      <c r="A78" t="s">
        <v>632</v>
      </c>
      <c r="B78">
        <v>400</v>
      </c>
      <c r="C78" t="s">
        <v>86</v>
      </c>
      <c r="D78">
        <v>6</v>
      </c>
      <c r="E78">
        <v>9912281</v>
      </c>
      <c r="F78">
        <v>400.29599999999999</v>
      </c>
      <c r="G78">
        <v>20</v>
      </c>
      <c r="H78">
        <v>0.25</v>
      </c>
      <c r="I78">
        <v>10</v>
      </c>
      <c r="J78">
        <v>0</v>
      </c>
      <c r="K78">
        <v>0</v>
      </c>
      <c r="L78">
        <v>10</v>
      </c>
      <c r="M78">
        <v>-6.0000000000000002E-5</v>
      </c>
      <c r="N78">
        <v>3.0000000000000001E-5</v>
      </c>
      <c r="O78">
        <v>10</v>
      </c>
      <c r="P78">
        <v>5.0010295429872826E-9</v>
      </c>
      <c r="Q78">
        <v>3.8070450753313272E-8</v>
      </c>
      <c r="R78">
        <v>2.187340713222953</v>
      </c>
      <c r="S78">
        <v>9.912978807020858</v>
      </c>
      <c r="T78">
        <v>8.1931222551937975E-4</v>
      </c>
      <c r="U78">
        <v>2.0623610057879271</v>
      </c>
      <c r="V78">
        <v>1.1100912095278731E-8</v>
      </c>
      <c r="W78">
        <v>1.4750144722061489E-4</v>
      </c>
    </row>
    <row r="79" spans="1:23">
      <c r="A79" t="s">
        <v>632</v>
      </c>
      <c r="B79">
        <v>1000</v>
      </c>
      <c r="C79" t="s">
        <v>86</v>
      </c>
      <c r="D79">
        <v>2</v>
      </c>
      <c r="E79">
        <v>9912124</v>
      </c>
      <c r="F79">
        <v>1000.306</v>
      </c>
      <c r="G79">
        <v>20</v>
      </c>
      <c r="H79">
        <v>0.25</v>
      </c>
      <c r="I79">
        <v>10</v>
      </c>
      <c r="J79">
        <v>0</v>
      </c>
      <c r="K79">
        <v>0</v>
      </c>
      <c r="L79">
        <v>10</v>
      </c>
      <c r="M79">
        <v>-6.0000000000000002E-5</v>
      </c>
      <c r="N79">
        <v>3.0000000000000001E-5</v>
      </c>
      <c r="O79">
        <v>10</v>
      </c>
      <c r="P79">
        <v>4.0008236343898269E-9</v>
      </c>
      <c r="Q79">
        <v>3.7580761287657958E-8</v>
      </c>
      <c r="R79">
        <v>2.213022434486533</v>
      </c>
      <c r="S79">
        <v>9.9128377970520294</v>
      </c>
      <c r="T79">
        <v>8.1630350469178434E-4</v>
      </c>
      <c r="U79">
        <v>2.06435237099477</v>
      </c>
      <c r="V79">
        <v>1.011245017603477E-8</v>
      </c>
      <c r="W79">
        <v>1.4021240322584729E-4</v>
      </c>
    </row>
    <row r="80" spans="1:23">
      <c r="A80" t="s">
        <v>512</v>
      </c>
      <c r="B80">
        <v>53</v>
      </c>
      <c r="C80" t="s">
        <v>87</v>
      </c>
      <c r="D80">
        <v>50</v>
      </c>
      <c r="E80">
        <v>-10</v>
      </c>
      <c r="F80">
        <v>53.103700000000003</v>
      </c>
      <c r="G80">
        <v>20</v>
      </c>
      <c r="H80">
        <v>0.25</v>
      </c>
      <c r="I80">
        <v>10</v>
      </c>
      <c r="J80">
        <v>0</v>
      </c>
      <c r="K80">
        <v>0</v>
      </c>
      <c r="L80">
        <v>10</v>
      </c>
      <c r="M80">
        <v>0</v>
      </c>
      <c r="N80">
        <v>0</v>
      </c>
      <c r="O80">
        <v>10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3.766215914043019E-7</v>
      </c>
      <c r="W80">
        <v>3.7662159137243942E-3</v>
      </c>
    </row>
    <row r="81" spans="1:23">
      <c r="A81" t="s">
        <v>512</v>
      </c>
      <c r="B81">
        <v>400</v>
      </c>
      <c r="C81" t="s">
        <v>87</v>
      </c>
      <c r="D81">
        <v>0</v>
      </c>
      <c r="E81">
        <v>-10</v>
      </c>
      <c r="F81">
        <v>400.29599999999999</v>
      </c>
      <c r="G81">
        <v>20</v>
      </c>
      <c r="H81">
        <v>0.25</v>
      </c>
      <c r="I81">
        <v>10</v>
      </c>
      <c r="J81">
        <v>0</v>
      </c>
      <c r="K81">
        <v>0</v>
      </c>
      <c r="L81">
        <v>10</v>
      </c>
      <c r="M81">
        <v>0</v>
      </c>
      <c r="N81">
        <v>0</v>
      </c>
      <c r="O81">
        <v>10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4.9963027359853869E-8</v>
      </c>
      <c r="W81">
        <v>4.9963027359949965E-4</v>
      </c>
    </row>
    <row r="82" spans="1:23">
      <c r="A82" t="s">
        <v>512</v>
      </c>
      <c r="B82">
        <v>1000</v>
      </c>
      <c r="C82" t="s">
        <v>87</v>
      </c>
      <c r="D82">
        <v>-1</v>
      </c>
      <c r="E82">
        <v>-9</v>
      </c>
      <c r="F82">
        <v>1000.271</v>
      </c>
      <c r="G82">
        <v>20</v>
      </c>
      <c r="H82">
        <v>0.25</v>
      </c>
      <c r="I82">
        <v>10</v>
      </c>
      <c r="J82">
        <v>0</v>
      </c>
      <c r="K82">
        <v>0</v>
      </c>
      <c r="L82">
        <v>10</v>
      </c>
      <c r="M82">
        <v>0</v>
      </c>
      <c r="N82">
        <v>0</v>
      </c>
      <c r="O82">
        <v>10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1.999458146911498E-8</v>
      </c>
      <c r="W82">
        <v>1.999458146906929E-4</v>
      </c>
    </row>
    <row r="83" spans="1:23">
      <c r="A83" t="s">
        <v>633</v>
      </c>
      <c r="B83">
        <v>53</v>
      </c>
      <c r="C83" t="s">
        <v>87</v>
      </c>
      <c r="D83">
        <v>40</v>
      </c>
      <c r="E83">
        <v>10003210</v>
      </c>
      <c r="F83">
        <v>53.104900000000001</v>
      </c>
      <c r="G83">
        <v>20</v>
      </c>
      <c r="H83">
        <v>0.25</v>
      </c>
      <c r="I83">
        <v>10</v>
      </c>
      <c r="J83">
        <v>0</v>
      </c>
      <c r="K83">
        <v>0</v>
      </c>
      <c r="L83">
        <v>10</v>
      </c>
      <c r="M83">
        <v>0</v>
      </c>
      <c r="N83">
        <v>5.0000000000000004E-6</v>
      </c>
      <c r="O83">
        <v>10</v>
      </c>
      <c r="P83">
        <v>-1.000205908597456E-7</v>
      </c>
      <c r="Q83">
        <v>5.1976990771743435E-7</v>
      </c>
      <c r="R83">
        <v>2.0465311113860198</v>
      </c>
      <c r="S83">
        <v>100.03927236702521</v>
      </c>
      <c r="T83">
        <v>4.924475187742053E-3</v>
      </c>
      <c r="U83">
        <v>2.032983930429956</v>
      </c>
      <c r="V83">
        <v>3.896732589547797E-7</v>
      </c>
      <c r="W83">
        <v>4.0181186057068894E-3</v>
      </c>
    </row>
    <row r="84" spans="1:23">
      <c r="A84" t="s">
        <v>633</v>
      </c>
      <c r="B84">
        <v>400</v>
      </c>
      <c r="C84" t="s">
        <v>87</v>
      </c>
      <c r="D84">
        <v>5</v>
      </c>
      <c r="E84">
        <v>10003205</v>
      </c>
      <c r="F84">
        <v>400.46499999999997</v>
      </c>
      <c r="G84">
        <v>20</v>
      </c>
      <c r="H84">
        <v>0.25</v>
      </c>
      <c r="I84">
        <v>10</v>
      </c>
      <c r="J84">
        <v>0</v>
      </c>
      <c r="K84">
        <v>0</v>
      </c>
      <c r="L84">
        <v>10</v>
      </c>
      <c r="M84">
        <v>0</v>
      </c>
      <c r="N84">
        <v>5.0000000000000004E-6</v>
      </c>
      <c r="O84">
        <v>10</v>
      </c>
      <c r="P84">
        <v>5.0010295429872848E-8</v>
      </c>
      <c r="Q84">
        <v>3.8405189330737141E-7</v>
      </c>
      <c r="R84">
        <v>2.1880049853507928</v>
      </c>
      <c r="S84">
        <v>100.0392223634902</v>
      </c>
      <c r="T84">
        <v>3.3496694685927219E-3</v>
      </c>
      <c r="U84">
        <v>2.1189608611066322</v>
      </c>
      <c r="V84">
        <v>1.1181244842231371E-7</v>
      </c>
      <c r="W84">
        <v>1.4869275901576899E-3</v>
      </c>
    </row>
    <row r="85" spans="1:23">
      <c r="A85" t="s">
        <v>633</v>
      </c>
      <c r="B85">
        <v>1000</v>
      </c>
      <c r="C85" t="s">
        <v>87</v>
      </c>
      <c r="D85">
        <v>3</v>
      </c>
      <c r="E85">
        <v>10003167</v>
      </c>
      <c r="F85">
        <v>1001.189</v>
      </c>
      <c r="G85">
        <v>20</v>
      </c>
      <c r="H85">
        <v>0.25</v>
      </c>
      <c r="I85">
        <v>10</v>
      </c>
      <c r="J85">
        <v>0</v>
      </c>
      <c r="K85">
        <v>0</v>
      </c>
      <c r="L85">
        <v>10</v>
      </c>
      <c r="M85">
        <v>0</v>
      </c>
      <c r="N85">
        <v>5.0000000000000004E-6</v>
      </c>
      <c r="O85">
        <v>10</v>
      </c>
      <c r="P85">
        <v>4.0008236343898268E-8</v>
      </c>
      <c r="Q85">
        <v>3.79214986774675E-7</v>
      </c>
      <c r="R85">
        <v>2.213289357769388</v>
      </c>
      <c r="S85">
        <v>100.03883233591679</v>
      </c>
      <c r="T85">
        <v>3.2831444202949711E-3</v>
      </c>
      <c r="U85">
        <v>2.140029913241861</v>
      </c>
      <c r="V85">
        <v>1.020137268255358E-7</v>
      </c>
      <c r="W85">
        <v>1.414716947977662E-3</v>
      </c>
    </row>
    <row r="86" spans="1:23">
      <c r="A86" t="s">
        <v>512</v>
      </c>
      <c r="B86">
        <v>53</v>
      </c>
      <c r="C86" t="s">
        <v>88</v>
      </c>
      <c r="D86">
        <v>34</v>
      </c>
      <c r="E86">
        <v>-10</v>
      </c>
      <c r="F86">
        <v>53.107799999999997</v>
      </c>
      <c r="G86">
        <v>20</v>
      </c>
      <c r="H86">
        <v>0.25</v>
      </c>
      <c r="I86">
        <v>10</v>
      </c>
      <c r="J86">
        <v>0</v>
      </c>
      <c r="K86">
        <v>0</v>
      </c>
      <c r="L86">
        <v>10</v>
      </c>
      <c r="M86">
        <v>0</v>
      </c>
      <c r="N86">
        <v>0</v>
      </c>
      <c r="O86">
        <v>10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3.7659251563045299E-6</v>
      </c>
      <c r="W86">
        <v>3.7659251561572543E-2</v>
      </c>
    </row>
    <row r="87" spans="1:23">
      <c r="A87" t="s">
        <v>512</v>
      </c>
      <c r="B87">
        <v>400</v>
      </c>
      <c r="C87" t="s">
        <v>88</v>
      </c>
      <c r="D87">
        <v>1</v>
      </c>
      <c r="E87">
        <v>-10</v>
      </c>
      <c r="F87">
        <v>400.51600000000002</v>
      </c>
      <c r="G87">
        <v>20</v>
      </c>
      <c r="H87">
        <v>0.25</v>
      </c>
      <c r="I87">
        <v>10</v>
      </c>
      <c r="J87">
        <v>0</v>
      </c>
      <c r="K87">
        <v>0</v>
      </c>
      <c r="L87">
        <v>10</v>
      </c>
      <c r="M87">
        <v>0</v>
      </c>
      <c r="N87">
        <v>0</v>
      </c>
      <c r="O87">
        <v>10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4.9935583098100307E-7</v>
      </c>
      <c r="W87">
        <v>4.9935583098100278E-3</v>
      </c>
    </row>
    <row r="88" spans="1:23">
      <c r="A88" t="s">
        <v>512</v>
      </c>
      <c r="B88">
        <v>1000</v>
      </c>
      <c r="C88" t="s">
        <v>88</v>
      </c>
      <c r="D88">
        <v>-1</v>
      </c>
      <c r="E88">
        <v>-10</v>
      </c>
      <c r="F88">
        <v>1001.034</v>
      </c>
      <c r="G88">
        <v>20</v>
      </c>
      <c r="H88">
        <v>0.25</v>
      </c>
      <c r="I88">
        <v>10</v>
      </c>
      <c r="J88">
        <v>0</v>
      </c>
      <c r="K88">
        <v>0</v>
      </c>
      <c r="L88">
        <v>10</v>
      </c>
      <c r="M88">
        <v>0</v>
      </c>
      <c r="N88">
        <v>0</v>
      </c>
      <c r="O88">
        <v>10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1.997934136177369E-7</v>
      </c>
      <c r="W88">
        <v>1.997934136177363E-3</v>
      </c>
    </row>
    <row r="89" spans="1:23">
      <c r="A89" t="s">
        <v>634</v>
      </c>
      <c r="B89">
        <v>53</v>
      </c>
      <c r="C89" t="s">
        <v>88</v>
      </c>
      <c r="D89">
        <v>43</v>
      </c>
      <c r="E89">
        <v>10001861</v>
      </c>
      <c r="F89">
        <v>53.132399999999997</v>
      </c>
      <c r="G89">
        <v>20</v>
      </c>
      <c r="H89">
        <v>0.25</v>
      </c>
      <c r="I89">
        <v>10</v>
      </c>
      <c r="J89">
        <v>0</v>
      </c>
      <c r="K89">
        <v>0</v>
      </c>
      <c r="L89">
        <v>10</v>
      </c>
      <c r="M89">
        <v>0</v>
      </c>
      <c r="N89">
        <v>5.0000000000000004E-6</v>
      </c>
      <c r="O89">
        <v>10</v>
      </c>
      <c r="P89">
        <v>9.001853177377122E-7</v>
      </c>
      <c r="Q89">
        <v>5.1967851446947164E-6</v>
      </c>
      <c r="R89">
        <v>2.046534209928224</v>
      </c>
      <c r="S89">
        <v>1000.2578141327</v>
      </c>
      <c r="T89">
        <v>4.9235799816045263E-2</v>
      </c>
      <c r="U89">
        <v>2.032983461587599</v>
      </c>
      <c r="V89">
        <v>3.8948140480916842E-6</v>
      </c>
      <c r="W89">
        <v>4.0162257921773921E-2</v>
      </c>
    </row>
    <row r="90" spans="1:23">
      <c r="A90" t="s">
        <v>634</v>
      </c>
      <c r="B90">
        <v>400</v>
      </c>
      <c r="C90" t="s">
        <v>88</v>
      </c>
      <c r="D90">
        <v>4</v>
      </c>
      <c r="E90">
        <v>10001866</v>
      </c>
      <c r="F90">
        <v>400.37799999999999</v>
      </c>
      <c r="G90">
        <v>20</v>
      </c>
      <c r="H90">
        <v>0.25</v>
      </c>
      <c r="I90">
        <v>10</v>
      </c>
      <c r="J90">
        <v>0</v>
      </c>
      <c r="K90">
        <v>0</v>
      </c>
      <c r="L90">
        <v>10</v>
      </c>
      <c r="M90">
        <v>0</v>
      </c>
      <c r="N90">
        <v>5.0000000000000004E-6</v>
      </c>
      <c r="O90">
        <v>10</v>
      </c>
      <c r="P90">
        <v>3.0006177257923699E-7</v>
      </c>
      <c r="Q90">
        <v>3.8400087528617494E-6</v>
      </c>
      <c r="R90">
        <v>2.1880031518911491</v>
      </c>
      <c r="S90">
        <v>1000.25831416805</v>
      </c>
      <c r="T90">
        <v>3.3492263624592053E-2</v>
      </c>
      <c r="U90">
        <v>2.1189593544882799</v>
      </c>
      <c r="V90">
        <v>1.118053157664005E-6</v>
      </c>
      <c r="W90">
        <v>1.486787466309869E-2</v>
      </c>
    </row>
    <row r="91" spans="1:23">
      <c r="A91" t="s">
        <v>634</v>
      </c>
      <c r="B91">
        <v>1000</v>
      </c>
      <c r="C91" t="s">
        <v>88</v>
      </c>
      <c r="D91">
        <v>-1</v>
      </c>
      <c r="E91">
        <v>10001835</v>
      </c>
      <c r="F91">
        <v>1000.186</v>
      </c>
      <c r="G91">
        <v>20</v>
      </c>
      <c r="H91">
        <v>0.25</v>
      </c>
      <c r="I91">
        <v>10</v>
      </c>
      <c r="J91">
        <v>0</v>
      </c>
      <c r="K91">
        <v>0</v>
      </c>
      <c r="L91">
        <v>10</v>
      </c>
      <c r="M91">
        <v>0</v>
      </c>
      <c r="N91">
        <v>5.0000000000000004E-6</v>
      </c>
      <c r="O91">
        <v>10</v>
      </c>
      <c r="P91">
        <v>-1.323488980084844E-23</v>
      </c>
      <c r="Q91">
        <v>3.7916544597159691E-6</v>
      </c>
      <c r="R91">
        <v>2.2132838279877709</v>
      </c>
      <c r="S91">
        <v>1000.255213948878</v>
      </c>
      <c r="T91">
        <v>3.2827204376186213E-2</v>
      </c>
      <c r="U91">
        <v>2.1400251878212648</v>
      </c>
      <c r="V91">
        <v>1.0200458894253239E-6</v>
      </c>
      <c r="W91">
        <v>1.414560627622E-2</v>
      </c>
    </row>
    <row r="92" spans="1:23">
      <c r="A92" t="s">
        <v>512</v>
      </c>
      <c r="B92">
        <v>53</v>
      </c>
      <c r="C92" t="s">
        <v>89</v>
      </c>
      <c r="D92">
        <v>7</v>
      </c>
      <c r="E92">
        <v>-30</v>
      </c>
      <c r="F92">
        <v>53.136000000000003</v>
      </c>
      <c r="G92">
        <v>20</v>
      </c>
      <c r="H92">
        <v>0.25</v>
      </c>
      <c r="I92">
        <v>10</v>
      </c>
      <c r="J92">
        <v>0</v>
      </c>
      <c r="K92">
        <v>0</v>
      </c>
      <c r="L92">
        <v>10</v>
      </c>
      <c r="M92">
        <v>0</v>
      </c>
      <c r="N92">
        <v>0</v>
      </c>
      <c r="O92">
        <v>10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3.7639265281681289E-5</v>
      </c>
      <c r="W92">
        <v>0.37639265281630252</v>
      </c>
    </row>
    <row r="93" spans="1:23">
      <c r="A93" t="s">
        <v>512</v>
      </c>
      <c r="B93">
        <v>400</v>
      </c>
      <c r="C93" t="s">
        <v>89</v>
      </c>
      <c r="D93">
        <v>0</v>
      </c>
      <c r="E93">
        <v>-28</v>
      </c>
      <c r="F93">
        <v>400.22800000000001</v>
      </c>
      <c r="G93">
        <v>20</v>
      </c>
      <c r="H93">
        <v>0.25</v>
      </c>
      <c r="I93">
        <v>10</v>
      </c>
      <c r="J93">
        <v>0</v>
      </c>
      <c r="K93">
        <v>0</v>
      </c>
      <c r="L93">
        <v>10</v>
      </c>
      <c r="M93">
        <v>0</v>
      </c>
      <c r="N93">
        <v>0</v>
      </c>
      <c r="O93">
        <v>10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4.9971516236530181E-6</v>
      </c>
      <c r="W93">
        <v>4.997151623728336E-2</v>
      </c>
    </row>
    <row r="94" spans="1:23">
      <c r="A94" t="s">
        <v>512</v>
      </c>
      <c r="B94">
        <v>1000</v>
      </c>
      <c r="C94" t="s">
        <v>89</v>
      </c>
      <c r="D94">
        <v>0</v>
      </c>
      <c r="E94">
        <v>-26</v>
      </c>
      <c r="F94">
        <v>1000.807</v>
      </c>
      <c r="G94">
        <v>20</v>
      </c>
      <c r="H94">
        <v>0.25</v>
      </c>
      <c r="I94">
        <v>10</v>
      </c>
      <c r="J94">
        <v>0</v>
      </c>
      <c r="K94">
        <v>0</v>
      </c>
      <c r="L94">
        <v>10</v>
      </c>
      <c r="M94">
        <v>0</v>
      </c>
      <c r="N94">
        <v>0</v>
      </c>
      <c r="O94">
        <v>10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1.9983873016168922E-6</v>
      </c>
      <c r="W94">
        <v>1.998387301779286E-2</v>
      </c>
    </row>
    <row r="95" spans="1:23">
      <c r="A95" t="s">
        <v>635</v>
      </c>
      <c r="B95">
        <v>53</v>
      </c>
      <c r="C95" t="s">
        <v>89</v>
      </c>
      <c r="D95">
        <v>-63</v>
      </c>
      <c r="E95">
        <v>10001664</v>
      </c>
      <c r="F95">
        <v>53.136000000000003</v>
      </c>
      <c r="G95">
        <v>20</v>
      </c>
      <c r="H95">
        <v>0.25</v>
      </c>
      <c r="I95">
        <v>10</v>
      </c>
      <c r="J95">
        <v>0</v>
      </c>
      <c r="K95">
        <v>0</v>
      </c>
      <c r="L95">
        <v>10</v>
      </c>
      <c r="M95">
        <v>0</v>
      </c>
      <c r="N95">
        <v>5.0000000000000004E-6</v>
      </c>
      <c r="O95">
        <v>10</v>
      </c>
      <c r="P95">
        <v>-7.0014413601821978E-5</v>
      </c>
      <c r="Q95">
        <v>5.1961505262851699E-5</v>
      </c>
      <c r="R95">
        <v>2.0465423934724378</v>
      </c>
      <c r="S95">
        <v>10002.40112881294</v>
      </c>
      <c r="T95">
        <v>0.49229039595815099</v>
      </c>
      <c r="U95">
        <v>2.032982600191894</v>
      </c>
      <c r="V95">
        <v>3.8945625169826132E-5</v>
      </c>
      <c r="W95">
        <v>0.40159771544634693</v>
      </c>
    </row>
    <row r="96" spans="1:23">
      <c r="A96" t="s">
        <v>635</v>
      </c>
      <c r="B96">
        <v>400</v>
      </c>
      <c r="C96" t="s">
        <v>89</v>
      </c>
      <c r="D96">
        <v>-65</v>
      </c>
      <c r="E96">
        <v>10001668</v>
      </c>
      <c r="F96">
        <v>400.18400000000003</v>
      </c>
      <c r="G96">
        <v>20</v>
      </c>
      <c r="H96">
        <v>0.25</v>
      </c>
      <c r="I96">
        <v>10</v>
      </c>
      <c r="J96">
        <v>0</v>
      </c>
      <c r="K96">
        <v>0</v>
      </c>
      <c r="L96">
        <v>10</v>
      </c>
      <c r="M96">
        <v>0</v>
      </c>
      <c r="N96">
        <v>5.0000000000000004E-6</v>
      </c>
      <c r="O96">
        <v>10</v>
      </c>
      <c r="P96">
        <v>-6.5013384058834671E-5</v>
      </c>
      <c r="Q96">
        <v>3.8400016550158798E-5</v>
      </c>
      <c r="R96">
        <v>2.187974843649036</v>
      </c>
      <c r="S96">
        <v>10002.40312895434</v>
      </c>
      <c r="T96">
        <v>0.33492497225559231</v>
      </c>
      <c r="U96">
        <v>2.1189364071527539</v>
      </c>
      <c r="V96">
        <v>1.118143661921112E-5</v>
      </c>
      <c r="W96">
        <v>0.14868427365298659</v>
      </c>
    </row>
    <row r="97" spans="1:23">
      <c r="A97" t="s">
        <v>635</v>
      </c>
      <c r="B97">
        <v>1000</v>
      </c>
      <c r="C97" t="s">
        <v>89</v>
      </c>
      <c r="D97">
        <v>-65</v>
      </c>
      <c r="E97">
        <v>10001648</v>
      </c>
      <c r="F97">
        <v>1000.894</v>
      </c>
      <c r="G97">
        <v>20</v>
      </c>
      <c r="H97">
        <v>0.25</v>
      </c>
      <c r="I97">
        <v>10</v>
      </c>
      <c r="J97">
        <v>0</v>
      </c>
      <c r="K97">
        <v>0</v>
      </c>
      <c r="L97">
        <v>10</v>
      </c>
      <c r="M97">
        <v>0</v>
      </c>
      <c r="N97">
        <v>5.0000000000000004E-6</v>
      </c>
      <c r="O97">
        <v>10</v>
      </c>
      <c r="P97">
        <v>-6.5013384058834684E-5</v>
      </c>
      <c r="Q97">
        <v>3.7915845587953572E-5</v>
      </c>
      <c r="R97">
        <v>2.2132868810653972</v>
      </c>
      <c r="S97">
        <v>10002.381127398919</v>
      </c>
      <c r="T97">
        <v>0.3282657090144801</v>
      </c>
      <c r="U97">
        <v>2.140027831104732</v>
      </c>
      <c r="V97">
        <v>1.0199998356160841E-5</v>
      </c>
      <c r="W97">
        <v>0.1414514721717077</v>
      </c>
    </row>
    <row r="98" spans="1:23">
      <c r="A98" t="s">
        <v>512</v>
      </c>
      <c r="B98">
        <v>53</v>
      </c>
      <c r="C98" t="s">
        <v>90</v>
      </c>
      <c r="D98">
        <v>5</v>
      </c>
      <c r="E98">
        <v>-10</v>
      </c>
      <c r="F98">
        <v>53.077100000000002</v>
      </c>
      <c r="G98">
        <v>20</v>
      </c>
      <c r="H98">
        <v>0.25</v>
      </c>
      <c r="I98">
        <v>10</v>
      </c>
      <c r="J98">
        <v>0</v>
      </c>
      <c r="K98">
        <v>0</v>
      </c>
      <c r="L98">
        <v>10</v>
      </c>
      <c r="M98">
        <v>0</v>
      </c>
      <c r="N98">
        <v>0</v>
      </c>
      <c r="O98">
        <v>10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3.768103381691016E-4</v>
      </c>
      <c r="W98">
        <v>3.7681033816879581</v>
      </c>
    </row>
    <row r="99" spans="1:23">
      <c r="A99" t="s">
        <v>512</v>
      </c>
      <c r="B99">
        <v>400</v>
      </c>
      <c r="C99" t="s">
        <v>90</v>
      </c>
      <c r="D99">
        <v>-2</v>
      </c>
      <c r="E99">
        <v>-10</v>
      </c>
      <c r="F99">
        <v>399.78199999999998</v>
      </c>
      <c r="G99">
        <v>20</v>
      </c>
      <c r="H99">
        <v>0.25</v>
      </c>
      <c r="I99">
        <v>10</v>
      </c>
      <c r="J99">
        <v>0</v>
      </c>
      <c r="K99">
        <v>0</v>
      </c>
      <c r="L99">
        <v>10</v>
      </c>
      <c r="M99">
        <v>0</v>
      </c>
      <c r="N99">
        <v>0</v>
      </c>
      <c r="O99">
        <v>10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5.0027264860232102E-5</v>
      </c>
      <c r="W99">
        <v>0.50027264859944132</v>
      </c>
    </row>
    <row r="100" spans="1:23">
      <c r="A100" t="s">
        <v>512</v>
      </c>
      <c r="B100">
        <v>1000</v>
      </c>
      <c r="C100" t="s">
        <v>90</v>
      </c>
      <c r="D100">
        <v>-1</v>
      </c>
      <c r="E100">
        <v>-10</v>
      </c>
      <c r="F100">
        <v>1000.897</v>
      </c>
      <c r="G100">
        <v>20</v>
      </c>
      <c r="H100">
        <v>0.25</v>
      </c>
      <c r="I100">
        <v>10</v>
      </c>
      <c r="J100">
        <v>0</v>
      </c>
      <c r="K100">
        <v>0</v>
      </c>
      <c r="L100">
        <v>10</v>
      </c>
      <c r="M100">
        <v>0</v>
      </c>
      <c r="N100">
        <v>0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1.998207607849906E-5</v>
      </c>
      <c r="W100">
        <v>0.19982076078498989</v>
      </c>
    </row>
    <row r="101" spans="1:23">
      <c r="A101" t="s">
        <v>636</v>
      </c>
      <c r="B101">
        <v>53</v>
      </c>
      <c r="C101" t="s">
        <v>90</v>
      </c>
      <c r="D101">
        <v>-828</v>
      </c>
      <c r="E101">
        <v>10002996</v>
      </c>
      <c r="F101">
        <v>53.075800000000001</v>
      </c>
      <c r="G101">
        <v>20</v>
      </c>
      <c r="H101">
        <v>0.25</v>
      </c>
      <c r="I101">
        <v>10</v>
      </c>
      <c r="J101">
        <v>0</v>
      </c>
      <c r="K101">
        <v>0</v>
      </c>
      <c r="L101">
        <v>10</v>
      </c>
      <c r="M101">
        <v>0</v>
      </c>
      <c r="N101">
        <v>5.0000000000000004E-6</v>
      </c>
      <c r="O101">
        <v>10</v>
      </c>
      <c r="P101">
        <v>-8.3311936815635892E-3</v>
      </c>
      <c r="Q101">
        <v>5.1983605468323155E-4</v>
      </c>
      <c r="R101">
        <v>2.0465144928294028</v>
      </c>
      <c r="S101">
        <v>100030.8702312743</v>
      </c>
      <c r="T101">
        <v>4.9252524073377302</v>
      </c>
      <c r="U101">
        <v>2.0329856272737881</v>
      </c>
      <c r="V101">
        <v>3.8987068994079428E-4</v>
      </c>
      <c r="W101">
        <v>4.0200131477969343</v>
      </c>
    </row>
    <row r="102" spans="1:23">
      <c r="A102" t="s">
        <v>636</v>
      </c>
      <c r="B102">
        <v>400</v>
      </c>
      <c r="C102" t="s">
        <v>90</v>
      </c>
      <c r="D102">
        <v>-792</v>
      </c>
      <c r="E102">
        <v>10002957</v>
      </c>
      <c r="F102">
        <v>399.81200000000001</v>
      </c>
      <c r="G102">
        <v>20</v>
      </c>
      <c r="H102">
        <v>0.25</v>
      </c>
      <c r="I102">
        <v>10</v>
      </c>
      <c r="J102">
        <v>0</v>
      </c>
      <c r="K102">
        <v>0</v>
      </c>
      <c r="L102">
        <v>10</v>
      </c>
      <c r="M102">
        <v>0</v>
      </c>
      <c r="N102">
        <v>5.0000000000000004E-6</v>
      </c>
      <c r="O102">
        <v>10</v>
      </c>
      <c r="P102">
        <v>-7.9011320629474649E-3</v>
      </c>
      <c r="Q102">
        <v>3.840331301996045E-4</v>
      </c>
      <c r="R102">
        <v>2.1879374386675572</v>
      </c>
      <c r="S102">
        <v>100030.4802281154</v>
      </c>
      <c r="T102">
        <v>3.349576066417677</v>
      </c>
      <c r="U102">
        <v>2.1189061881574829</v>
      </c>
      <c r="V102">
        <v>1.118411414646074E-4</v>
      </c>
      <c r="W102">
        <v>1.4870867086464219</v>
      </c>
    </row>
    <row r="103" spans="1:23">
      <c r="A103" t="s">
        <v>636</v>
      </c>
      <c r="B103">
        <v>1000</v>
      </c>
      <c r="C103" t="s">
        <v>90</v>
      </c>
      <c r="D103">
        <v>-784</v>
      </c>
      <c r="E103">
        <v>10002857</v>
      </c>
      <c r="F103">
        <v>1000.9450000000001</v>
      </c>
      <c r="G103">
        <v>20</v>
      </c>
      <c r="H103">
        <v>0.25</v>
      </c>
      <c r="I103">
        <v>10</v>
      </c>
      <c r="J103">
        <v>0</v>
      </c>
      <c r="K103">
        <v>0</v>
      </c>
      <c r="L103">
        <v>10</v>
      </c>
      <c r="M103">
        <v>0</v>
      </c>
      <c r="N103">
        <v>5.0000000000000004E-6</v>
      </c>
      <c r="O103">
        <v>10</v>
      </c>
      <c r="P103">
        <v>-7.8311220320099548E-3</v>
      </c>
      <c r="Q103">
        <v>3.7917926020147549E-4</v>
      </c>
      <c r="R103">
        <v>2.213291008593075</v>
      </c>
      <c r="S103">
        <v>100029.4802200155</v>
      </c>
      <c r="T103">
        <v>3.2828332262179831</v>
      </c>
      <c r="U103">
        <v>2.140031471106187</v>
      </c>
      <c r="V103">
        <v>1.020055588094604E-4</v>
      </c>
      <c r="W103">
        <v>1.41459428658532</v>
      </c>
    </row>
    <row r="104" spans="1:23">
      <c r="A104" t="s">
        <v>512</v>
      </c>
      <c r="B104">
        <v>1600</v>
      </c>
      <c r="C104" t="s">
        <v>88</v>
      </c>
      <c r="D104">
        <v>-1</v>
      </c>
      <c r="E104">
        <v>-9</v>
      </c>
      <c r="F104">
        <v>1600.1</v>
      </c>
      <c r="G104">
        <v>20</v>
      </c>
      <c r="H104">
        <v>0.25</v>
      </c>
      <c r="I104">
        <v>10</v>
      </c>
      <c r="J104">
        <v>0</v>
      </c>
      <c r="K104">
        <v>0</v>
      </c>
      <c r="L104">
        <v>10</v>
      </c>
      <c r="M104">
        <v>0</v>
      </c>
      <c r="N104">
        <v>0</v>
      </c>
      <c r="O104">
        <v>10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1.2499218799933511E-7</v>
      </c>
      <c r="W104">
        <v>1.249921879986043E-3</v>
      </c>
    </row>
    <row r="105" spans="1:23">
      <c r="A105" t="s">
        <v>637</v>
      </c>
      <c r="B105">
        <v>1600</v>
      </c>
      <c r="C105" t="s">
        <v>88</v>
      </c>
      <c r="D105">
        <v>1000</v>
      </c>
      <c r="E105">
        <v>6324591</v>
      </c>
      <c r="F105">
        <v>1600.08</v>
      </c>
      <c r="G105">
        <v>20</v>
      </c>
      <c r="H105">
        <v>0.25</v>
      </c>
      <c r="I105">
        <v>10</v>
      </c>
      <c r="J105">
        <v>3.1500000000000001E-4</v>
      </c>
      <c r="K105">
        <v>3.15E-5</v>
      </c>
      <c r="L105">
        <v>10</v>
      </c>
      <c r="M105">
        <v>0</v>
      </c>
      <c r="N105">
        <v>5.0000000000000004E-6</v>
      </c>
      <c r="O105">
        <v>10</v>
      </c>
      <c r="P105">
        <v>1.001206114506054E-4</v>
      </c>
      <c r="Q105">
        <v>2.4069304832975711E-6</v>
      </c>
      <c r="R105">
        <v>2.2047268281331718</v>
      </c>
      <c r="S105">
        <v>632.5047154940986</v>
      </c>
      <c r="T105">
        <v>2.0885643612010601E-2</v>
      </c>
      <c r="U105">
        <v>2.1328648615221359</v>
      </c>
      <c r="V105">
        <v>6.447375240813301E-7</v>
      </c>
      <c r="W105">
        <v>8.9428415396666499E-3</v>
      </c>
    </row>
    <row r="106" spans="1:23">
      <c r="A106" t="s">
        <v>512</v>
      </c>
      <c r="B106">
        <v>1600</v>
      </c>
      <c r="C106" t="s">
        <v>89</v>
      </c>
      <c r="D106">
        <v>0</v>
      </c>
      <c r="E106">
        <v>-22</v>
      </c>
      <c r="F106">
        <v>1600</v>
      </c>
      <c r="G106">
        <v>20</v>
      </c>
      <c r="H106">
        <v>0.25</v>
      </c>
      <c r="I106">
        <v>10</v>
      </c>
      <c r="J106">
        <v>0</v>
      </c>
      <c r="K106">
        <v>0</v>
      </c>
      <c r="L106">
        <v>10</v>
      </c>
      <c r="M106">
        <v>0</v>
      </c>
      <c r="N106">
        <v>0</v>
      </c>
      <c r="O106">
        <v>10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1.250000000193627E-6</v>
      </c>
      <c r="W106">
        <v>1.25000000037951E-2</v>
      </c>
    </row>
    <row r="107" spans="1:23">
      <c r="A107" t="s">
        <v>638</v>
      </c>
      <c r="B107">
        <v>1600</v>
      </c>
      <c r="C107" t="s">
        <v>89</v>
      </c>
      <c r="D107">
        <v>99864</v>
      </c>
      <c r="E107">
        <v>2000407</v>
      </c>
      <c r="F107">
        <v>1600.05</v>
      </c>
      <c r="G107">
        <v>20</v>
      </c>
      <c r="H107">
        <v>0.25</v>
      </c>
      <c r="I107">
        <v>10</v>
      </c>
      <c r="J107">
        <v>3.1500000000000001E-4</v>
      </c>
      <c r="K107">
        <v>3.15E-5</v>
      </c>
      <c r="L107">
        <v>10</v>
      </c>
      <c r="M107">
        <v>0</v>
      </c>
      <c r="N107">
        <v>5.0000000000000004E-6</v>
      </c>
      <c r="O107">
        <v>10</v>
      </c>
      <c r="P107">
        <v>9.9884562856176404E-2</v>
      </c>
      <c r="Q107">
        <v>3.8312341442776927E-5</v>
      </c>
      <c r="R107">
        <v>2.1127724230093929</v>
      </c>
      <c r="S107">
        <v>2000.5704321398091</v>
      </c>
      <c r="T107">
        <v>8.300474007012075E-2</v>
      </c>
      <c r="U107">
        <v>2.026108743499266</v>
      </c>
      <c r="V107">
        <v>2.7422753047874541E-6</v>
      </c>
      <c r="W107">
        <v>3.2255844777849443E-2</v>
      </c>
    </row>
    <row r="108" spans="1:23">
      <c r="A108" t="s">
        <v>512</v>
      </c>
      <c r="B108">
        <v>53</v>
      </c>
      <c r="C108" t="s">
        <v>43</v>
      </c>
      <c r="D108">
        <v>29</v>
      </c>
      <c r="E108">
        <v>12</v>
      </c>
      <c r="F108">
        <v>53.103099999999998</v>
      </c>
      <c r="G108">
        <v>20</v>
      </c>
      <c r="H108">
        <v>0.25</v>
      </c>
      <c r="I108">
        <v>10</v>
      </c>
      <c r="J108">
        <v>0</v>
      </c>
      <c r="K108">
        <v>0</v>
      </c>
      <c r="L108">
        <v>10</v>
      </c>
      <c r="M108">
        <v>0</v>
      </c>
      <c r="N108">
        <v>0</v>
      </c>
      <c r="O108">
        <v>10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3.7663222710324016E-15</v>
      </c>
      <c r="W108">
        <v>9.0113413731405128E-14</v>
      </c>
    </row>
    <row r="109" spans="1:23">
      <c r="A109" t="s">
        <v>512</v>
      </c>
      <c r="B109">
        <v>400</v>
      </c>
      <c r="C109" t="s">
        <v>43</v>
      </c>
      <c r="D109">
        <v>6</v>
      </c>
      <c r="E109">
        <v>17</v>
      </c>
      <c r="F109">
        <v>400.108</v>
      </c>
      <c r="G109">
        <v>20</v>
      </c>
      <c r="H109">
        <v>0.25</v>
      </c>
      <c r="I109">
        <v>10</v>
      </c>
      <c r="J109">
        <v>0</v>
      </c>
      <c r="K109">
        <v>0</v>
      </c>
      <c r="L109">
        <v>10</v>
      </c>
      <c r="M109">
        <v>0</v>
      </c>
      <c r="N109">
        <v>0</v>
      </c>
      <c r="O109">
        <v>10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4.9987823727035142E-16</v>
      </c>
      <c r="W109">
        <v>6.7880795945419471E-13</v>
      </c>
    </row>
    <row r="110" spans="1:23">
      <c r="A110" t="s">
        <v>512</v>
      </c>
      <c r="B110">
        <v>1000</v>
      </c>
      <c r="C110" t="s">
        <v>43</v>
      </c>
      <c r="D110">
        <v>6</v>
      </c>
      <c r="E110">
        <v>20</v>
      </c>
      <c r="F110">
        <v>1000</v>
      </c>
      <c r="G110">
        <v>20</v>
      </c>
      <c r="H110">
        <v>0.25</v>
      </c>
      <c r="I110">
        <v>10</v>
      </c>
      <c r="J110">
        <v>0</v>
      </c>
      <c r="K110">
        <v>0</v>
      </c>
      <c r="L110">
        <v>10</v>
      </c>
      <c r="M110">
        <v>0</v>
      </c>
      <c r="N110">
        <v>0</v>
      </c>
      <c r="O110">
        <v>10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2.000132008301902E-16</v>
      </c>
      <c r="W110">
        <v>1.696561826942212E-12</v>
      </c>
    </row>
    <row r="111" spans="1:23">
      <c r="A111" t="s">
        <v>639</v>
      </c>
      <c r="B111">
        <v>53</v>
      </c>
      <c r="C111" t="s">
        <v>43</v>
      </c>
      <c r="D111">
        <v>21</v>
      </c>
      <c r="E111">
        <v>8</v>
      </c>
      <c r="F111">
        <v>53.113199999999999</v>
      </c>
      <c r="G111">
        <v>20</v>
      </c>
      <c r="H111">
        <v>0.25</v>
      </c>
      <c r="I111">
        <v>10</v>
      </c>
      <c r="J111">
        <v>0</v>
      </c>
      <c r="K111">
        <v>0</v>
      </c>
      <c r="L111">
        <v>10</v>
      </c>
      <c r="M111">
        <v>0</v>
      </c>
      <c r="N111">
        <v>0</v>
      </c>
      <c r="O111">
        <v>10</v>
      </c>
      <c r="P111">
        <v>-8.0005031455873763E-16</v>
      </c>
      <c r="Q111">
        <v>3.9479818130365563E-15</v>
      </c>
      <c r="R111">
        <v>2.0844813731878782</v>
      </c>
      <c r="S111">
        <v>-3.9997108193533068E-13</v>
      </c>
      <c r="T111">
        <v>3.9474481253514853E-11</v>
      </c>
      <c r="U111">
        <v>2.0844813731992442</v>
      </c>
      <c r="V111">
        <v>3.7655884786487957E-15</v>
      </c>
      <c r="W111">
        <v>9.0123344139943624E-14</v>
      </c>
    </row>
    <row r="112" spans="1:23">
      <c r="A112" t="s">
        <v>639</v>
      </c>
      <c r="B112">
        <v>400</v>
      </c>
      <c r="C112" t="s">
        <v>43</v>
      </c>
      <c r="D112">
        <v>6</v>
      </c>
      <c r="E112">
        <v>17</v>
      </c>
      <c r="F112">
        <v>400.08100000000002</v>
      </c>
      <c r="G112">
        <v>20</v>
      </c>
      <c r="H112">
        <v>0.25</v>
      </c>
      <c r="I112">
        <v>10</v>
      </c>
      <c r="J112">
        <v>0</v>
      </c>
      <c r="K112">
        <v>0</v>
      </c>
      <c r="L112">
        <v>10</v>
      </c>
      <c r="M112">
        <v>0</v>
      </c>
      <c r="N112">
        <v>0</v>
      </c>
      <c r="O112">
        <v>10</v>
      </c>
      <c r="P112">
        <v>9.8607613152626476E-32</v>
      </c>
      <c r="Q112">
        <v>9.6653091423885827E-16</v>
      </c>
      <c r="R112">
        <v>2.064012940498773</v>
      </c>
      <c r="S112">
        <v>0</v>
      </c>
      <c r="T112">
        <v>9.6640025872692468E-12</v>
      </c>
      <c r="U112">
        <v>2.064012940498773</v>
      </c>
      <c r="V112">
        <v>4.9991197132916427E-16</v>
      </c>
      <c r="W112">
        <v>6.7876215228486728E-13</v>
      </c>
    </row>
    <row r="113" spans="1:23">
      <c r="A113" t="s">
        <v>639</v>
      </c>
      <c r="B113">
        <v>1000</v>
      </c>
      <c r="C113" t="s">
        <v>43</v>
      </c>
      <c r="D113">
        <v>6</v>
      </c>
      <c r="E113">
        <v>20</v>
      </c>
      <c r="F113">
        <v>1000.178</v>
      </c>
      <c r="G113">
        <v>20</v>
      </c>
      <c r="H113">
        <v>0.25</v>
      </c>
      <c r="I113">
        <v>10</v>
      </c>
      <c r="J113">
        <v>0</v>
      </c>
      <c r="K113">
        <v>0</v>
      </c>
      <c r="L113">
        <v>10</v>
      </c>
      <c r="M113">
        <v>0</v>
      </c>
      <c r="N113">
        <v>0</v>
      </c>
      <c r="O113">
        <v>10</v>
      </c>
      <c r="P113">
        <v>0</v>
      </c>
      <c r="Q113">
        <v>5.5280601441022533E-16</v>
      </c>
      <c r="R113">
        <v>2.034377152676424</v>
      </c>
      <c r="S113">
        <v>0</v>
      </c>
      <c r="T113">
        <v>5.5273128617158484E-12</v>
      </c>
      <c r="U113">
        <v>2.034377152676424</v>
      </c>
      <c r="V113">
        <v>1.9997760716586249E-16</v>
      </c>
      <c r="W113">
        <v>1.696863814947408E-12</v>
      </c>
    </row>
    <row r="115" spans="1:23">
      <c r="A115" t="e">
        <f>A2-A59</f>
        <v>#VALUE!</v>
      </c>
      <c r="B115">
        <f t="shared" ref="B115:W115" si="22">B2-B59</f>
        <v>0</v>
      </c>
      <c r="C115" t="e">
        <f t="shared" si="22"/>
        <v>#VALUE!</v>
      </c>
      <c r="D115">
        <f t="shared" si="22"/>
        <v>0</v>
      </c>
      <c r="E115">
        <f t="shared" si="22"/>
        <v>0</v>
      </c>
      <c r="F115">
        <f t="shared" si="22"/>
        <v>3.2999999999958618E-3</v>
      </c>
      <c r="G115">
        <f t="shared" si="22"/>
        <v>0</v>
      </c>
      <c r="H115">
        <f t="shared" si="22"/>
        <v>0</v>
      </c>
      <c r="I115">
        <f t="shared" si="22"/>
        <v>0</v>
      </c>
      <c r="J115">
        <f t="shared" si="22"/>
        <v>0</v>
      </c>
      <c r="K115">
        <f t="shared" si="22"/>
        <v>0</v>
      </c>
      <c r="L115">
        <f t="shared" si="22"/>
        <v>0</v>
      </c>
      <c r="M115">
        <f t="shared" si="22"/>
        <v>0</v>
      </c>
      <c r="N115">
        <f t="shared" si="22"/>
        <v>0</v>
      </c>
      <c r="O115">
        <f t="shared" si="22"/>
        <v>0</v>
      </c>
      <c r="P115">
        <f t="shared" si="22"/>
        <v>0</v>
      </c>
      <c r="Q115">
        <f t="shared" si="22"/>
        <v>-8.7280482921305587E-14</v>
      </c>
      <c r="R115">
        <f t="shared" si="22"/>
        <v>-6.4869958738000832E-8</v>
      </c>
      <c r="S115">
        <f t="shared" si="22"/>
        <v>0</v>
      </c>
      <c r="T115">
        <f t="shared" si="22"/>
        <v>-8.7268770209119727E-10</v>
      </c>
      <c r="U115">
        <f t="shared" si="22"/>
        <v>-6.4839775770764163E-8</v>
      </c>
      <c r="V115">
        <f t="shared" si="22"/>
        <v>-2.3407171724829602E-13</v>
      </c>
      <c r="W115">
        <f t="shared" si="22"/>
        <v>-2.3407159985844588E-9</v>
      </c>
    </row>
    <row r="116" spans="1:23">
      <c r="A116" t="e">
        <f t="shared" ref="A116:W116" si="23">A3-A60</f>
        <v>#VALUE!</v>
      </c>
      <c r="B116">
        <f t="shared" si="23"/>
        <v>0</v>
      </c>
      <c r="C116" t="e">
        <f t="shared" si="23"/>
        <v>#VALUE!</v>
      </c>
      <c r="D116">
        <f t="shared" si="23"/>
        <v>0</v>
      </c>
      <c r="E116">
        <f t="shared" si="23"/>
        <v>0</v>
      </c>
      <c r="F116">
        <f t="shared" si="23"/>
        <v>0</v>
      </c>
      <c r="G116">
        <f t="shared" si="23"/>
        <v>0</v>
      </c>
      <c r="H116">
        <f t="shared" si="23"/>
        <v>0</v>
      </c>
      <c r="I116">
        <f t="shared" si="23"/>
        <v>0</v>
      </c>
      <c r="J116">
        <f t="shared" si="23"/>
        <v>0</v>
      </c>
      <c r="K116">
        <f t="shared" si="23"/>
        <v>0</v>
      </c>
      <c r="L116">
        <f t="shared" si="23"/>
        <v>0</v>
      </c>
      <c r="M116">
        <f t="shared" si="23"/>
        <v>0</v>
      </c>
      <c r="N116">
        <f t="shared" si="23"/>
        <v>0</v>
      </c>
      <c r="O116">
        <f t="shared" si="23"/>
        <v>0</v>
      </c>
      <c r="P116">
        <f t="shared" si="23"/>
        <v>0</v>
      </c>
      <c r="Q116">
        <f t="shared" si="23"/>
        <v>0</v>
      </c>
      <c r="R116">
        <f t="shared" si="23"/>
        <v>0</v>
      </c>
      <c r="S116">
        <f t="shared" si="23"/>
        <v>0</v>
      </c>
      <c r="T116">
        <f t="shared" si="23"/>
        <v>0</v>
      </c>
      <c r="U116">
        <f t="shared" si="23"/>
        <v>0</v>
      </c>
      <c r="V116">
        <f t="shared" si="23"/>
        <v>0</v>
      </c>
      <c r="W116">
        <f t="shared" si="23"/>
        <v>0</v>
      </c>
    </row>
    <row r="117" spans="1:23">
      <c r="A117" t="e">
        <f t="shared" ref="A117:W117" si="24">A4-A61</f>
        <v>#VALUE!</v>
      </c>
      <c r="B117">
        <f t="shared" si="24"/>
        <v>0</v>
      </c>
      <c r="C117" t="e">
        <f t="shared" si="24"/>
        <v>#VALUE!</v>
      </c>
      <c r="D117">
        <f t="shared" si="24"/>
        <v>0</v>
      </c>
      <c r="E117">
        <f t="shared" si="24"/>
        <v>0</v>
      </c>
      <c r="F117">
        <f t="shared" si="24"/>
        <v>0</v>
      </c>
      <c r="G117">
        <f t="shared" si="24"/>
        <v>0</v>
      </c>
      <c r="H117">
        <f t="shared" si="24"/>
        <v>0</v>
      </c>
      <c r="I117">
        <f t="shared" si="24"/>
        <v>0</v>
      </c>
      <c r="J117">
        <f t="shared" si="24"/>
        <v>0</v>
      </c>
      <c r="K117">
        <f t="shared" si="24"/>
        <v>0</v>
      </c>
      <c r="L117">
        <f t="shared" si="24"/>
        <v>0</v>
      </c>
      <c r="M117">
        <f t="shared" si="24"/>
        <v>0</v>
      </c>
      <c r="N117">
        <f t="shared" si="24"/>
        <v>0</v>
      </c>
      <c r="O117">
        <f t="shared" si="24"/>
        <v>0</v>
      </c>
      <c r="P117">
        <f t="shared" si="24"/>
        <v>0</v>
      </c>
      <c r="Q117">
        <f t="shared" si="24"/>
        <v>0</v>
      </c>
      <c r="R117">
        <f t="shared" si="24"/>
        <v>0</v>
      </c>
      <c r="S117">
        <f t="shared" si="24"/>
        <v>0</v>
      </c>
      <c r="T117">
        <f t="shared" si="24"/>
        <v>0</v>
      </c>
      <c r="U117">
        <f t="shared" si="24"/>
        <v>0</v>
      </c>
      <c r="V117">
        <f t="shared" si="24"/>
        <v>0</v>
      </c>
      <c r="W117">
        <f t="shared" si="24"/>
        <v>0</v>
      </c>
    </row>
    <row r="118" spans="1:23">
      <c r="A118" t="e">
        <f t="shared" ref="A118:W118" si="25">A5-A62</f>
        <v>#VALUE!</v>
      </c>
      <c r="B118">
        <f t="shared" si="25"/>
        <v>0</v>
      </c>
      <c r="C118" t="e">
        <f t="shared" si="25"/>
        <v>#VALUE!</v>
      </c>
      <c r="D118">
        <f t="shared" si="25"/>
        <v>0</v>
      </c>
      <c r="E118">
        <f t="shared" si="25"/>
        <v>0</v>
      </c>
      <c r="F118">
        <f t="shared" si="25"/>
        <v>0</v>
      </c>
      <c r="G118">
        <f t="shared" si="25"/>
        <v>0</v>
      </c>
      <c r="H118">
        <f t="shared" si="25"/>
        <v>0</v>
      </c>
      <c r="I118">
        <f t="shared" si="25"/>
        <v>0</v>
      </c>
      <c r="J118">
        <f t="shared" si="25"/>
        <v>0</v>
      </c>
      <c r="K118">
        <f t="shared" si="25"/>
        <v>0</v>
      </c>
      <c r="L118">
        <f t="shared" si="25"/>
        <v>0</v>
      </c>
      <c r="M118">
        <f t="shared" si="25"/>
        <v>0</v>
      </c>
      <c r="N118">
        <f t="shared" si="25"/>
        <v>0</v>
      </c>
      <c r="O118">
        <f t="shared" si="25"/>
        <v>0</v>
      </c>
      <c r="P118">
        <f t="shared" si="25"/>
        <v>0</v>
      </c>
      <c r="Q118">
        <f t="shared" si="25"/>
        <v>0</v>
      </c>
      <c r="R118">
        <f t="shared" si="25"/>
        <v>0</v>
      </c>
      <c r="S118">
        <f t="shared" si="25"/>
        <v>0</v>
      </c>
      <c r="T118">
        <f t="shared" si="25"/>
        <v>0</v>
      </c>
      <c r="U118">
        <f t="shared" si="25"/>
        <v>0</v>
      </c>
      <c r="V118">
        <f t="shared" si="25"/>
        <v>0</v>
      </c>
      <c r="W118">
        <f t="shared" si="25"/>
        <v>0</v>
      </c>
    </row>
    <row r="119" spans="1:23">
      <c r="A119" t="e">
        <f t="shared" ref="A119:W119" si="26">A6-A63</f>
        <v>#VALUE!</v>
      </c>
      <c r="B119">
        <f t="shared" si="26"/>
        <v>0</v>
      </c>
      <c r="C119" t="e">
        <f t="shared" si="26"/>
        <v>#VALUE!</v>
      </c>
      <c r="D119">
        <f t="shared" si="26"/>
        <v>0</v>
      </c>
      <c r="E119">
        <f t="shared" si="26"/>
        <v>0</v>
      </c>
      <c r="F119">
        <f t="shared" si="26"/>
        <v>0</v>
      </c>
      <c r="G119">
        <f t="shared" si="26"/>
        <v>0</v>
      </c>
      <c r="H119">
        <f t="shared" si="26"/>
        <v>0</v>
      </c>
      <c r="I119">
        <f t="shared" si="26"/>
        <v>0</v>
      </c>
      <c r="J119">
        <f t="shared" si="26"/>
        <v>0</v>
      </c>
      <c r="K119">
        <f t="shared" si="26"/>
        <v>0</v>
      </c>
      <c r="L119">
        <f t="shared" si="26"/>
        <v>0</v>
      </c>
      <c r="M119">
        <f t="shared" si="26"/>
        <v>0</v>
      </c>
      <c r="N119">
        <f t="shared" si="26"/>
        <v>0</v>
      </c>
      <c r="O119">
        <f t="shared" si="26"/>
        <v>0</v>
      </c>
      <c r="P119">
        <f t="shared" si="26"/>
        <v>0</v>
      </c>
      <c r="Q119">
        <f t="shared" si="26"/>
        <v>0</v>
      </c>
      <c r="R119">
        <f t="shared" si="26"/>
        <v>0</v>
      </c>
      <c r="S119">
        <f t="shared" si="26"/>
        <v>0</v>
      </c>
      <c r="T119">
        <f t="shared" si="26"/>
        <v>0</v>
      </c>
      <c r="U119">
        <f t="shared" si="26"/>
        <v>0</v>
      </c>
      <c r="V119">
        <f t="shared" si="26"/>
        <v>0</v>
      </c>
      <c r="W119">
        <f t="shared" si="26"/>
        <v>0</v>
      </c>
    </row>
    <row r="120" spans="1:23">
      <c r="A120" t="e">
        <f t="shared" ref="A120:W120" si="27">A7-A64</f>
        <v>#VALUE!</v>
      </c>
      <c r="B120">
        <f t="shared" si="27"/>
        <v>0</v>
      </c>
      <c r="C120" t="e">
        <f t="shared" si="27"/>
        <v>#VALUE!</v>
      </c>
      <c r="D120">
        <f t="shared" si="27"/>
        <v>0</v>
      </c>
      <c r="E120">
        <f t="shared" si="27"/>
        <v>0</v>
      </c>
      <c r="F120">
        <f t="shared" si="27"/>
        <v>0</v>
      </c>
      <c r="G120">
        <f t="shared" si="27"/>
        <v>0</v>
      </c>
      <c r="H120">
        <f t="shared" si="27"/>
        <v>0</v>
      </c>
      <c r="I120">
        <f t="shared" si="27"/>
        <v>0</v>
      </c>
      <c r="J120">
        <f t="shared" si="27"/>
        <v>0</v>
      </c>
      <c r="K120">
        <f t="shared" si="27"/>
        <v>0</v>
      </c>
      <c r="L120">
        <f t="shared" si="27"/>
        <v>0</v>
      </c>
      <c r="M120">
        <f t="shared" si="27"/>
        <v>0</v>
      </c>
      <c r="N120">
        <f t="shared" si="27"/>
        <v>0</v>
      </c>
      <c r="O120">
        <f t="shared" si="27"/>
        <v>0</v>
      </c>
      <c r="P120">
        <f t="shared" si="27"/>
        <v>0</v>
      </c>
      <c r="Q120">
        <f t="shared" si="27"/>
        <v>0</v>
      </c>
      <c r="R120">
        <f t="shared" si="27"/>
        <v>0</v>
      </c>
      <c r="S120">
        <f t="shared" si="27"/>
        <v>0</v>
      </c>
      <c r="T120">
        <f t="shared" si="27"/>
        <v>0</v>
      </c>
      <c r="U120">
        <f t="shared" si="27"/>
        <v>0</v>
      </c>
      <c r="V120">
        <f t="shared" si="27"/>
        <v>0</v>
      </c>
      <c r="W120">
        <f t="shared" si="27"/>
        <v>0</v>
      </c>
    </row>
    <row r="121" spans="1:23">
      <c r="A121" t="e">
        <f t="shared" ref="A121:W121" si="28">A8-A65</f>
        <v>#VALUE!</v>
      </c>
      <c r="B121">
        <f t="shared" si="28"/>
        <v>0</v>
      </c>
      <c r="C121" t="e">
        <f t="shared" si="28"/>
        <v>#VALUE!</v>
      </c>
      <c r="D121">
        <f t="shared" si="28"/>
        <v>0</v>
      </c>
      <c r="E121">
        <f t="shared" si="28"/>
        <v>0</v>
      </c>
      <c r="F121">
        <f t="shared" si="28"/>
        <v>0</v>
      </c>
      <c r="G121">
        <f t="shared" si="28"/>
        <v>0</v>
      </c>
      <c r="H121">
        <f t="shared" si="28"/>
        <v>0</v>
      </c>
      <c r="I121">
        <f t="shared" si="28"/>
        <v>0</v>
      </c>
      <c r="J121">
        <f t="shared" si="28"/>
        <v>0</v>
      </c>
      <c r="K121">
        <f t="shared" si="28"/>
        <v>0</v>
      </c>
      <c r="L121">
        <f t="shared" si="28"/>
        <v>0</v>
      </c>
      <c r="M121">
        <f t="shared" si="28"/>
        <v>0</v>
      </c>
      <c r="N121">
        <f t="shared" si="28"/>
        <v>0</v>
      </c>
      <c r="O121">
        <f t="shared" si="28"/>
        <v>0</v>
      </c>
      <c r="P121">
        <f t="shared" si="28"/>
        <v>0</v>
      </c>
      <c r="Q121">
        <f t="shared" si="28"/>
        <v>0</v>
      </c>
      <c r="R121">
        <f t="shared" si="28"/>
        <v>0</v>
      </c>
      <c r="S121">
        <f t="shared" si="28"/>
        <v>0</v>
      </c>
      <c r="T121">
        <f t="shared" si="28"/>
        <v>0</v>
      </c>
      <c r="U121">
        <f t="shared" si="28"/>
        <v>0</v>
      </c>
      <c r="V121">
        <f t="shared" si="28"/>
        <v>0</v>
      </c>
      <c r="W121">
        <f t="shared" si="28"/>
        <v>0</v>
      </c>
    </row>
    <row r="122" spans="1:23">
      <c r="A122" t="e">
        <f t="shared" ref="A122:W122" si="29">A9-A66</f>
        <v>#VALUE!</v>
      </c>
      <c r="B122">
        <f t="shared" si="29"/>
        <v>0</v>
      </c>
      <c r="C122" t="e">
        <f t="shared" si="29"/>
        <v>#VALUE!</v>
      </c>
      <c r="D122">
        <f t="shared" si="29"/>
        <v>0</v>
      </c>
      <c r="E122">
        <f t="shared" si="29"/>
        <v>0</v>
      </c>
      <c r="F122">
        <f t="shared" si="29"/>
        <v>0</v>
      </c>
      <c r="G122">
        <f t="shared" si="29"/>
        <v>0</v>
      </c>
      <c r="H122">
        <f t="shared" si="29"/>
        <v>0</v>
      </c>
      <c r="I122">
        <f t="shared" si="29"/>
        <v>0</v>
      </c>
      <c r="J122">
        <f t="shared" si="29"/>
        <v>0</v>
      </c>
      <c r="K122">
        <f t="shared" si="29"/>
        <v>0</v>
      </c>
      <c r="L122">
        <f t="shared" si="29"/>
        <v>0</v>
      </c>
      <c r="M122">
        <f t="shared" si="29"/>
        <v>0</v>
      </c>
      <c r="N122">
        <f t="shared" si="29"/>
        <v>0</v>
      </c>
      <c r="O122">
        <f t="shared" si="29"/>
        <v>0</v>
      </c>
      <c r="P122">
        <f t="shared" si="29"/>
        <v>0</v>
      </c>
      <c r="Q122">
        <f t="shared" si="29"/>
        <v>0</v>
      </c>
      <c r="R122">
        <f t="shared" si="29"/>
        <v>0</v>
      </c>
      <c r="S122">
        <f t="shared" si="29"/>
        <v>0</v>
      </c>
      <c r="T122">
        <f t="shared" si="29"/>
        <v>0</v>
      </c>
      <c r="U122">
        <f t="shared" si="29"/>
        <v>0</v>
      </c>
      <c r="V122">
        <f t="shared" si="29"/>
        <v>0</v>
      </c>
      <c r="W122">
        <f t="shared" si="29"/>
        <v>0</v>
      </c>
    </row>
    <row r="123" spans="1:23">
      <c r="A123" t="e">
        <f t="shared" ref="A123:W123" si="30">A10-A67</f>
        <v>#VALUE!</v>
      </c>
      <c r="B123">
        <f t="shared" si="30"/>
        <v>0</v>
      </c>
      <c r="C123" t="e">
        <f t="shared" si="30"/>
        <v>#VALUE!</v>
      </c>
      <c r="D123">
        <f t="shared" si="30"/>
        <v>0</v>
      </c>
      <c r="E123">
        <f t="shared" si="30"/>
        <v>0</v>
      </c>
      <c r="F123">
        <f t="shared" si="30"/>
        <v>0</v>
      </c>
      <c r="G123">
        <f t="shared" si="30"/>
        <v>0</v>
      </c>
      <c r="H123">
        <f t="shared" si="30"/>
        <v>0</v>
      </c>
      <c r="I123">
        <f t="shared" si="30"/>
        <v>0</v>
      </c>
      <c r="J123">
        <f t="shared" si="30"/>
        <v>0</v>
      </c>
      <c r="K123">
        <f t="shared" si="30"/>
        <v>0</v>
      </c>
      <c r="L123">
        <f t="shared" si="30"/>
        <v>0</v>
      </c>
      <c r="M123">
        <f t="shared" si="30"/>
        <v>0</v>
      </c>
      <c r="N123">
        <f t="shared" si="30"/>
        <v>0</v>
      </c>
      <c r="O123">
        <f t="shared" si="30"/>
        <v>0</v>
      </c>
      <c r="P123">
        <f t="shared" si="30"/>
        <v>0</v>
      </c>
      <c r="Q123">
        <f t="shared" si="30"/>
        <v>0</v>
      </c>
      <c r="R123">
        <f t="shared" si="30"/>
        <v>0</v>
      </c>
      <c r="S123">
        <f t="shared" si="30"/>
        <v>0</v>
      </c>
      <c r="T123">
        <f t="shared" si="30"/>
        <v>0</v>
      </c>
      <c r="U123">
        <f t="shared" si="30"/>
        <v>0</v>
      </c>
      <c r="V123">
        <f t="shared" si="30"/>
        <v>0</v>
      </c>
      <c r="W123">
        <f t="shared" si="30"/>
        <v>0</v>
      </c>
    </row>
    <row r="124" spans="1:23">
      <c r="A124" t="e">
        <f t="shared" ref="A124:W124" si="31">A11-A68</f>
        <v>#VALUE!</v>
      </c>
      <c r="B124">
        <f t="shared" si="31"/>
        <v>0</v>
      </c>
      <c r="C124" t="e">
        <f t="shared" si="31"/>
        <v>#VALUE!</v>
      </c>
      <c r="D124">
        <f t="shared" si="31"/>
        <v>0</v>
      </c>
      <c r="E124">
        <f t="shared" si="31"/>
        <v>0</v>
      </c>
      <c r="F124">
        <f t="shared" si="31"/>
        <v>0</v>
      </c>
      <c r="G124">
        <f t="shared" si="31"/>
        <v>0</v>
      </c>
      <c r="H124">
        <f t="shared" si="31"/>
        <v>0</v>
      </c>
      <c r="I124">
        <f t="shared" si="31"/>
        <v>0</v>
      </c>
      <c r="J124">
        <f t="shared" si="31"/>
        <v>0</v>
      </c>
      <c r="K124">
        <f t="shared" si="31"/>
        <v>0</v>
      </c>
      <c r="L124">
        <f t="shared" si="31"/>
        <v>0</v>
      </c>
      <c r="M124">
        <f t="shared" si="31"/>
        <v>0</v>
      </c>
      <c r="N124">
        <f t="shared" si="31"/>
        <v>0</v>
      </c>
      <c r="O124">
        <f t="shared" si="31"/>
        <v>0</v>
      </c>
      <c r="P124">
        <f t="shared" si="31"/>
        <v>0</v>
      </c>
      <c r="Q124">
        <f t="shared" si="31"/>
        <v>0</v>
      </c>
      <c r="R124">
        <f t="shared" si="31"/>
        <v>0</v>
      </c>
      <c r="S124">
        <f t="shared" si="31"/>
        <v>0</v>
      </c>
      <c r="T124">
        <f t="shared" si="31"/>
        <v>0</v>
      </c>
      <c r="U124">
        <f t="shared" si="31"/>
        <v>0</v>
      </c>
      <c r="V124">
        <f t="shared" si="31"/>
        <v>0</v>
      </c>
      <c r="W124">
        <f t="shared" si="31"/>
        <v>0</v>
      </c>
    </row>
    <row r="125" spans="1:23">
      <c r="A125" t="e">
        <f t="shared" ref="A125:W125" si="32">A12-A69</f>
        <v>#VALUE!</v>
      </c>
      <c r="B125">
        <f t="shared" si="32"/>
        <v>0</v>
      </c>
      <c r="C125" t="e">
        <f t="shared" si="32"/>
        <v>#VALUE!</v>
      </c>
      <c r="D125">
        <f t="shared" si="32"/>
        <v>0</v>
      </c>
      <c r="E125">
        <f t="shared" si="32"/>
        <v>0</v>
      </c>
      <c r="F125">
        <f t="shared" si="32"/>
        <v>0</v>
      </c>
      <c r="G125">
        <f t="shared" si="32"/>
        <v>0</v>
      </c>
      <c r="H125">
        <f t="shared" si="32"/>
        <v>0</v>
      </c>
      <c r="I125">
        <f t="shared" si="32"/>
        <v>0</v>
      </c>
      <c r="J125">
        <f t="shared" si="32"/>
        <v>0</v>
      </c>
      <c r="K125">
        <f t="shared" si="32"/>
        <v>0</v>
      </c>
      <c r="L125">
        <f t="shared" si="32"/>
        <v>0</v>
      </c>
      <c r="M125">
        <f t="shared" si="32"/>
        <v>0</v>
      </c>
      <c r="N125">
        <f t="shared" si="32"/>
        <v>0</v>
      </c>
      <c r="O125">
        <f t="shared" si="32"/>
        <v>0</v>
      </c>
      <c r="P125">
        <f t="shared" si="32"/>
        <v>0</v>
      </c>
      <c r="Q125">
        <f t="shared" si="32"/>
        <v>0</v>
      </c>
      <c r="R125">
        <f t="shared" si="32"/>
        <v>0</v>
      </c>
      <c r="S125">
        <f t="shared" si="32"/>
        <v>0</v>
      </c>
      <c r="T125">
        <f t="shared" si="32"/>
        <v>0</v>
      </c>
      <c r="U125">
        <f t="shared" si="32"/>
        <v>0</v>
      </c>
      <c r="V125">
        <f t="shared" si="32"/>
        <v>0</v>
      </c>
      <c r="W125">
        <f t="shared" si="32"/>
        <v>0</v>
      </c>
    </row>
    <row r="126" spans="1:23">
      <c r="A126" t="e">
        <f t="shared" ref="A126:W126" si="33">A13-A70</f>
        <v>#VALUE!</v>
      </c>
      <c r="B126">
        <f t="shared" si="33"/>
        <v>0</v>
      </c>
      <c r="C126" t="e">
        <f t="shared" si="33"/>
        <v>#VALUE!</v>
      </c>
      <c r="D126">
        <f t="shared" si="33"/>
        <v>0</v>
      </c>
      <c r="E126">
        <f t="shared" si="33"/>
        <v>0</v>
      </c>
      <c r="F126">
        <f t="shared" si="33"/>
        <v>0</v>
      </c>
      <c r="G126">
        <f t="shared" si="33"/>
        <v>0</v>
      </c>
      <c r="H126">
        <f t="shared" si="33"/>
        <v>0</v>
      </c>
      <c r="I126">
        <f t="shared" si="33"/>
        <v>0</v>
      </c>
      <c r="J126">
        <f t="shared" si="33"/>
        <v>0</v>
      </c>
      <c r="K126">
        <f t="shared" si="33"/>
        <v>0</v>
      </c>
      <c r="L126">
        <f t="shared" si="33"/>
        <v>0</v>
      </c>
      <c r="M126">
        <f t="shared" si="33"/>
        <v>0</v>
      </c>
      <c r="N126">
        <f t="shared" si="33"/>
        <v>0</v>
      </c>
      <c r="O126">
        <f t="shared" si="33"/>
        <v>0</v>
      </c>
      <c r="P126">
        <f t="shared" si="33"/>
        <v>0</v>
      </c>
      <c r="Q126">
        <f t="shared" si="33"/>
        <v>0</v>
      </c>
      <c r="R126">
        <f t="shared" si="33"/>
        <v>0</v>
      </c>
      <c r="S126">
        <f t="shared" si="33"/>
        <v>0</v>
      </c>
      <c r="T126">
        <f t="shared" si="33"/>
        <v>0</v>
      </c>
      <c r="U126">
        <f t="shared" si="33"/>
        <v>0</v>
      </c>
      <c r="V126">
        <f t="shared" si="33"/>
        <v>0</v>
      </c>
      <c r="W126">
        <f t="shared" si="33"/>
        <v>0</v>
      </c>
    </row>
    <row r="127" spans="1:23">
      <c r="A127" t="e">
        <f t="shared" ref="A127:W127" si="34">A14-A71</f>
        <v>#VALUE!</v>
      </c>
      <c r="B127">
        <f t="shared" si="34"/>
        <v>0</v>
      </c>
      <c r="C127" t="e">
        <f t="shared" si="34"/>
        <v>#VALUE!</v>
      </c>
      <c r="D127">
        <f t="shared" si="34"/>
        <v>0</v>
      </c>
      <c r="E127">
        <f t="shared" si="34"/>
        <v>0</v>
      </c>
      <c r="F127">
        <f t="shared" si="34"/>
        <v>0</v>
      </c>
      <c r="G127">
        <f t="shared" si="34"/>
        <v>0</v>
      </c>
      <c r="H127">
        <f t="shared" si="34"/>
        <v>0</v>
      </c>
      <c r="I127">
        <f t="shared" si="34"/>
        <v>0</v>
      </c>
      <c r="J127">
        <f t="shared" si="34"/>
        <v>0</v>
      </c>
      <c r="K127">
        <f t="shared" si="34"/>
        <v>0</v>
      </c>
      <c r="L127">
        <f t="shared" si="34"/>
        <v>0</v>
      </c>
      <c r="M127">
        <f t="shared" si="34"/>
        <v>0</v>
      </c>
      <c r="N127">
        <f t="shared" si="34"/>
        <v>0</v>
      </c>
      <c r="O127">
        <f t="shared" si="34"/>
        <v>0</v>
      </c>
      <c r="P127">
        <f t="shared" si="34"/>
        <v>0</v>
      </c>
      <c r="Q127">
        <f t="shared" si="34"/>
        <v>0</v>
      </c>
      <c r="R127">
        <f t="shared" si="34"/>
        <v>0</v>
      </c>
      <c r="S127">
        <f t="shared" si="34"/>
        <v>0</v>
      </c>
      <c r="T127">
        <f t="shared" si="34"/>
        <v>0</v>
      </c>
      <c r="U127">
        <f t="shared" si="34"/>
        <v>0</v>
      </c>
      <c r="V127">
        <f t="shared" si="34"/>
        <v>0</v>
      </c>
      <c r="W127">
        <f t="shared" si="34"/>
        <v>0</v>
      </c>
    </row>
    <row r="128" spans="1:23">
      <c r="A128" t="e">
        <f t="shared" ref="A128:W128" si="35">A15-A72</f>
        <v>#VALUE!</v>
      </c>
      <c r="B128">
        <f t="shared" si="35"/>
        <v>0</v>
      </c>
      <c r="C128" t="e">
        <f t="shared" si="35"/>
        <v>#VALUE!</v>
      </c>
      <c r="D128">
        <f t="shared" si="35"/>
        <v>0</v>
      </c>
      <c r="E128">
        <f t="shared" si="35"/>
        <v>0</v>
      </c>
      <c r="F128">
        <f t="shared" si="35"/>
        <v>0</v>
      </c>
      <c r="G128">
        <f t="shared" si="35"/>
        <v>0</v>
      </c>
      <c r="H128">
        <f t="shared" si="35"/>
        <v>0</v>
      </c>
      <c r="I128">
        <f t="shared" si="35"/>
        <v>0</v>
      </c>
      <c r="J128">
        <f t="shared" si="35"/>
        <v>0</v>
      </c>
      <c r="K128">
        <f t="shared" si="35"/>
        <v>0</v>
      </c>
      <c r="L128">
        <f t="shared" si="35"/>
        <v>0</v>
      </c>
      <c r="M128">
        <f t="shared" si="35"/>
        <v>0</v>
      </c>
      <c r="N128">
        <f t="shared" si="35"/>
        <v>0</v>
      </c>
      <c r="O128">
        <f t="shared" si="35"/>
        <v>0</v>
      </c>
      <c r="P128">
        <f t="shared" si="35"/>
        <v>0</v>
      </c>
      <c r="Q128">
        <f t="shared" si="35"/>
        <v>0</v>
      </c>
      <c r="R128">
        <f t="shared" si="35"/>
        <v>0</v>
      </c>
      <c r="S128">
        <f t="shared" si="35"/>
        <v>0</v>
      </c>
      <c r="T128">
        <f t="shared" si="35"/>
        <v>0</v>
      </c>
      <c r="U128">
        <f t="shared" si="35"/>
        <v>0</v>
      </c>
      <c r="V128">
        <f t="shared" si="35"/>
        <v>0</v>
      </c>
      <c r="W128">
        <f t="shared" si="35"/>
        <v>0</v>
      </c>
    </row>
    <row r="129" spans="1:23">
      <c r="A129" t="e">
        <f t="shared" ref="A129:W129" si="36">A16-A73</f>
        <v>#VALUE!</v>
      </c>
      <c r="B129">
        <f t="shared" si="36"/>
        <v>0</v>
      </c>
      <c r="C129" t="e">
        <f t="shared" si="36"/>
        <v>#VALUE!</v>
      </c>
      <c r="D129">
        <f t="shared" si="36"/>
        <v>0</v>
      </c>
      <c r="E129">
        <f t="shared" si="36"/>
        <v>0</v>
      </c>
      <c r="F129">
        <f t="shared" si="36"/>
        <v>0</v>
      </c>
      <c r="G129">
        <f t="shared" si="36"/>
        <v>0</v>
      </c>
      <c r="H129">
        <f t="shared" si="36"/>
        <v>0</v>
      </c>
      <c r="I129">
        <f t="shared" si="36"/>
        <v>0</v>
      </c>
      <c r="J129">
        <f t="shared" si="36"/>
        <v>0</v>
      </c>
      <c r="K129">
        <f t="shared" si="36"/>
        <v>0</v>
      </c>
      <c r="L129">
        <f t="shared" si="36"/>
        <v>0</v>
      </c>
      <c r="M129">
        <f t="shared" si="36"/>
        <v>0</v>
      </c>
      <c r="N129">
        <f t="shared" si="36"/>
        <v>0</v>
      </c>
      <c r="O129">
        <f t="shared" si="36"/>
        <v>0</v>
      </c>
      <c r="P129">
        <f t="shared" si="36"/>
        <v>0</v>
      </c>
      <c r="Q129">
        <f t="shared" si="36"/>
        <v>0</v>
      </c>
      <c r="R129">
        <f t="shared" si="36"/>
        <v>0</v>
      </c>
      <c r="S129">
        <f t="shared" si="36"/>
        <v>0</v>
      </c>
      <c r="T129">
        <f t="shared" si="36"/>
        <v>0</v>
      </c>
      <c r="U129">
        <f t="shared" si="36"/>
        <v>0</v>
      </c>
      <c r="V129">
        <f t="shared" si="36"/>
        <v>0</v>
      </c>
      <c r="W129">
        <f t="shared" si="36"/>
        <v>0</v>
      </c>
    </row>
    <row r="130" spans="1:23">
      <c r="A130" t="e">
        <f t="shared" ref="A130:W130" si="37">A17-A74</f>
        <v>#VALUE!</v>
      </c>
      <c r="B130">
        <f t="shared" si="37"/>
        <v>0</v>
      </c>
      <c r="C130" t="e">
        <f t="shared" si="37"/>
        <v>#VALUE!</v>
      </c>
      <c r="D130">
        <f t="shared" si="37"/>
        <v>0</v>
      </c>
      <c r="E130">
        <f t="shared" si="37"/>
        <v>0</v>
      </c>
      <c r="F130">
        <f t="shared" si="37"/>
        <v>5.000000000002558E-3</v>
      </c>
      <c r="G130">
        <f t="shared" si="37"/>
        <v>0</v>
      </c>
      <c r="H130">
        <f t="shared" si="37"/>
        <v>0</v>
      </c>
      <c r="I130">
        <f t="shared" si="37"/>
        <v>0</v>
      </c>
      <c r="J130">
        <f t="shared" si="37"/>
        <v>0</v>
      </c>
      <c r="K130">
        <f t="shared" si="37"/>
        <v>0</v>
      </c>
      <c r="L130">
        <f t="shared" si="37"/>
        <v>0</v>
      </c>
      <c r="M130">
        <f t="shared" si="37"/>
        <v>0</v>
      </c>
      <c r="N130">
        <f t="shared" si="37"/>
        <v>0</v>
      </c>
      <c r="O130">
        <f t="shared" si="37"/>
        <v>0</v>
      </c>
      <c r="P130">
        <f t="shared" si="37"/>
        <v>0</v>
      </c>
      <c r="Q130">
        <f t="shared" si="37"/>
        <v>0</v>
      </c>
      <c r="R130">
        <f t="shared" si="37"/>
        <v>0</v>
      </c>
      <c r="S130">
        <f t="shared" si="37"/>
        <v>0</v>
      </c>
      <c r="T130">
        <f t="shared" si="37"/>
        <v>0</v>
      </c>
      <c r="U130">
        <f t="shared" si="37"/>
        <v>0</v>
      </c>
      <c r="V130">
        <f t="shared" si="37"/>
        <v>-3.5464294872407394E-12</v>
      </c>
      <c r="W130">
        <f t="shared" si="37"/>
        <v>-3.5464294895995885E-8</v>
      </c>
    </row>
    <row r="131" spans="1:23">
      <c r="A131" t="e">
        <f t="shared" ref="A131:W131" si="38">A18-A75</f>
        <v>#VALUE!</v>
      </c>
      <c r="B131">
        <f t="shared" si="38"/>
        <v>0</v>
      </c>
      <c r="C131" t="e">
        <f t="shared" si="38"/>
        <v>#VALUE!</v>
      </c>
      <c r="D131">
        <f t="shared" si="38"/>
        <v>0</v>
      </c>
      <c r="E131">
        <f t="shared" si="38"/>
        <v>0</v>
      </c>
      <c r="F131">
        <f t="shared" si="38"/>
        <v>0.24500000000000455</v>
      </c>
      <c r="G131">
        <f t="shared" si="38"/>
        <v>0</v>
      </c>
      <c r="H131">
        <f t="shared" si="38"/>
        <v>0</v>
      </c>
      <c r="I131">
        <f t="shared" si="38"/>
        <v>0</v>
      </c>
      <c r="J131">
        <f t="shared" si="38"/>
        <v>0</v>
      </c>
      <c r="K131">
        <f t="shared" si="38"/>
        <v>0</v>
      </c>
      <c r="L131">
        <f t="shared" si="38"/>
        <v>0</v>
      </c>
      <c r="M131">
        <f t="shared" si="38"/>
        <v>0</v>
      </c>
      <c r="N131">
        <f t="shared" si="38"/>
        <v>0</v>
      </c>
      <c r="O131">
        <f t="shared" si="38"/>
        <v>0</v>
      </c>
      <c r="P131">
        <f t="shared" si="38"/>
        <v>0</v>
      </c>
      <c r="Q131">
        <f t="shared" si="38"/>
        <v>0</v>
      </c>
      <c r="R131">
        <f t="shared" si="38"/>
        <v>0</v>
      </c>
      <c r="S131">
        <f t="shared" si="38"/>
        <v>0</v>
      </c>
      <c r="T131">
        <f t="shared" si="38"/>
        <v>0</v>
      </c>
      <c r="U131">
        <f t="shared" si="38"/>
        <v>0</v>
      </c>
      <c r="V131">
        <f t="shared" si="38"/>
        <v>-3.0604723882532485E-12</v>
      </c>
      <c r="W131">
        <f t="shared" si="38"/>
        <v>-3.060472388260034E-8</v>
      </c>
    </row>
    <row r="132" spans="1:23">
      <c r="A132" t="e">
        <f t="shared" ref="A132:W132" si="39">A19-A76</f>
        <v>#VALUE!</v>
      </c>
      <c r="B132">
        <f t="shared" si="39"/>
        <v>0</v>
      </c>
      <c r="C132" t="e">
        <f t="shared" si="39"/>
        <v>#VALUE!</v>
      </c>
      <c r="D132">
        <f t="shared" si="39"/>
        <v>0</v>
      </c>
      <c r="E132">
        <f t="shared" si="39"/>
        <v>0</v>
      </c>
      <c r="F132">
        <f t="shared" si="39"/>
        <v>-7.2000000000002728E-2</v>
      </c>
      <c r="G132">
        <f t="shared" si="39"/>
        <v>0</v>
      </c>
      <c r="H132">
        <f t="shared" si="39"/>
        <v>0</v>
      </c>
      <c r="I132">
        <f t="shared" si="39"/>
        <v>0</v>
      </c>
      <c r="J132">
        <f t="shared" si="39"/>
        <v>0</v>
      </c>
      <c r="K132">
        <f t="shared" si="39"/>
        <v>0</v>
      </c>
      <c r="L132">
        <f t="shared" si="39"/>
        <v>0</v>
      </c>
      <c r="M132">
        <f t="shared" si="39"/>
        <v>0</v>
      </c>
      <c r="N132">
        <f t="shared" si="39"/>
        <v>0</v>
      </c>
      <c r="O132">
        <f t="shared" si="39"/>
        <v>0</v>
      </c>
      <c r="P132">
        <f t="shared" si="39"/>
        <v>0</v>
      </c>
      <c r="Q132">
        <f t="shared" si="39"/>
        <v>0</v>
      </c>
      <c r="R132">
        <f t="shared" si="39"/>
        <v>0</v>
      </c>
      <c r="S132">
        <f t="shared" si="39"/>
        <v>0</v>
      </c>
      <c r="T132">
        <f t="shared" si="39"/>
        <v>0</v>
      </c>
      <c r="U132">
        <f t="shared" si="39"/>
        <v>0</v>
      </c>
      <c r="V132">
        <f t="shared" si="39"/>
        <v>1.4391162486790078E-13</v>
      </c>
      <c r="W132">
        <f t="shared" si="39"/>
        <v>1.4391162487190632E-9</v>
      </c>
    </row>
    <row r="133" spans="1:23">
      <c r="A133" t="e">
        <f t="shared" ref="A133:W133" si="40">A20-A77</f>
        <v>#VALUE!</v>
      </c>
      <c r="B133">
        <f t="shared" si="40"/>
        <v>0</v>
      </c>
      <c r="C133" t="e">
        <f t="shared" si="40"/>
        <v>#VALUE!</v>
      </c>
      <c r="D133">
        <f t="shared" si="40"/>
        <v>0</v>
      </c>
      <c r="E133">
        <f t="shared" si="40"/>
        <v>0</v>
      </c>
      <c r="F133">
        <f t="shared" si="40"/>
        <v>0</v>
      </c>
      <c r="G133">
        <f t="shared" si="40"/>
        <v>0</v>
      </c>
      <c r="H133">
        <f t="shared" si="40"/>
        <v>0</v>
      </c>
      <c r="I133">
        <f t="shared" si="40"/>
        <v>0</v>
      </c>
      <c r="J133">
        <f t="shared" si="40"/>
        <v>0</v>
      </c>
      <c r="K133">
        <f t="shared" si="40"/>
        <v>0</v>
      </c>
      <c r="L133">
        <f t="shared" si="40"/>
        <v>0</v>
      </c>
      <c r="M133">
        <f t="shared" si="40"/>
        <v>0</v>
      </c>
      <c r="N133">
        <f t="shared" si="40"/>
        <v>0</v>
      </c>
      <c r="O133">
        <f t="shared" si="40"/>
        <v>0</v>
      </c>
      <c r="P133">
        <f t="shared" si="40"/>
        <v>0</v>
      </c>
      <c r="Q133">
        <f t="shared" si="40"/>
        <v>-9.3675981737986199E-13</v>
      </c>
      <c r="R133">
        <f t="shared" si="40"/>
        <v>1.3447981990211133E-6</v>
      </c>
      <c r="S133">
        <f t="shared" si="40"/>
        <v>0</v>
      </c>
      <c r="T133">
        <f t="shared" si="40"/>
        <v>-5.006091016550307E-9</v>
      </c>
      <c r="U133">
        <f t="shared" si="40"/>
        <v>1.2963011499778077E-6</v>
      </c>
      <c r="V133">
        <f t="shared" si="40"/>
        <v>0</v>
      </c>
      <c r="W133">
        <f t="shared" si="40"/>
        <v>0</v>
      </c>
    </row>
    <row r="134" spans="1:23">
      <c r="A134" t="e">
        <f t="shared" ref="A134:W134" si="41">A21-A78</f>
        <v>#VALUE!</v>
      </c>
      <c r="B134">
        <f t="shared" si="41"/>
        <v>0</v>
      </c>
      <c r="C134" t="e">
        <f t="shared" si="41"/>
        <v>#VALUE!</v>
      </c>
      <c r="D134">
        <f t="shared" si="41"/>
        <v>0</v>
      </c>
      <c r="E134">
        <f t="shared" si="41"/>
        <v>0</v>
      </c>
      <c r="F134">
        <f t="shared" si="41"/>
        <v>0</v>
      </c>
      <c r="G134">
        <f t="shared" si="41"/>
        <v>0</v>
      </c>
      <c r="H134">
        <f t="shared" si="41"/>
        <v>0</v>
      </c>
      <c r="I134">
        <f t="shared" si="41"/>
        <v>0</v>
      </c>
      <c r="J134">
        <f t="shared" si="41"/>
        <v>0</v>
      </c>
      <c r="K134">
        <f t="shared" si="41"/>
        <v>0</v>
      </c>
      <c r="L134">
        <f t="shared" si="41"/>
        <v>0</v>
      </c>
      <c r="M134">
        <f t="shared" si="41"/>
        <v>0</v>
      </c>
      <c r="N134">
        <f t="shared" si="41"/>
        <v>0</v>
      </c>
      <c r="O134">
        <f t="shared" si="41"/>
        <v>0</v>
      </c>
      <c r="P134">
        <f t="shared" si="41"/>
        <v>0</v>
      </c>
      <c r="Q134">
        <f t="shared" si="41"/>
        <v>-3.0500757588380487E-13</v>
      </c>
      <c r="R134">
        <f t="shared" si="41"/>
        <v>1.394711590618769E-5</v>
      </c>
      <c r="S134">
        <f t="shared" si="41"/>
        <v>0</v>
      </c>
      <c r="T134">
        <f t="shared" si="41"/>
        <v>-1.7975257986723933E-9</v>
      </c>
      <c r="U134">
        <f t="shared" si="41"/>
        <v>1.1692591908030181E-6</v>
      </c>
      <c r="V134">
        <f t="shared" si="41"/>
        <v>0</v>
      </c>
      <c r="W134">
        <f t="shared" si="41"/>
        <v>0</v>
      </c>
    </row>
    <row r="135" spans="1:23">
      <c r="A135" t="e">
        <f t="shared" ref="A135:W135" si="42">A22-A79</f>
        <v>#VALUE!</v>
      </c>
      <c r="B135">
        <f t="shared" si="42"/>
        <v>0</v>
      </c>
      <c r="C135" t="e">
        <f t="shared" si="42"/>
        <v>#VALUE!</v>
      </c>
      <c r="D135">
        <f t="shared" si="42"/>
        <v>0</v>
      </c>
      <c r="E135">
        <f t="shared" si="42"/>
        <v>0</v>
      </c>
      <c r="F135">
        <f t="shared" si="42"/>
        <v>0</v>
      </c>
      <c r="G135">
        <f t="shared" si="42"/>
        <v>0</v>
      </c>
      <c r="H135">
        <f t="shared" si="42"/>
        <v>0</v>
      </c>
      <c r="I135">
        <f t="shared" si="42"/>
        <v>0</v>
      </c>
      <c r="J135">
        <f t="shared" si="42"/>
        <v>0</v>
      </c>
      <c r="K135">
        <f t="shared" si="42"/>
        <v>0</v>
      </c>
      <c r="L135">
        <f t="shared" si="42"/>
        <v>0</v>
      </c>
      <c r="M135">
        <f t="shared" si="42"/>
        <v>0</v>
      </c>
      <c r="N135">
        <f t="shared" si="42"/>
        <v>0</v>
      </c>
      <c r="O135">
        <f t="shared" si="42"/>
        <v>0</v>
      </c>
      <c r="P135">
        <f t="shared" si="42"/>
        <v>0</v>
      </c>
      <c r="Q135">
        <f t="shared" si="42"/>
        <v>8.8906042915240072E-15</v>
      </c>
      <c r="R135">
        <f t="shared" si="42"/>
        <v>-5.3846771796983717E-7</v>
      </c>
      <c r="S135">
        <f t="shared" si="42"/>
        <v>0</v>
      </c>
      <c r="T135">
        <f t="shared" si="42"/>
        <v>5.6935099430194258E-11</v>
      </c>
      <c r="U135">
        <f t="shared" si="42"/>
        <v>-3.8672308910747688E-8</v>
      </c>
      <c r="V135">
        <f t="shared" si="42"/>
        <v>0</v>
      </c>
      <c r="W135">
        <f t="shared" si="42"/>
        <v>0</v>
      </c>
    </row>
    <row r="136" spans="1:23">
      <c r="A136" t="e">
        <f t="shared" ref="A136:W136" si="43">A23-A80</f>
        <v>#VALUE!</v>
      </c>
      <c r="B136">
        <f t="shared" si="43"/>
        <v>0</v>
      </c>
      <c r="C136" t="e">
        <f t="shared" si="43"/>
        <v>#VALUE!</v>
      </c>
      <c r="D136">
        <f t="shared" si="43"/>
        <v>0</v>
      </c>
      <c r="E136">
        <f t="shared" si="43"/>
        <v>0</v>
      </c>
      <c r="F136">
        <f t="shared" si="43"/>
        <v>4.0999999999939973E-3</v>
      </c>
      <c r="G136">
        <f t="shared" si="43"/>
        <v>0</v>
      </c>
      <c r="H136">
        <f t="shared" si="43"/>
        <v>0</v>
      </c>
      <c r="I136">
        <f t="shared" si="43"/>
        <v>0</v>
      </c>
      <c r="J136">
        <f t="shared" si="43"/>
        <v>0</v>
      </c>
      <c r="K136">
        <f t="shared" si="43"/>
        <v>0</v>
      </c>
      <c r="L136">
        <f t="shared" si="43"/>
        <v>0</v>
      </c>
      <c r="M136">
        <f t="shared" si="43"/>
        <v>0</v>
      </c>
      <c r="N136">
        <f t="shared" si="43"/>
        <v>0</v>
      </c>
      <c r="O136">
        <f t="shared" si="43"/>
        <v>0</v>
      </c>
      <c r="P136">
        <f t="shared" si="43"/>
        <v>0</v>
      </c>
      <c r="Q136">
        <f t="shared" si="43"/>
        <v>0</v>
      </c>
      <c r="R136">
        <f t="shared" si="43"/>
        <v>0</v>
      </c>
      <c r="S136">
        <f t="shared" si="43"/>
        <v>0</v>
      </c>
      <c r="T136">
        <f t="shared" si="43"/>
        <v>0</v>
      </c>
      <c r="U136">
        <f t="shared" si="43"/>
        <v>0</v>
      </c>
      <c r="V136">
        <f t="shared" si="43"/>
        <v>-2.9075738859812707E-11</v>
      </c>
      <c r="W136">
        <f t="shared" si="43"/>
        <v>-2.9075738862318484E-7</v>
      </c>
    </row>
    <row r="137" spans="1:23">
      <c r="A137" t="e">
        <f t="shared" ref="A137:W137" si="44">A24-A81</f>
        <v>#VALUE!</v>
      </c>
      <c r="B137">
        <f t="shared" si="44"/>
        <v>0</v>
      </c>
      <c r="C137" t="e">
        <f t="shared" si="44"/>
        <v>#VALUE!</v>
      </c>
      <c r="D137">
        <f t="shared" si="44"/>
        <v>0</v>
      </c>
      <c r="E137">
        <f t="shared" si="44"/>
        <v>0</v>
      </c>
      <c r="F137">
        <f t="shared" si="44"/>
        <v>0.22000000000002728</v>
      </c>
      <c r="G137">
        <f t="shared" si="44"/>
        <v>0</v>
      </c>
      <c r="H137">
        <f t="shared" si="44"/>
        <v>0</v>
      </c>
      <c r="I137">
        <f t="shared" si="44"/>
        <v>0</v>
      </c>
      <c r="J137">
        <f t="shared" si="44"/>
        <v>0</v>
      </c>
      <c r="K137">
        <f t="shared" si="44"/>
        <v>0</v>
      </c>
      <c r="L137">
        <f t="shared" si="44"/>
        <v>0</v>
      </c>
      <c r="M137">
        <f t="shared" si="44"/>
        <v>0</v>
      </c>
      <c r="N137">
        <f t="shared" si="44"/>
        <v>0</v>
      </c>
      <c r="O137">
        <f t="shared" si="44"/>
        <v>0</v>
      </c>
      <c r="P137">
        <f t="shared" si="44"/>
        <v>0</v>
      </c>
      <c r="Q137">
        <f t="shared" si="44"/>
        <v>0</v>
      </c>
      <c r="R137">
        <f t="shared" si="44"/>
        <v>0</v>
      </c>
      <c r="S137">
        <f t="shared" si="44"/>
        <v>0</v>
      </c>
      <c r="T137">
        <f t="shared" si="44"/>
        <v>0</v>
      </c>
      <c r="U137">
        <f t="shared" si="44"/>
        <v>0</v>
      </c>
      <c r="V137">
        <f t="shared" si="44"/>
        <v>-2.7444261949895501E-11</v>
      </c>
      <c r="W137">
        <f t="shared" si="44"/>
        <v>-2.7444261949843059E-7</v>
      </c>
    </row>
    <row r="138" spans="1:23">
      <c r="A138" t="e">
        <f t="shared" ref="A138:W138" si="45">A25-A82</f>
        <v>#VALUE!</v>
      </c>
      <c r="B138">
        <f t="shared" si="45"/>
        <v>0</v>
      </c>
      <c r="C138" t="e">
        <f t="shared" si="45"/>
        <v>#VALUE!</v>
      </c>
      <c r="D138">
        <f t="shared" si="45"/>
        <v>0</v>
      </c>
      <c r="E138">
        <f t="shared" si="45"/>
        <v>0</v>
      </c>
      <c r="F138">
        <f t="shared" si="45"/>
        <v>0.76300000000003365</v>
      </c>
      <c r="G138">
        <f t="shared" si="45"/>
        <v>0</v>
      </c>
      <c r="H138">
        <f t="shared" si="45"/>
        <v>0</v>
      </c>
      <c r="I138">
        <f t="shared" si="45"/>
        <v>0</v>
      </c>
      <c r="J138">
        <f t="shared" si="45"/>
        <v>0</v>
      </c>
      <c r="K138">
        <f t="shared" si="45"/>
        <v>0</v>
      </c>
      <c r="L138">
        <f t="shared" si="45"/>
        <v>0</v>
      </c>
      <c r="M138">
        <f t="shared" si="45"/>
        <v>0</v>
      </c>
      <c r="N138">
        <f t="shared" si="45"/>
        <v>0</v>
      </c>
      <c r="O138">
        <f t="shared" si="45"/>
        <v>0</v>
      </c>
      <c r="P138">
        <f t="shared" si="45"/>
        <v>0</v>
      </c>
      <c r="Q138">
        <f t="shared" si="45"/>
        <v>0</v>
      </c>
      <c r="R138">
        <f t="shared" si="45"/>
        <v>0</v>
      </c>
      <c r="S138">
        <f t="shared" si="45"/>
        <v>0</v>
      </c>
      <c r="T138">
        <f t="shared" si="45"/>
        <v>0</v>
      </c>
      <c r="U138">
        <f t="shared" si="45"/>
        <v>0</v>
      </c>
      <c r="V138">
        <f t="shared" si="45"/>
        <v>-1.5240107388849626E-11</v>
      </c>
      <c r="W138">
        <f t="shared" si="45"/>
        <v>-1.5240107388870823E-7</v>
      </c>
    </row>
    <row r="139" spans="1:23">
      <c r="A139" t="e">
        <f t="shared" ref="A139:W139" si="46">A26-A83</f>
        <v>#VALUE!</v>
      </c>
      <c r="B139">
        <f t="shared" si="46"/>
        <v>0</v>
      </c>
      <c r="C139" t="e">
        <f t="shared" si="46"/>
        <v>#VALUE!</v>
      </c>
      <c r="D139">
        <f t="shared" si="46"/>
        <v>0</v>
      </c>
      <c r="E139">
        <f t="shared" si="46"/>
        <v>0</v>
      </c>
      <c r="F139">
        <f t="shared" si="46"/>
        <v>0</v>
      </c>
      <c r="G139">
        <f t="shared" si="46"/>
        <v>0</v>
      </c>
      <c r="H139">
        <f t="shared" si="46"/>
        <v>0</v>
      </c>
      <c r="I139">
        <f t="shared" si="46"/>
        <v>0</v>
      </c>
      <c r="J139">
        <f t="shared" si="46"/>
        <v>0</v>
      </c>
      <c r="K139">
        <f t="shared" si="46"/>
        <v>0</v>
      </c>
      <c r="L139">
        <f t="shared" si="46"/>
        <v>0</v>
      </c>
      <c r="M139">
        <f t="shared" si="46"/>
        <v>0</v>
      </c>
      <c r="N139">
        <f t="shared" si="46"/>
        <v>0</v>
      </c>
      <c r="O139">
        <f t="shared" si="46"/>
        <v>0</v>
      </c>
      <c r="P139">
        <f t="shared" si="46"/>
        <v>0</v>
      </c>
      <c r="Q139">
        <f t="shared" si="46"/>
        <v>-7.6356374622344917E-12</v>
      </c>
      <c r="R139">
        <f t="shared" si="46"/>
        <v>1.1531407282383555E-6</v>
      </c>
      <c r="S139">
        <f t="shared" si="46"/>
        <v>0</v>
      </c>
      <c r="T139">
        <f t="shared" si="46"/>
        <v>-8.2846532205652079E-8</v>
      </c>
      <c r="U139">
        <f t="shared" si="46"/>
        <v>-1.1932852883589362E-7</v>
      </c>
      <c r="V139">
        <f t="shared" si="46"/>
        <v>0</v>
      </c>
      <c r="W139">
        <f t="shared" si="46"/>
        <v>0</v>
      </c>
    </row>
    <row r="140" spans="1:23">
      <c r="A140" t="e">
        <f t="shared" ref="A140:W140" si="47">A27-A84</f>
        <v>#VALUE!</v>
      </c>
      <c r="B140">
        <f t="shared" si="47"/>
        <v>0</v>
      </c>
      <c r="C140" t="e">
        <f t="shared" si="47"/>
        <v>#VALUE!</v>
      </c>
      <c r="D140">
        <f t="shared" si="47"/>
        <v>0</v>
      </c>
      <c r="E140">
        <f t="shared" si="47"/>
        <v>0</v>
      </c>
      <c r="F140">
        <f t="shared" si="47"/>
        <v>0</v>
      </c>
      <c r="G140">
        <f t="shared" si="47"/>
        <v>0</v>
      </c>
      <c r="H140">
        <f t="shared" si="47"/>
        <v>0</v>
      </c>
      <c r="I140">
        <f t="shared" si="47"/>
        <v>0</v>
      </c>
      <c r="J140">
        <f t="shared" si="47"/>
        <v>0</v>
      </c>
      <c r="K140">
        <f t="shared" si="47"/>
        <v>0</v>
      </c>
      <c r="L140">
        <f t="shared" si="47"/>
        <v>0</v>
      </c>
      <c r="M140">
        <f t="shared" si="47"/>
        <v>0</v>
      </c>
      <c r="N140">
        <f t="shared" si="47"/>
        <v>0</v>
      </c>
      <c r="O140">
        <f t="shared" si="47"/>
        <v>0</v>
      </c>
      <c r="P140">
        <f t="shared" si="47"/>
        <v>0</v>
      </c>
      <c r="Q140">
        <f t="shared" si="47"/>
        <v>-2.7041469467846252E-12</v>
      </c>
      <c r="R140">
        <f t="shared" si="47"/>
        <v>1.2342728714198614E-5</v>
      </c>
      <c r="S140">
        <f t="shared" si="47"/>
        <v>0</v>
      </c>
      <c r="T140">
        <f t="shared" si="47"/>
        <v>-3.6522222880957383E-8</v>
      </c>
      <c r="U140">
        <f t="shared" si="47"/>
        <v>1.0019125341820256E-5</v>
      </c>
      <c r="V140">
        <f t="shared" si="47"/>
        <v>0</v>
      </c>
      <c r="W140">
        <f t="shared" si="47"/>
        <v>0</v>
      </c>
    </row>
    <row r="141" spans="1:23">
      <c r="A141" t="e">
        <f t="shared" ref="A141:W141" si="48">A28-A85</f>
        <v>#VALUE!</v>
      </c>
      <c r="B141">
        <f t="shared" si="48"/>
        <v>0</v>
      </c>
      <c r="C141" t="e">
        <f t="shared" si="48"/>
        <v>#VALUE!</v>
      </c>
      <c r="D141">
        <f t="shared" si="48"/>
        <v>0</v>
      </c>
      <c r="E141">
        <f t="shared" si="48"/>
        <v>0</v>
      </c>
      <c r="F141">
        <f t="shared" si="48"/>
        <v>0</v>
      </c>
      <c r="G141">
        <f t="shared" si="48"/>
        <v>0</v>
      </c>
      <c r="H141">
        <f t="shared" si="48"/>
        <v>0</v>
      </c>
      <c r="I141">
        <f t="shared" si="48"/>
        <v>0</v>
      </c>
      <c r="J141">
        <f t="shared" si="48"/>
        <v>0</v>
      </c>
      <c r="K141">
        <f t="shared" si="48"/>
        <v>0</v>
      </c>
      <c r="L141">
        <f t="shared" si="48"/>
        <v>0</v>
      </c>
      <c r="M141">
        <f t="shared" si="48"/>
        <v>0</v>
      </c>
      <c r="N141">
        <f t="shared" si="48"/>
        <v>0</v>
      </c>
      <c r="O141">
        <f t="shared" si="48"/>
        <v>0</v>
      </c>
      <c r="P141">
        <f t="shared" si="48"/>
        <v>0</v>
      </c>
      <c r="Q141">
        <f t="shared" si="48"/>
        <v>-9.3194632298542927E-13</v>
      </c>
      <c r="R141">
        <f t="shared" si="48"/>
        <v>5.6084996931105024E-6</v>
      </c>
      <c r="S141">
        <f t="shared" si="48"/>
        <v>0</v>
      </c>
      <c r="T141">
        <f t="shared" si="48"/>
        <v>-1.3084303336109715E-8</v>
      </c>
      <c r="U141">
        <f t="shared" si="48"/>
        <v>4.7910561842279265E-6</v>
      </c>
      <c r="V141">
        <f t="shared" si="48"/>
        <v>0</v>
      </c>
      <c r="W141">
        <f t="shared" si="48"/>
        <v>0</v>
      </c>
    </row>
    <row r="142" spans="1:23">
      <c r="A142" t="e">
        <f t="shared" ref="A142:W142" si="49">A29-A86</f>
        <v>#VALUE!</v>
      </c>
      <c r="B142">
        <f t="shared" si="49"/>
        <v>0</v>
      </c>
      <c r="C142" t="e">
        <f t="shared" si="49"/>
        <v>#VALUE!</v>
      </c>
      <c r="D142">
        <f t="shared" si="49"/>
        <v>0</v>
      </c>
      <c r="E142">
        <f t="shared" si="49"/>
        <v>0</v>
      </c>
      <c r="F142">
        <f t="shared" si="49"/>
        <v>2.4900000000002365E-2</v>
      </c>
      <c r="G142">
        <f t="shared" si="49"/>
        <v>0</v>
      </c>
      <c r="H142">
        <f t="shared" si="49"/>
        <v>0</v>
      </c>
      <c r="I142">
        <f t="shared" si="49"/>
        <v>0</v>
      </c>
      <c r="J142">
        <f t="shared" si="49"/>
        <v>0</v>
      </c>
      <c r="K142">
        <f t="shared" si="49"/>
        <v>0</v>
      </c>
      <c r="L142">
        <f t="shared" si="49"/>
        <v>0</v>
      </c>
      <c r="M142">
        <f t="shared" si="49"/>
        <v>0</v>
      </c>
      <c r="N142">
        <f t="shared" si="49"/>
        <v>0</v>
      </c>
      <c r="O142">
        <f t="shared" si="49"/>
        <v>0</v>
      </c>
      <c r="P142">
        <f t="shared" si="49"/>
        <v>0</v>
      </c>
      <c r="Q142">
        <f t="shared" si="49"/>
        <v>0</v>
      </c>
      <c r="R142">
        <f t="shared" si="49"/>
        <v>0</v>
      </c>
      <c r="S142">
        <f t="shared" si="49"/>
        <v>0</v>
      </c>
      <c r="T142">
        <f t="shared" si="49"/>
        <v>0</v>
      </c>
      <c r="U142">
        <f t="shared" si="49"/>
        <v>0</v>
      </c>
      <c r="V142">
        <f t="shared" si="49"/>
        <v>-1.7648554727500715E-9</v>
      </c>
      <c r="W142">
        <f t="shared" si="49"/>
        <v>-1.7648554728195986E-5</v>
      </c>
    </row>
    <row r="143" spans="1:23">
      <c r="A143" t="e">
        <f t="shared" ref="A143:W143" si="50">A30-A87</f>
        <v>#VALUE!</v>
      </c>
      <c r="B143">
        <f t="shared" si="50"/>
        <v>0</v>
      </c>
      <c r="C143" t="e">
        <f t="shared" si="50"/>
        <v>#VALUE!</v>
      </c>
      <c r="D143">
        <f t="shared" si="50"/>
        <v>0</v>
      </c>
      <c r="E143">
        <f t="shared" si="50"/>
        <v>0</v>
      </c>
      <c r="F143">
        <f t="shared" si="50"/>
        <v>-0.18000000000000682</v>
      </c>
      <c r="G143">
        <f t="shared" si="50"/>
        <v>0</v>
      </c>
      <c r="H143">
        <f t="shared" si="50"/>
        <v>0</v>
      </c>
      <c r="I143">
        <f t="shared" si="50"/>
        <v>0</v>
      </c>
      <c r="J143">
        <f t="shared" si="50"/>
        <v>0</v>
      </c>
      <c r="K143">
        <f t="shared" si="50"/>
        <v>0</v>
      </c>
      <c r="L143">
        <f t="shared" si="50"/>
        <v>0</v>
      </c>
      <c r="M143">
        <f t="shared" si="50"/>
        <v>0</v>
      </c>
      <c r="N143">
        <f t="shared" si="50"/>
        <v>0</v>
      </c>
      <c r="O143">
        <f t="shared" si="50"/>
        <v>0</v>
      </c>
      <c r="P143">
        <f t="shared" si="50"/>
        <v>0</v>
      </c>
      <c r="Q143">
        <f t="shared" si="50"/>
        <v>0</v>
      </c>
      <c r="R143">
        <f t="shared" si="50"/>
        <v>0</v>
      </c>
      <c r="S143">
        <f t="shared" si="50"/>
        <v>0</v>
      </c>
      <c r="T143">
        <f t="shared" si="50"/>
        <v>0</v>
      </c>
      <c r="U143">
        <f t="shared" si="50"/>
        <v>0</v>
      </c>
      <c r="V143">
        <f t="shared" si="50"/>
        <v>2.2452152585703236E-10</v>
      </c>
      <c r="W143">
        <f t="shared" si="50"/>
        <v>2.2452152585710622E-6</v>
      </c>
    </row>
    <row r="144" spans="1:23">
      <c r="A144" t="e">
        <f t="shared" ref="A144:W144" si="51">A31-A88</f>
        <v>#VALUE!</v>
      </c>
      <c r="B144">
        <f t="shared" si="51"/>
        <v>0</v>
      </c>
      <c r="C144" t="e">
        <f t="shared" si="51"/>
        <v>#VALUE!</v>
      </c>
      <c r="D144">
        <f t="shared" si="51"/>
        <v>0</v>
      </c>
      <c r="E144">
        <f t="shared" si="51"/>
        <v>0</v>
      </c>
      <c r="F144">
        <f t="shared" si="51"/>
        <v>-0.85900000000003729</v>
      </c>
      <c r="G144">
        <f t="shared" si="51"/>
        <v>0</v>
      </c>
      <c r="H144">
        <f t="shared" si="51"/>
        <v>0</v>
      </c>
      <c r="I144">
        <f t="shared" si="51"/>
        <v>0</v>
      </c>
      <c r="J144">
        <f t="shared" si="51"/>
        <v>0</v>
      </c>
      <c r="K144">
        <f t="shared" si="51"/>
        <v>0</v>
      </c>
      <c r="L144">
        <f t="shared" si="51"/>
        <v>0</v>
      </c>
      <c r="M144">
        <f t="shared" si="51"/>
        <v>0</v>
      </c>
      <c r="N144">
        <f t="shared" si="51"/>
        <v>0</v>
      </c>
      <c r="O144">
        <f t="shared" si="51"/>
        <v>0</v>
      </c>
      <c r="P144">
        <f t="shared" si="51"/>
        <v>0</v>
      </c>
      <c r="Q144">
        <f t="shared" si="51"/>
        <v>0</v>
      </c>
      <c r="R144">
        <f t="shared" si="51"/>
        <v>0</v>
      </c>
      <c r="S144">
        <f t="shared" si="51"/>
        <v>0</v>
      </c>
      <c r="T144">
        <f t="shared" si="51"/>
        <v>0</v>
      </c>
      <c r="U144">
        <f t="shared" si="51"/>
        <v>0</v>
      </c>
      <c r="V144">
        <f t="shared" si="51"/>
        <v>1.7159251359510441E-10</v>
      </c>
      <c r="W144">
        <f t="shared" si="51"/>
        <v>1.7159251359498418E-6</v>
      </c>
    </row>
    <row r="145" spans="1:23">
      <c r="A145" t="e">
        <f t="shared" ref="A145:W145" si="52">A32-A89</f>
        <v>#VALUE!</v>
      </c>
      <c r="B145">
        <f t="shared" si="52"/>
        <v>0</v>
      </c>
      <c r="C145" t="e">
        <f t="shared" si="52"/>
        <v>#VALUE!</v>
      </c>
      <c r="D145">
        <f t="shared" si="52"/>
        <v>0</v>
      </c>
      <c r="E145">
        <f t="shared" si="52"/>
        <v>0</v>
      </c>
      <c r="F145">
        <f t="shared" si="52"/>
        <v>0</v>
      </c>
      <c r="G145">
        <f t="shared" si="52"/>
        <v>0</v>
      </c>
      <c r="H145">
        <f t="shared" si="52"/>
        <v>0</v>
      </c>
      <c r="I145">
        <f t="shared" si="52"/>
        <v>0</v>
      </c>
      <c r="J145">
        <f t="shared" si="52"/>
        <v>0</v>
      </c>
      <c r="K145">
        <f t="shared" si="52"/>
        <v>0</v>
      </c>
      <c r="L145">
        <f t="shared" si="52"/>
        <v>0</v>
      </c>
      <c r="M145">
        <f t="shared" si="52"/>
        <v>0</v>
      </c>
      <c r="N145">
        <f t="shared" si="52"/>
        <v>0</v>
      </c>
      <c r="O145">
        <f t="shared" si="52"/>
        <v>0</v>
      </c>
      <c r="P145">
        <f t="shared" si="52"/>
        <v>0</v>
      </c>
      <c r="Q145">
        <f t="shared" si="52"/>
        <v>-4.635165941889948E-10</v>
      </c>
      <c r="R145">
        <f t="shared" si="52"/>
        <v>7.0027599261557327E-6</v>
      </c>
      <c r="S145">
        <f t="shared" si="52"/>
        <v>0</v>
      </c>
      <c r="T145">
        <f t="shared" si="52"/>
        <v>-5.0292539951757309E-6</v>
      </c>
      <c r="U145">
        <f t="shared" si="52"/>
        <v>-7.2669767980926281E-7</v>
      </c>
      <c r="V145">
        <f t="shared" si="52"/>
        <v>0</v>
      </c>
      <c r="W145">
        <f t="shared" si="52"/>
        <v>0</v>
      </c>
    </row>
    <row r="146" spans="1:23">
      <c r="A146" t="e">
        <f t="shared" ref="A146:W146" si="53">A33-A90</f>
        <v>#VALUE!</v>
      </c>
      <c r="B146">
        <f t="shared" si="53"/>
        <v>0</v>
      </c>
      <c r="C146" t="e">
        <f t="shared" si="53"/>
        <v>#VALUE!</v>
      </c>
      <c r="D146">
        <f t="shared" si="53"/>
        <v>0</v>
      </c>
      <c r="E146">
        <f t="shared" si="53"/>
        <v>0</v>
      </c>
      <c r="F146">
        <f t="shared" si="53"/>
        <v>0</v>
      </c>
      <c r="G146">
        <f t="shared" si="53"/>
        <v>0</v>
      </c>
      <c r="H146">
        <f t="shared" si="53"/>
        <v>0</v>
      </c>
      <c r="I146">
        <f t="shared" si="53"/>
        <v>0</v>
      </c>
      <c r="J146">
        <f t="shared" si="53"/>
        <v>0</v>
      </c>
      <c r="K146">
        <f t="shared" si="53"/>
        <v>0</v>
      </c>
      <c r="L146">
        <f t="shared" si="53"/>
        <v>0</v>
      </c>
      <c r="M146">
        <f t="shared" si="53"/>
        <v>0</v>
      </c>
      <c r="N146">
        <f t="shared" si="53"/>
        <v>0</v>
      </c>
      <c r="O146">
        <f t="shared" si="53"/>
        <v>0</v>
      </c>
      <c r="P146">
        <f t="shared" si="53"/>
        <v>0</v>
      </c>
      <c r="Q146">
        <f t="shared" si="53"/>
        <v>2.2125842714457579E-11</v>
      </c>
      <c r="R146">
        <f t="shared" si="53"/>
        <v>-1.0099086019010883E-5</v>
      </c>
      <c r="S146">
        <f t="shared" si="53"/>
        <v>0</v>
      </c>
      <c r="T146">
        <f t="shared" si="53"/>
        <v>2.9882609960812934E-7</v>
      </c>
      <c r="U146">
        <f t="shared" si="53"/>
        <v>-8.1976844916731295E-6</v>
      </c>
      <c r="V146">
        <f t="shared" si="53"/>
        <v>0</v>
      </c>
      <c r="W146">
        <f t="shared" si="53"/>
        <v>0</v>
      </c>
    </row>
    <row r="147" spans="1:23">
      <c r="A147" t="e">
        <f t="shared" ref="A147:W147" si="54">A34-A91</f>
        <v>#VALUE!</v>
      </c>
      <c r="B147">
        <f t="shared" si="54"/>
        <v>0</v>
      </c>
      <c r="C147" t="e">
        <f t="shared" si="54"/>
        <v>#VALUE!</v>
      </c>
      <c r="D147">
        <f t="shared" si="54"/>
        <v>4</v>
      </c>
      <c r="E147">
        <f t="shared" si="54"/>
        <v>0</v>
      </c>
      <c r="F147">
        <f t="shared" si="54"/>
        <v>0</v>
      </c>
      <c r="G147">
        <f t="shared" si="54"/>
        <v>0</v>
      </c>
      <c r="H147">
        <f t="shared" si="54"/>
        <v>0</v>
      </c>
      <c r="I147">
        <f t="shared" si="54"/>
        <v>0</v>
      </c>
      <c r="J147">
        <f t="shared" si="54"/>
        <v>0</v>
      </c>
      <c r="K147">
        <f t="shared" si="54"/>
        <v>0</v>
      </c>
      <c r="L147">
        <f t="shared" si="54"/>
        <v>0</v>
      </c>
      <c r="M147">
        <f t="shared" si="54"/>
        <v>0</v>
      </c>
      <c r="N147">
        <f t="shared" si="54"/>
        <v>0</v>
      </c>
      <c r="O147">
        <f t="shared" si="54"/>
        <v>0</v>
      </c>
      <c r="P147">
        <f t="shared" si="54"/>
        <v>4.0008236343898268E-7</v>
      </c>
      <c r="Q147">
        <f t="shared" si="54"/>
        <v>1.0495021153860768E-11</v>
      </c>
      <c r="R147">
        <f t="shared" si="54"/>
        <v>-6.3161142227485811E-6</v>
      </c>
      <c r="S147">
        <f t="shared" si="54"/>
        <v>0</v>
      </c>
      <c r="T147">
        <f t="shared" si="54"/>
        <v>1.4734481650763298E-7</v>
      </c>
      <c r="U147">
        <f t="shared" si="54"/>
        <v>-5.3954419727553216E-6</v>
      </c>
      <c r="V147">
        <f t="shared" si="54"/>
        <v>7.6891533369377249E-18</v>
      </c>
      <c r="W147">
        <f t="shared" si="54"/>
        <v>2.828987044622977E-14</v>
      </c>
    </row>
    <row r="148" spans="1:23">
      <c r="A148" t="e">
        <f t="shared" ref="A148:W148" si="55">A35-A92</f>
        <v>#VALUE!</v>
      </c>
      <c r="B148">
        <f t="shared" si="55"/>
        <v>0</v>
      </c>
      <c r="C148" t="e">
        <f t="shared" si="55"/>
        <v>#VALUE!</v>
      </c>
      <c r="D148">
        <f t="shared" si="55"/>
        <v>0</v>
      </c>
      <c r="E148">
        <f t="shared" si="55"/>
        <v>0</v>
      </c>
      <c r="F148">
        <f t="shared" si="55"/>
        <v>-9.0000000000145519E-4</v>
      </c>
      <c r="G148">
        <f t="shared" si="55"/>
        <v>0</v>
      </c>
      <c r="H148">
        <f t="shared" si="55"/>
        <v>0</v>
      </c>
      <c r="I148">
        <f t="shared" si="55"/>
        <v>0</v>
      </c>
      <c r="J148">
        <f t="shared" si="55"/>
        <v>0</v>
      </c>
      <c r="K148">
        <f t="shared" si="55"/>
        <v>0</v>
      </c>
      <c r="L148">
        <f t="shared" si="55"/>
        <v>0</v>
      </c>
      <c r="M148">
        <f t="shared" si="55"/>
        <v>0</v>
      </c>
      <c r="N148">
        <f t="shared" si="55"/>
        <v>0</v>
      </c>
      <c r="O148">
        <f t="shared" si="55"/>
        <v>0</v>
      </c>
      <c r="P148">
        <f t="shared" si="55"/>
        <v>0</v>
      </c>
      <c r="Q148">
        <f t="shared" si="55"/>
        <v>0</v>
      </c>
      <c r="R148">
        <f t="shared" si="55"/>
        <v>0</v>
      </c>
      <c r="S148">
        <f t="shared" si="55"/>
        <v>0</v>
      </c>
      <c r="T148">
        <f t="shared" si="55"/>
        <v>0</v>
      </c>
      <c r="U148">
        <f t="shared" si="55"/>
        <v>0</v>
      </c>
      <c r="V148">
        <f t="shared" si="55"/>
        <v>6.3753222921794682E-10</v>
      </c>
      <c r="W148">
        <f t="shared" si="55"/>
        <v>6.375322292306862E-6</v>
      </c>
    </row>
    <row r="149" spans="1:23">
      <c r="A149" t="e">
        <f t="shared" ref="A149:W149" si="56">A36-A93</f>
        <v>#VALUE!</v>
      </c>
      <c r="B149">
        <f t="shared" si="56"/>
        <v>0</v>
      </c>
      <c r="C149" t="e">
        <f t="shared" si="56"/>
        <v>#VALUE!</v>
      </c>
      <c r="D149">
        <f t="shared" si="56"/>
        <v>0</v>
      </c>
      <c r="E149">
        <f t="shared" si="56"/>
        <v>0</v>
      </c>
      <c r="F149">
        <f t="shared" si="56"/>
        <v>0</v>
      </c>
      <c r="G149">
        <f t="shared" si="56"/>
        <v>0</v>
      </c>
      <c r="H149">
        <f t="shared" si="56"/>
        <v>0</v>
      </c>
      <c r="I149">
        <f t="shared" si="56"/>
        <v>0</v>
      </c>
      <c r="J149">
        <f t="shared" si="56"/>
        <v>0</v>
      </c>
      <c r="K149">
        <f t="shared" si="56"/>
        <v>0</v>
      </c>
      <c r="L149">
        <f t="shared" si="56"/>
        <v>0</v>
      </c>
      <c r="M149">
        <f t="shared" si="56"/>
        <v>0</v>
      </c>
      <c r="N149">
        <f t="shared" si="56"/>
        <v>0</v>
      </c>
      <c r="O149">
        <f t="shared" si="56"/>
        <v>0</v>
      </c>
      <c r="P149">
        <f t="shared" si="56"/>
        <v>0</v>
      </c>
      <c r="Q149">
        <f t="shared" si="56"/>
        <v>0</v>
      </c>
      <c r="R149">
        <f t="shared" si="56"/>
        <v>0</v>
      </c>
      <c r="S149">
        <f t="shared" si="56"/>
        <v>0</v>
      </c>
      <c r="T149">
        <f t="shared" si="56"/>
        <v>0</v>
      </c>
      <c r="U149">
        <f t="shared" si="56"/>
        <v>0</v>
      </c>
      <c r="V149">
        <f t="shared" si="56"/>
        <v>0</v>
      </c>
      <c r="W149">
        <f t="shared" si="56"/>
        <v>0</v>
      </c>
    </row>
    <row r="150" spans="1:23">
      <c r="A150" t="e">
        <f t="shared" ref="A150:W150" si="57">A37-A94</f>
        <v>#VALUE!</v>
      </c>
      <c r="B150">
        <f t="shared" si="57"/>
        <v>0</v>
      </c>
      <c r="C150" t="e">
        <f t="shared" si="57"/>
        <v>#VALUE!</v>
      </c>
      <c r="D150">
        <f t="shared" si="57"/>
        <v>0</v>
      </c>
      <c r="E150">
        <f t="shared" si="57"/>
        <v>0</v>
      </c>
      <c r="F150">
        <f t="shared" si="57"/>
        <v>0</v>
      </c>
      <c r="G150">
        <f t="shared" si="57"/>
        <v>0</v>
      </c>
      <c r="H150">
        <f t="shared" si="57"/>
        <v>0</v>
      </c>
      <c r="I150">
        <f t="shared" si="57"/>
        <v>0</v>
      </c>
      <c r="J150">
        <f t="shared" si="57"/>
        <v>0</v>
      </c>
      <c r="K150">
        <f t="shared" si="57"/>
        <v>0</v>
      </c>
      <c r="L150">
        <f t="shared" si="57"/>
        <v>0</v>
      </c>
      <c r="M150">
        <f t="shared" si="57"/>
        <v>0</v>
      </c>
      <c r="N150">
        <f t="shared" si="57"/>
        <v>0</v>
      </c>
      <c r="O150">
        <f t="shared" si="57"/>
        <v>0</v>
      </c>
      <c r="P150">
        <f t="shared" si="57"/>
        <v>0</v>
      </c>
      <c r="Q150">
        <f t="shared" si="57"/>
        <v>0</v>
      </c>
      <c r="R150">
        <f t="shared" si="57"/>
        <v>0</v>
      </c>
      <c r="S150">
        <f t="shared" si="57"/>
        <v>0</v>
      </c>
      <c r="T150">
        <f t="shared" si="57"/>
        <v>0</v>
      </c>
      <c r="U150">
        <f t="shared" si="57"/>
        <v>0</v>
      </c>
      <c r="V150">
        <f t="shared" si="57"/>
        <v>0</v>
      </c>
      <c r="W150">
        <f t="shared" si="57"/>
        <v>0</v>
      </c>
    </row>
    <row r="151" spans="1:23">
      <c r="A151" t="e">
        <f t="shared" ref="A151:W151" si="58">A38-A95</f>
        <v>#VALUE!</v>
      </c>
      <c r="B151">
        <f t="shared" si="58"/>
        <v>0</v>
      </c>
      <c r="C151" t="e">
        <f t="shared" si="58"/>
        <v>#VALUE!</v>
      </c>
      <c r="D151">
        <f t="shared" si="58"/>
        <v>0</v>
      </c>
      <c r="E151">
        <f t="shared" si="58"/>
        <v>0</v>
      </c>
      <c r="F151">
        <f t="shared" si="58"/>
        <v>0</v>
      </c>
      <c r="G151">
        <f t="shared" si="58"/>
        <v>0</v>
      </c>
      <c r="H151">
        <f t="shared" si="58"/>
        <v>0</v>
      </c>
      <c r="I151">
        <f t="shared" si="58"/>
        <v>0</v>
      </c>
      <c r="J151">
        <f t="shared" si="58"/>
        <v>0</v>
      </c>
      <c r="K151">
        <f t="shared" si="58"/>
        <v>0</v>
      </c>
      <c r="L151">
        <f t="shared" si="58"/>
        <v>0</v>
      </c>
      <c r="M151">
        <f t="shared" si="58"/>
        <v>0</v>
      </c>
      <c r="N151">
        <f t="shared" si="58"/>
        <v>0</v>
      </c>
      <c r="O151">
        <f t="shared" si="58"/>
        <v>0</v>
      </c>
      <c r="P151">
        <f t="shared" si="58"/>
        <v>0</v>
      </c>
      <c r="Q151">
        <f t="shared" si="58"/>
        <v>1.6742468095096901E-10</v>
      </c>
      <c r="R151">
        <f t="shared" si="58"/>
        <v>-2.5328008979030869E-7</v>
      </c>
      <c r="S151">
        <f t="shared" si="58"/>
        <v>0</v>
      </c>
      <c r="T151">
        <f t="shared" si="58"/>
        <v>1.8166187046864124E-6</v>
      </c>
      <c r="U151">
        <f t="shared" si="58"/>
        <v>2.5982403784041708E-8</v>
      </c>
      <c r="V151">
        <f t="shared" si="58"/>
        <v>0</v>
      </c>
      <c r="W151">
        <f t="shared" si="58"/>
        <v>0</v>
      </c>
    </row>
    <row r="152" spans="1:23">
      <c r="A152" t="e">
        <f t="shared" ref="A152:W152" si="59">A39-A96</f>
        <v>#VALUE!</v>
      </c>
      <c r="B152">
        <f t="shared" si="59"/>
        <v>0</v>
      </c>
      <c r="C152" t="e">
        <f t="shared" si="59"/>
        <v>#VALUE!</v>
      </c>
      <c r="D152">
        <f t="shared" si="59"/>
        <v>0</v>
      </c>
      <c r="E152">
        <f t="shared" si="59"/>
        <v>0</v>
      </c>
      <c r="F152">
        <f t="shared" si="59"/>
        <v>0</v>
      </c>
      <c r="G152">
        <f t="shared" si="59"/>
        <v>0</v>
      </c>
      <c r="H152">
        <f t="shared" si="59"/>
        <v>0</v>
      </c>
      <c r="I152">
        <f t="shared" si="59"/>
        <v>0</v>
      </c>
      <c r="J152">
        <f t="shared" si="59"/>
        <v>0</v>
      </c>
      <c r="K152">
        <f t="shared" si="59"/>
        <v>0</v>
      </c>
      <c r="L152">
        <f t="shared" si="59"/>
        <v>0</v>
      </c>
      <c r="M152">
        <f t="shared" si="59"/>
        <v>0</v>
      </c>
      <c r="N152">
        <f t="shared" si="59"/>
        <v>0</v>
      </c>
      <c r="O152">
        <f t="shared" si="59"/>
        <v>0</v>
      </c>
      <c r="P152">
        <f t="shared" si="59"/>
        <v>0</v>
      </c>
      <c r="Q152">
        <f t="shared" si="59"/>
        <v>0</v>
      </c>
      <c r="R152">
        <f t="shared" si="59"/>
        <v>0</v>
      </c>
      <c r="S152">
        <f t="shared" si="59"/>
        <v>0</v>
      </c>
      <c r="T152">
        <f t="shared" si="59"/>
        <v>0</v>
      </c>
      <c r="U152">
        <f t="shared" si="59"/>
        <v>0</v>
      </c>
      <c r="V152">
        <f t="shared" si="59"/>
        <v>0</v>
      </c>
      <c r="W152">
        <f t="shared" si="59"/>
        <v>0</v>
      </c>
    </row>
    <row r="153" spans="1:23">
      <c r="A153" t="e">
        <f t="shared" ref="A153:W153" si="60">A40-A97</f>
        <v>#VALUE!</v>
      </c>
      <c r="B153">
        <f t="shared" si="60"/>
        <v>0</v>
      </c>
      <c r="C153" t="e">
        <f t="shared" si="60"/>
        <v>#VALUE!</v>
      </c>
      <c r="D153">
        <f t="shared" si="60"/>
        <v>0</v>
      </c>
      <c r="E153">
        <f t="shared" si="60"/>
        <v>0</v>
      </c>
      <c r="F153">
        <f t="shared" si="60"/>
        <v>0</v>
      </c>
      <c r="G153">
        <f t="shared" si="60"/>
        <v>0</v>
      </c>
      <c r="H153">
        <f t="shared" si="60"/>
        <v>0</v>
      </c>
      <c r="I153">
        <f t="shared" si="60"/>
        <v>0</v>
      </c>
      <c r="J153">
        <f t="shared" si="60"/>
        <v>0</v>
      </c>
      <c r="K153">
        <f t="shared" si="60"/>
        <v>0</v>
      </c>
      <c r="L153">
        <f t="shared" si="60"/>
        <v>0</v>
      </c>
      <c r="M153">
        <f t="shared" si="60"/>
        <v>0</v>
      </c>
      <c r="N153">
        <f t="shared" si="60"/>
        <v>0</v>
      </c>
      <c r="O153">
        <f t="shared" si="60"/>
        <v>0</v>
      </c>
      <c r="P153">
        <f t="shared" si="60"/>
        <v>0</v>
      </c>
      <c r="Q153">
        <f t="shared" si="60"/>
        <v>0</v>
      </c>
      <c r="R153">
        <f t="shared" si="60"/>
        <v>0</v>
      </c>
      <c r="S153">
        <f t="shared" si="60"/>
        <v>0</v>
      </c>
      <c r="T153">
        <f t="shared" si="60"/>
        <v>0</v>
      </c>
      <c r="U153">
        <f t="shared" si="60"/>
        <v>0</v>
      </c>
      <c r="V153">
        <f t="shared" si="60"/>
        <v>0</v>
      </c>
      <c r="W153">
        <f t="shared" si="60"/>
        <v>0</v>
      </c>
    </row>
    <row r="154" spans="1:23">
      <c r="A154" t="e">
        <f t="shared" ref="A154:W154" si="61">A41-A98</f>
        <v>#VALUE!</v>
      </c>
      <c r="B154">
        <f t="shared" si="61"/>
        <v>0</v>
      </c>
      <c r="C154" t="e">
        <f t="shared" si="61"/>
        <v>#VALUE!</v>
      </c>
      <c r="D154">
        <f t="shared" si="61"/>
        <v>0</v>
      </c>
      <c r="E154">
        <f t="shared" si="61"/>
        <v>0</v>
      </c>
      <c r="F154">
        <f t="shared" si="61"/>
        <v>0</v>
      </c>
      <c r="G154">
        <f t="shared" si="61"/>
        <v>0</v>
      </c>
      <c r="H154">
        <f t="shared" si="61"/>
        <v>0</v>
      </c>
      <c r="I154">
        <f t="shared" si="61"/>
        <v>0</v>
      </c>
      <c r="J154">
        <f t="shared" si="61"/>
        <v>0</v>
      </c>
      <c r="K154">
        <f t="shared" si="61"/>
        <v>0</v>
      </c>
      <c r="L154">
        <f t="shared" si="61"/>
        <v>0</v>
      </c>
      <c r="M154">
        <f t="shared" si="61"/>
        <v>0</v>
      </c>
      <c r="N154">
        <f t="shared" si="61"/>
        <v>0</v>
      </c>
      <c r="O154">
        <f t="shared" si="61"/>
        <v>0</v>
      </c>
      <c r="P154">
        <f t="shared" si="61"/>
        <v>0</v>
      </c>
      <c r="Q154">
        <f t="shared" si="61"/>
        <v>0</v>
      </c>
      <c r="R154">
        <f t="shared" si="61"/>
        <v>0</v>
      </c>
      <c r="S154">
        <f t="shared" si="61"/>
        <v>0</v>
      </c>
      <c r="T154">
        <f t="shared" si="61"/>
        <v>0</v>
      </c>
      <c r="U154">
        <f t="shared" si="61"/>
        <v>0</v>
      </c>
      <c r="V154">
        <f t="shared" si="61"/>
        <v>0</v>
      </c>
      <c r="W154">
        <f t="shared" si="61"/>
        <v>0</v>
      </c>
    </row>
    <row r="155" spans="1:23">
      <c r="A155" t="e">
        <f t="shared" ref="A155:W155" si="62">A42-A99</f>
        <v>#VALUE!</v>
      </c>
      <c r="B155">
        <f t="shared" si="62"/>
        <v>0</v>
      </c>
      <c r="C155" t="e">
        <f t="shared" si="62"/>
        <v>#VALUE!</v>
      </c>
      <c r="D155">
        <f t="shared" si="62"/>
        <v>0</v>
      </c>
      <c r="E155">
        <f t="shared" si="62"/>
        <v>0</v>
      </c>
      <c r="F155">
        <f t="shared" si="62"/>
        <v>0</v>
      </c>
      <c r="G155">
        <f t="shared" si="62"/>
        <v>0</v>
      </c>
      <c r="H155">
        <f t="shared" si="62"/>
        <v>0</v>
      </c>
      <c r="I155">
        <f t="shared" si="62"/>
        <v>0</v>
      </c>
      <c r="J155">
        <f t="shared" si="62"/>
        <v>0</v>
      </c>
      <c r="K155">
        <f t="shared" si="62"/>
        <v>0</v>
      </c>
      <c r="L155">
        <f t="shared" si="62"/>
        <v>0</v>
      </c>
      <c r="M155">
        <f t="shared" si="62"/>
        <v>0</v>
      </c>
      <c r="N155">
        <f t="shared" si="62"/>
        <v>0</v>
      </c>
      <c r="O155">
        <f t="shared" si="62"/>
        <v>0</v>
      </c>
      <c r="P155">
        <f t="shared" si="62"/>
        <v>0</v>
      </c>
      <c r="Q155">
        <f t="shared" si="62"/>
        <v>0</v>
      </c>
      <c r="R155">
        <f t="shared" si="62"/>
        <v>0</v>
      </c>
      <c r="S155">
        <f t="shared" si="62"/>
        <v>0</v>
      </c>
      <c r="T155">
        <f t="shared" si="62"/>
        <v>0</v>
      </c>
      <c r="U155">
        <f t="shared" si="62"/>
        <v>0</v>
      </c>
      <c r="V155">
        <f t="shared" si="62"/>
        <v>0</v>
      </c>
      <c r="W155">
        <f t="shared" si="62"/>
        <v>0</v>
      </c>
    </row>
    <row r="156" spans="1:23">
      <c r="A156" t="e">
        <f t="shared" ref="A156:W156" si="63">A43-A100</f>
        <v>#VALUE!</v>
      </c>
      <c r="B156">
        <f t="shared" si="63"/>
        <v>0</v>
      </c>
      <c r="C156" t="e">
        <f t="shared" si="63"/>
        <v>#VALUE!</v>
      </c>
      <c r="D156">
        <f t="shared" si="63"/>
        <v>0</v>
      </c>
      <c r="E156">
        <f t="shared" si="63"/>
        <v>0</v>
      </c>
      <c r="F156">
        <f t="shared" si="63"/>
        <v>0</v>
      </c>
      <c r="G156">
        <f t="shared" si="63"/>
        <v>0</v>
      </c>
      <c r="H156">
        <f t="shared" si="63"/>
        <v>0</v>
      </c>
      <c r="I156">
        <f t="shared" si="63"/>
        <v>0</v>
      </c>
      <c r="J156">
        <f t="shared" si="63"/>
        <v>0</v>
      </c>
      <c r="K156">
        <f t="shared" si="63"/>
        <v>0</v>
      </c>
      <c r="L156">
        <f t="shared" si="63"/>
        <v>0</v>
      </c>
      <c r="M156">
        <f t="shared" si="63"/>
        <v>0</v>
      </c>
      <c r="N156">
        <f t="shared" si="63"/>
        <v>0</v>
      </c>
      <c r="O156">
        <f t="shared" si="63"/>
        <v>0</v>
      </c>
      <c r="P156">
        <f t="shared" si="63"/>
        <v>0</v>
      </c>
      <c r="Q156">
        <f t="shared" si="63"/>
        <v>0</v>
      </c>
      <c r="R156">
        <f t="shared" si="63"/>
        <v>0</v>
      </c>
      <c r="S156">
        <f t="shared" si="63"/>
        <v>0</v>
      </c>
      <c r="T156">
        <f t="shared" si="63"/>
        <v>0</v>
      </c>
      <c r="U156">
        <f t="shared" si="63"/>
        <v>0</v>
      </c>
      <c r="V156">
        <f t="shared" si="63"/>
        <v>0</v>
      </c>
      <c r="W156">
        <f t="shared" si="63"/>
        <v>0</v>
      </c>
    </row>
    <row r="157" spans="1:23">
      <c r="A157" t="e">
        <f t="shared" ref="A157:W157" si="64">A44-A101</f>
        <v>#VALUE!</v>
      </c>
      <c r="B157">
        <f t="shared" si="64"/>
        <v>0</v>
      </c>
      <c r="C157" t="e">
        <f t="shared" si="64"/>
        <v>#VALUE!</v>
      </c>
      <c r="D157">
        <f t="shared" si="64"/>
        <v>0</v>
      </c>
      <c r="E157">
        <f t="shared" si="64"/>
        <v>0</v>
      </c>
      <c r="F157">
        <f t="shared" si="64"/>
        <v>0</v>
      </c>
      <c r="G157">
        <f t="shared" si="64"/>
        <v>0</v>
      </c>
      <c r="H157">
        <f t="shared" si="64"/>
        <v>0</v>
      </c>
      <c r="I157">
        <f t="shared" si="64"/>
        <v>0</v>
      </c>
      <c r="J157">
        <f t="shared" si="64"/>
        <v>0</v>
      </c>
      <c r="K157">
        <f t="shared" si="64"/>
        <v>0</v>
      </c>
      <c r="L157">
        <f t="shared" si="64"/>
        <v>0</v>
      </c>
      <c r="M157">
        <f t="shared" si="64"/>
        <v>0</v>
      </c>
      <c r="N157">
        <f t="shared" si="64"/>
        <v>0</v>
      </c>
      <c r="O157">
        <f t="shared" si="64"/>
        <v>0</v>
      </c>
      <c r="P157">
        <f t="shared" si="64"/>
        <v>0</v>
      </c>
      <c r="Q157">
        <f t="shared" si="64"/>
        <v>0</v>
      </c>
      <c r="R157">
        <f t="shared" si="64"/>
        <v>0</v>
      </c>
      <c r="S157">
        <f t="shared" si="64"/>
        <v>0</v>
      </c>
      <c r="T157">
        <f t="shared" si="64"/>
        <v>0</v>
      </c>
      <c r="U157">
        <f t="shared" si="64"/>
        <v>0</v>
      </c>
      <c r="V157">
        <f t="shared" si="64"/>
        <v>0</v>
      </c>
      <c r="W157">
        <f t="shared" si="64"/>
        <v>0</v>
      </c>
    </row>
    <row r="158" spans="1:23">
      <c r="A158" t="e">
        <f t="shared" ref="A158:W158" si="65">A45-A102</f>
        <v>#VALUE!</v>
      </c>
      <c r="B158">
        <f t="shared" si="65"/>
        <v>0</v>
      </c>
      <c r="C158" t="e">
        <f t="shared" si="65"/>
        <v>#VALUE!</v>
      </c>
      <c r="D158">
        <f t="shared" si="65"/>
        <v>0</v>
      </c>
      <c r="E158">
        <f t="shared" si="65"/>
        <v>0</v>
      </c>
      <c r="F158">
        <f t="shared" si="65"/>
        <v>0</v>
      </c>
      <c r="G158">
        <f t="shared" si="65"/>
        <v>0</v>
      </c>
      <c r="H158">
        <f t="shared" si="65"/>
        <v>0</v>
      </c>
      <c r="I158">
        <f t="shared" si="65"/>
        <v>0</v>
      </c>
      <c r="J158">
        <f t="shared" si="65"/>
        <v>0</v>
      </c>
      <c r="K158">
        <f t="shared" si="65"/>
        <v>0</v>
      </c>
      <c r="L158">
        <f t="shared" si="65"/>
        <v>0</v>
      </c>
      <c r="M158">
        <f t="shared" si="65"/>
        <v>0</v>
      </c>
      <c r="N158">
        <f t="shared" si="65"/>
        <v>0</v>
      </c>
      <c r="O158">
        <f t="shared" si="65"/>
        <v>0</v>
      </c>
      <c r="P158">
        <f t="shared" si="65"/>
        <v>0</v>
      </c>
      <c r="Q158">
        <f t="shared" si="65"/>
        <v>0</v>
      </c>
      <c r="R158">
        <f t="shared" si="65"/>
        <v>0</v>
      </c>
      <c r="S158">
        <f t="shared" si="65"/>
        <v>0</v>
      </c>
      <c r="T158">
        <f t="shared" si="65"/>
        <v>0</v>
      </c>
      <c r="U158">
        <f t="shared" si="65"/>
        <v>0</v>
      </c>
      <c r="V158">
        <f t="shared" si="65"/>
        <v>0</v>
      </c>
      <c r="W158">
        <f t="shared" si="65"/>
        <v>0</v>
      </c>
    </row>
    <row r="159" spans="1:23">
      <c r="A159" t="e">
        <f t="shared" ref="A159:W159" si="66">A46-A103</f>
        <v>#VALUE!</v>
      </c>
      <c r="B159">
        <f t="shared" si="66"/>
        <v>0</v>
      </c>
      <c r="C159" t="e">
        <f t="shared" si="66"/>
        <v>#VALUE!</v>
      </c>
      <c r="D159">
        <f t="shared" si="66"/>
        <v>0</v>
      </c>
      <c r="E159">
        <f t="shared" si="66"/>
        <v>0</v>
      </c>
      <c r="F159">
        <f t="shared" si="66"/>
        <v>0</v>
      </c>
      <c r="G159">
        <f t="shared" si="66"/>
        <v>0</v>
      </c>
      <c r="H159">
        <f t="shared" si="66"/>
        <v>0</v>
      </c>
      <c r="I159">
        <f t="shared" si="66"/>
        <v>0</v>
      </c>
      <c r="J159">
        <f t="shared" si="66"/>
        <v>0</v>
      </c>
      <c r="K159">
        <f t="shared" si="66"/>
        <v>0</v>
      </c>
      <c r="L159">
        <f t="shared" si="66"/>
        <v>0</v>
      </c>
      <c r="M159">
        <f t="shared" si="66"/>
        <v>0</v>
      </c>
      <c r="N159">
        <f t="shared" si="66"/>
        <v>0</v>
      </c>
      <c r="O159">
        <f t="shared" si="66"/>
        <v>0</v>
      </c>
      <c r="P159">
        <f t="shared" si="66"/>
        <v>0</v>
      </c>
      <c r="Q159">
        <f t="shared" si="66"/>
        <v>0</v>
      </c>
      <c r="R159">
        <f t="shared" si="66"/>
        <v>0</v>
      </c>
      <c r="S159">
        <f t="shared" si="66"/>
        <v>0</v>
      </c>
      <c r="T159">
        <f t="shared" si="66"/>
        <v>0</v>
      </c>
      <c r="U159">
        <f t="shared" si="66"/>
        <v>0</v>
      </c>
      <c r="V159">
        <f t="shared" si="66"/>
        <v>0</v>
      </c>
      <c r="W159">
        <f t="shared" si="66"/>
        <v>0</v>
      </c>
    </row>
    <row r="160" spans="1:23">
      <c r="A160" t="e">
        <f t="shared" ref="A160:W160" si="67">A47-A104</f>
        <v>#VALUE!</v>
      </c>
      <c r="B160">
        <f t="shared" si="67"/>
        <v>0</v>
      </c>
      <c r="C160" t="e">
        <f t="shared" si="67"/>
        <v>#VALUE!</v>
      </c>
      <c r="D160">
        <f t="shared" si="67"/>
        <v>0</v>
      </c>
      <c r="E160">
        <f t="shared" si="67"/>
        <v>0</v>
      </c>
      <c r="F160">
        <f t="shared" si="67"/>
        <v>0</v>
      </c>
      <c r="G160">
        <f t="shared" si="67"/>
        <v>0</v>
      </c>
      <c r="H160">
        <f t="shared" si="67"/>
        <v>0</v>
      </c>
      <c r="I160">
        <f t="shared" si="67"/>
        <v>0</v>
      </c>
      <c r="J160">
        <f t="shared" si="67"/>
        <v>0</v>
      </c>
      <c r="K160">
        <f t="shared" si="67"/>
        <v>0</v>
      </c>
      <c r="L160">
        <f t="shared" si="67"/>
        <v>0</v>
      </c>
      <c r="M160">
        <f t="shared" si="67"/>
        <v>0</v>
      </c>
      <c r="N160">
        <f t="shared" si="67"/>
        <v>0</v>
      </c>
      <c r="O160">
        <f t="shared" si="67"/>
        <v>0</v>
      </c>
      <c r="P160">
        <f t="shared" si="67"/>
        <v>0</v>
      </c>
      <c r="Q160">
        <f t="shared" si="67"/>
        <v>0</v>
      </c>
      <c r="R160">
        <f t="shared" si="67"/>
        <v>0</v>
      </c>
      <c r="S160">
        <f t="shared" si="67"/>
        <v>0</v>
      </c>
      <c r="T160">
        <f t="shared" si="67"/>
        <v>0</v>
      </c>
      <c r="U160">
        <f t="shared" si="67"/>
        <v>0</v>
      </c>
      <c r="V160">
        <f t="shared" si="67"/>
        <v>0</v>
      </c>
      <c r="W160">
        <f t="shared" si="67"/>
        <v>0</v>
      </c>
    </row>
    <row r="161" spans="1:23">
      <c r="A161" t="e">
        <f t="shared" ref="A161:W161" si="68">A48-A105</f>
        <v>#VALUE!</v>
      </c>
      <c r="B161">
        <f t="shared" si="68"/>
        <v>0</v>
      </c>
      <c r="C161" t="e">
        <f t="shared" si="68"/>
        <v>#VALUE!</v>
      </c>
      <c r="D161">
        <f t="shared" si="68"/>
        <v>0</v>
      </c>
      <c r="E161">
        <f t="shared" si="68"/>
        <v>0</v>
      </c>
      <c r="F161">
        <f t="shared" si="68"/>
        <v>0</v>
      </c>
      <c r="G161">
        <f t="shared" si="68"/>
        <v>0</v>
      </c>
      <c r="H161">
        <f t="shared" si="68"/>
        <v>0</v>
      </c>
      <c r="I161">
        <f t="shared" si="68"/>
        <v>0</v>
      </c>
      <c r="J161">
        <f t="shared" si="68"/>
        <v>0</v>
      </c>
      <c r="K161">
        <f t="shared" si="68"/>
        <v>0</v>
      </c>
      <c r="L161">
        <f t="shared" si="68"/>
        <v>0</v>
      </c>
      <c r="M161">
        <f t="shared" si="68"/>
        <v>0</v>
      </c>
      <c r="N161">
        <f t="shared" si="68"/>
        <v>0</v>
      </c>
      <c r="O161">
        <f t="shared" si="68"/>
        <v>0</v>
      </c>
      <c r="P161">
        <f t="shared" si="68"/>
        <v>0</v>
      </c>
      <c r="Q161">
        <f t="shared" si="68"/>
        <v>0</v>
      </c>
      <c r="R161">
        <f t="shared" si="68"/>
        <v>0</v>
      </c>
      <c r="S161">
        <f t="shared" si="68"/>
        <v>0</v>
      </c>
      <c r="T161">
        <f t="shared" si="68"/>
        <v>0</v>
      </c>
      <c r="U161">
        <f t="shared" si="68"/>
        <v>0</v>
      </c>
      <c r="V161">
        <f t="shared" si="68"/>
        <v>0</v>
      </c>
      <c r="W161">
        <f t="shared" si="68"/>
        <v>0</v>
      </c>
    </row>
    <row r="162" spans="1:23">
      <c r="A162" t="e">
        <f t="shared" ref="A162:W162" si="69">A49-A106</f>
        <v>#VALUE!</v>
      </c>
      <c r="B162">
        <f t="shared" si="69"/>
        <v>0</v>
      </c>
      <c r="C162" t="e">
        <f t="shared" si="69"/>
        <v>#VALUE!</v>
      </c>
      <c r="D162">
        <f t="shared" si="69"/>
        <v>0</v>
      </c>
      <c r="E162">
        <f t="shared" si="69"/>
        <v>0</v>
      </c>
      <c r="F162">
        <f t="shared" si="69"/>
        <v>0</v>
      </c>
      <c r="G162">
        <f t="shared" si="69"/>
        <v>0</v>
      </c>
      <c r="H162">
        <f t="shared" si="69"/>
        <v>0</v>
      </c>
      <c r="I162">
        <f t="shared" si="69"/>
        <v>0</v>
      </c>
      <c r="J162">
        <f t="shared" si="69"/>
        <v>0</v>
      </c>
      <c r="K162">
        <f t="shared" si="69"/>
        <v>0</v>
      </c>
      <c r="L162">
        <f t="shared" si="69"/>
        <v>0</v>
      </c>
      <c r="M162">
        <f t="shared" si="69"/>
        <v>0</v>
      </c>
      <c r="N162">
        <f t="shared" si="69"/>
        <v>0</v>
      </c>
      <c r="O162">
        <f t="shared" si="69"/>
        <v>0</v>
      </c>
      <c r="P162">
        <f t="shared" si="69"/>
        <v>0</v>
      </c>
      <c r="Q162">
        <f t="shared" si="69"/>
        <v>0</v>
      </c>
      <c r="R162">
        <f t="shared" si="69"/>
        <v>0</v>
      </c>
      <c r="S162">
        <f t="shared" si="69"/>
        <v>0</v>
      </c>
      <c r="T162">
        <f t="shared" si="69"/>
        <v>0</v>
      </c>
      <c r="U162">
        <f t="shared" si="69"/>
        <v>0</v>
      </c>
      <c r="V162">
        <f t="shared" si="69"/>
        <v>0</v>
      </c>
      <c r="W162">
        <f t="shared" si="69"/>
        <v>0</v>
      </c>
    </row>
    <row r="163" spans="1:23">
      <c r="A163" t="e">
        <f t="shared" ref="A163:W163" si="70">A50-A107</f>
        <v>#VALUE!</v>
      </c>
      <c r="B163">
        <f t="shared" si="70"/>
        <v>0</v>
      </c>
      <c r="C163" t="e">
        <f t="shared" si="70"/>
        <v>#VALUE!</v>
      </c>
      <c r="D163">
        <f t="shared" si="70"/>
        <v>0</v>
      </c>
      <c r="E163">
        <f t="shared" si="70"/>
        <v>0</v>
      </c>
      <c r="F163">
        <f t="shared" si="70"/>
        <v>0</v>
      </c>
      <c r="G163">
        <f t="shared" si="70"/>
        <v>0</v>
      </c>
      <c r="H163">
        <f t="shared" si="70"/>
        <v>0</v>
      </c>
      <c r="I163">
        <f t="shared" si="70"/>
        <v>0</v>
      </c>
      <c r="J163">
        <f t="shared" si="70"/>
        <v>0</v>
      </c>
      <c r="K163">
        <f t="shared" si="70"/>
        <v>0</v>
      </c>
      <c r="L163">
        <f t="shared" si="70"/>
        <v>0</v>
      </c>
      <c r="M163">
        <f t="shared" si="70"/>
        <v>0</v>
      </c>
      <c r="N163">
        <f t="shared" si="70"/>
        <v>0</v>
      </c>
      <c r="O163">
        <f t="shared" si="70"/>
        <v>0</v>
      </c>
      <c r="P163">
        <f t="shared" si="70"/>
        <v>0</v>
      </c>
      <c r="Q163">
        <f t="shared" si="70"/>
        <v>0</v>
      </c>
      <c r="R163">
        <f t="shared" si="70"/>
        <v>0</v>
      </c>
      <c r="S163">
        <f t="shared" si="70"/>
        <v>0</v>
      </c>
      <c r="T163">
        <f t="shared" si="70"/>
        <v>0</v>
      </c>
      <c r="U163">
        <f t="shared" si="70"/>
        <v>0</v>
      </c>
      <c r="V163">
        <f t="shared" si="70"/>
        <v>0</v>
      </c>
      <c r="W163">
        <f t="shared" si="70"/>
        <v>0</v>
      </c>
    </row>
    <row r="164" spans="1:23">
      <c r="A164" t="e">
        <f t="shared" ref="A164:W164" si="71">A51-A108</f>
        <v>#VALUE!</v>
      </c>
      <c r="B164">
        <f t="shared" si="71"/>
        <v>0</v>
      </c>
      <c r="C164" t="e">
        <f t="shared" si="71"/>
        <v>#VALUE!</v>
      </c>
      <c r="D164">
        <f t="shared" si="71"/>
        <v>0</v>
      </c>
      <c r="E164">
        <f t="shared" si="71"/>
        <v>0</v>
      </c>
      <c r="F164">
        <f t="shared" si="71"/>
        <v>0</v>
      </c>
      <c r="G164">
        <f t="shared" si="71"/>
        <v>0</v>
      </c>
      <c r="H164">
        <f t="shared" si="71"/>
        <v>0</v>
      </c>
      <c r="I164">
        <f t="shared" si="71"/>
        <v>0</v>
      </c>
      <c r="J164">
        <f t="shared" si="71"/>
        <v>0</v>
      </c>
      <c r="K164">
        <f t="shared" si="71"/>
        <v>0</v>
      </c>
      <c r="L164">
        <f t="shared" si="71"/>
        <v>0</v>
      </c>
      <c r="M164">
        <f t="shared" si="71"/>
        <v>0</v>
      </c>
      <c r="N164">
        <f t="shared" si="71"/>
        <v>0</v>
      </c>
      <c r="O164">
        <f t="shared" si="71"/>
        <v>0</v>
      </c>
      <c r="P164">
        <f t="shared" si="71"/>
        <v>0</v>
      </c>
      <c r="Q164">
        <f t="shared" si="71"/>
        <v>0</v>
      </c>
      <c r="R164">
        <f t="shared" si="71"/>
        <v>0</v>
      </c>
      <c r="S164">
        <f t="shared" si="71"/>
        <v>0</v>
      </c>
      <c r="T164">
        <f t="shared" si="71"/>
        <v>0</v>
      </c>
      <c r="U164">
        <f t="shared" si="71"/>
        <v>0</v>
      </c>
      <c r="V164">
        <f t="shared" si="71"/>
        <v>0</v>
      </c>
      <c r="W164">
        <f t="shared" si="71"/>
        <v>0</v>
      </c>
    </row>
    <row r="165" spans="1:23">
      <c r="A165" t="e">
        <f t="shared" ref="A165:W165" si="72">A52-A109</f>
        <v>#VALUE!</v>
      </c>
      <c r="B165">
        <f t="shared" si="72"/>
        <v>0</v>
      </c>
      <c r="C165" t="e">
        <f t="shared" si="72"/>
        <v>#VALUE!</v>
      </c>
      <c r="D165">
        <f t="shared" si="72"/>
        <v>0</v>
      </c>
      <c r="E165">
        <f t="shared" si="72"/>
        <v>0</v>
      </c>
      <c r="F165">
        <f t="shared" si="72"/>
        <v>0</v>
      </c>
      <c r="G165">
        <f t="shared" si="72"/>
        <v>0</v>
      </c>
      <c r="H165">
        <f t="shared" si="72"/>
        <v>0</v>
      </c>
      <c r="I165">
        <f t="shared" si="72"/>
        <v>0</v>
      </c>
      <c r="J165">
        <f t="shared" si="72"/>
        <v>0</v>
      </c>
      <c r="K165">
        <f t="shared" si="72"/>
        <v>0</v>
      </c>
      <c r="L165">
        <f t="shared" si="72"/>
        <v>0</v>
      </c>
      <c r="M165">
        <f t="shared" si="72"/>
        <v>0</v>
      </c>
      <c r="N165">
        <f t="shared" si="72"/>
        <v>0</v>
      </c>
      <c r="O165">
        <f t="shared" si="72"/>
        <v>0</v>
      </c>
      <c r="P165">
        <f t="shared" si="72"/>
        <v>0</v>
      </c>
      <c r="Q165">
        <f t="shared" si="72"/>
        <v>0</v>
      </c>
      <c r="R165">
        <f t="shared" si="72"/>
        <v>0</v>
      </c>
      <c r="S165">
        <f t="shared" si="72"/>
        <v>0</v>
      </c>
      <c r="T165">
        <f t="shared" si="72"/>
        <v>0</v>
      </c>
      <c r="U165">
        <f t="shared" si="72"/>
        <v>0</v>
      </c>
      <c r="V165">
        <f t="shared" si="72"/>
        <v>0</v>
      </c>
      <c r="W165">
        <f t="shared" si="72"/>
        <v>0</v>
      </c>
    </row>
    <row r="166" spans="1:23">
      <c r="A166" t="e">
        <f t="shared" ref="A166:W166" si="73">A53-A110</f>
        <v>#VALUE!</v>
      </c>
      <c r="B166">
        <f t="shared" si="73"/>
        <v>0</v>
      </c>
      <c r="C166" t="e">
        <f t="shared" si="73"/>
        <v>#VALUE!</v>
      </c>
      <c r="D166">
        <f t="shared" si="73"/>
        <v>0</v>
      </c>
      <c r="E166">
        <f t="shared" si="73"/>
        <v>-3</v>
      </c>
      <c r="F166">
        <f t="shared" si="73"/>
        <v>0</v>
      </c>
      <c r="G166">
        <f t="shared" si="73"/>
        <v>0</v>
      </c>
      <c r="H166">
        <f t="shared" si="73"/>
        <v>0</v>
      </c>
      <c r="I166">
        <f t="shared" si="73"/>
        <v>0</v>
      </c>
      <c r="J166">
        <f t="shared" si="73"/>
        <v>0</v>
      </c>
      <c r="K166">
        <f t="shared" si="73"/>
        <v>0</v>
      </c>
      <c r="L166">
        <f t="shared" si="73"/>
        <v>0</v>
      </c>
      <c r="M166">
        <f t="shared" si="73"/>
        <v>0</v>
      </c>
      <c r="N166">
        <f t="shared" si="73"/>
        <v>0</v>
      </c>
      <c r="O166">
        <f t="shared" si="73"/>
        <v>0</v>
      </c>
      <c r="P166">
        <f t="shared" si="73"/>
        <v>0</v>
      </c>
      <c r="Q166">
        <f t="shared" si="73"/>
        <v>0</v>
      </c>
      <c r="R166">
        <f t="shared" si="73"/>
        <v>0</v>
      </c>
      <c r="S166">
        <f t="shared" si="73"/>
        <v>0</v>
      </c>
      <c r="T166">
        <f t="shared" si="73"/>
        <v>0</v>
      </c>
      <c r="U166">
        <f t="shared" si="73"/>
        <v>0</v>
      </c>
      <c r="V166">
        <f t="shared" si="73"/>
        <v>0</v>
      </c>
      <c r="W166">
        <f t="shared" si="73"/>
        <v>0</v>
      </c>
    </row>
    <row r="167" spans="1:23">
      <c r="A167" t="e">
        <f t="shared" ref="A167:W167" si="74">A54-A111</f>
        <v>#VALUE!</v>
      </c>
      <c r="B167">
        <f t="shared" si="74"/>
        <v>0</v>
      </c>
      <c r="C167" t="e">
        <f t="shared" si="74"/>
        <v>#VALUE!</v>
      </c>
      <c r="D167">
        <f t="shared" si="74"/>
        <v>0</v>
      </c>
      <c r="E167">
        <f t="shared" si="74"/>
        <v>0</v>
      </c>
      <c r="F167">
        <f t="shared" si="74"/>
        <v>0</v>
      </c>
      <c r="G167">
        <f t="shared" si="74"/>
        <v>0</v>
      </c>
      <c r="H167">
        <f t="shared" si="74"/>
        <v>0</v>
      </c>
      <c r="I167">
        <f t="shared" si="74"/>
        <v>0</v>
      </c>
      <c r="J167">
        <f t="shared" si="74"/>
        <v>0</v>
      </c>
      <c r="K167">
        <f t="shared" si="74"/>
        <v>0</v>
      </c>
      <c r="L167">
        <f t="shared" si="74"/>
        <v>0</v>
      </c>
      <c r="M167">
        <f t="shared" si="74"/>
        <v>0</v>
      </c>
      <c r="N167">
        <f t="shared" si="74"/>
        <v>0</v>
      </c>
      <c r="O167">
        <f t="shared" si="74"/>
        <v>0</v>
      </c>
      <c r="P167">
        <f t="shared" si="74"/>
        <v>0</v>
      </c>
      <c r="Q167">
        <f t="shared" si="74"/>
        <v>0</v>
      </c>
      <c r="R167">
        <f t="shared" si="74"/>
        <v>0</v>
      </c>
      <c r="S167">
        <f t="shared" si="74"/>
        <v>0</v>
      </c>
      <c r="T167">
        <f t="shared" si="74"/>
        <v>0</v>
      </c>
      <c r="U167">
        <f t="shared" si="74"/>
        <v>0</v>
      </c>
      <c r="V167">
        <f t="shared" si="74"/>
        <v>0</v>
      </c>
      <c r="W167">
        <f t="shared" si="74"/>
        <v>0</v>
      </c>
    </row>
    <row r="168" spans="1:23">
      <c r="A168" t="e">
        <f t="shared" ref="A168:W168" si="75">A55-A112</f>
        <v>#VALUE!</v>
      </c>
      <c r="B168">
        <f t="shared" si="75"/>
        <v>0</v>
      </c>
      <c r="C168" t="e">
        <f t="shared" si="75"/>
        <v>#VALUE!</v>
      </c>
      <c r="D168">
        <f t="shared" si="75"/>
        <v>0</v>
      </c>
      <c r="E168">
        <f t="shared" si="75"/>
        <v>0</v>
      </c>
      <c r="F168">
        <f t="shared" si="75"/>
        <v>0</v>
      </c>
      <c r="G168">
        <f t="shared" si="75"/>
        <v>0</v>
      </c>
      <c r="H168">
        <f t="shared" si="75"/>
        <v>0</v>
      </c>
      <c r="I168">
        <f t="shared" si="75"/>
        <v>0</v>
      </c>
      <c r="J168">
        <f t="shared" si="75"/>
        <v>0</v>
      </c>
      <c r="K168">
        <f t="shared" si="75"/>
        <v>0</v>
      </c>
      <c r="L168">
        <f t="shared" si="75"/>
        <v>0</v>
      </c>
      <c r="M168">
        <f t="shared" si="75"/>
        <v>0</v>
      </c>
      <c r="N168">
        <f t="shared" si="75"/>
        <v>0</v>
      </c>
      <c r="O168">
        <f t="shared" si="75"/>
        <v>0</v>
      </c>
      <c r="P168">
        <f t="shared" si="75"/>
        <v>0</v>
      </c>
      <c r="Q168">
        <f t="shared" si="75"/>
        <v>0</v>
      </c>
      <c r="R168">
        <f t="shared" si="75"/>
        <v>0</v>
      </c>
      <c r="S168">
        <f t="shared" si="75"/>
        <v>0</v>
      </c>
      <c r="T168">
        <f t="shared" si="75"/>
        <v>0</v>
      </c>
      <c r="U168">
        <f t="shared" si="75"/>
        <v>0</v>
      </c>
      <c r="V168">
        <f t="shared" si="75"/>
        <v>0</v>
      </c>
      <c r="W168">
        <f t="shared" si="75"/>
        <v>0</v>
      </c>
    </row>
    <row r="169" spans="1:23">
      <c r="A169" t="e">
        <f t="shared" ref="A169:W169" si="76">A56-A113</f>
        <v>#VALUE!</v>
      </c>
      <c r="B169">
        <f t="shared" si="76"/>
        <v>0</v>
      </c>
      <c r="C169" t="e">
        <f t="shared" si="76"/>
        <v>#VALUE!</v>
      </c>
      <c r="D169">
        <f t="shared" si="76"/>
        <v>0</v>
      </c>
      <c r="E169">
        <f t="shared" si="76"/>
        <v>0</v>
      </c>
      <c r="F169">
        <f t="shared" si="76"/>
        <v>0</v>
      </c>
      <c r="G169">
        <f t="shared" si="76"/>
        <v>0</v>
      </c>
      <c r="H169">
        <f t="shared" si="76"/>
        <v>0</v>
      </c>
      <c r="I169">
        <f t="shared" si="76"/>
        <v>0</v>
      </c>
      <c r="J169">
        <f t="shared" si="76"/>
        <v>0</v>
      </c>
      <c r="K169">
        <f t="shared" si="76"/>
        <v>0</v>
      </c>
      <c r="L169">
        <f t="shared" si="76"/>
        <v>0</v>
      </c>
      <c r="M169">
        <f t="shared" si="76"/>
        <v>0</v>
      </c>
      <c r="N169">
        <f t="shared" si="76"/>
        <v>0</v>
      </c>
      <c r="O169">
        <f t="shared" si="76"/>
        <v>0</v>
      </c>
      <c r="P169">
        <f t="shared" si="76"/>
        <v>0</v>
      </c>
      <c r="Q169">
        <f t="shared" si="76"/>
        <v>8.171612901958156E-28</v>
      </c>
      <c r="R169">
        <f t="shared" si="76"/>
        <v>-5.3823612233827589E-13</v>
      </c>
      <c r="S169">
        <f t="shared" si="76"/>
        <v>2.9997831145149822E-13</v>
      </c>
      <c r="T169">
        <f t="shared" si="76"/>
        <v>6.3565275783005613E-24</v>
      </c>
      <c r="U169">
        <f t="shared" si="76"/>
        <v>-4.1922021409845911E-13</v>
      </c>
      <c r="V169">
        <f t="shared" si="76"/>
        <v>0</v>
      </c>
      <c r="W169">
        <f t="shared" si="76"/>
        <v>0</v>
      </c>
    </row>
  </sheetData>
  <pageMargins left="0.7" right="0.7" top="0.75" bottom="0.75" header="0.3" footer="0.3"/>
  <pageSetup paperSize="9" scale="3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43"/>
  <sheetViews>
    <sheetView showGridLines="0" zoomScale="140" zoomScaleNormal="140" workbookViewId="0">
      <selection activeCell="I3" sqref="I3"/>
    </sheetView>
  </sheetViews>
  <sheetFormatPr defaultRowHeight="12.75"/>
  <cols>
    <col min="2" max="3" width="13.85546875" customWidth="1"/>
    <col min="4" max="5" width="9.42578125" customWidth="1"/>
    <col min="6" max="6" width="12.85546875" customWidth="1"/>
    <col min="7" max="7" width="12.5703125" customWidth="1"/>
    <col min="8" max="8" width="6.7109375" customWidth="1"/>
    <col min="9" max="9" width="13" customWidth="1"/>
    <col min="10" max="10" width="12.7109375" bestFit="1" customWidth="1"/>
    <col min="11" max="11" width="6.7109375" customWidth="1"/>
    <col min="13" max="13" width="13.85546875" customWidth="1"/>
    <col min="14" max="14" width="11.140625" customWidth="1"/>
    <col min="15" max="15" width="12.85546875" customWidth="1"/>
    <col min="16" max="16" width="12.5703125" customWidth="1"/>
    <col min="17" max="17" width="13.28515625" customWidth="1"/>
    <col min="18" max="18" width="13" customWidth="1"/>
    <col min="19" max="19" width="12.7109375" bestFit="1" customWidth="1"/>
    <col min="21" max="21" width="13.85546875" customWidth="1"/>
    <col min="22" max="22" width="9.42578125" customWidth="1"/>
    <col min="23" max="23" width="12.85546875" customWidth="1"/>
    <col min="24" max="24" width="12.5703125" customWidth="1"/>
    <col min="26" max="26" width="13" customWidth="1"/>
    <col min="27" max="27" width="12.7109375" bestFit="1" customWidth="1"/>
  </cols>
  <sheetData>
    <row r="1" spans="1:28">
      <c r="C1" s="172" t="s">
        <v>581</v>
      </c>
      <c r="M1" s="517" t="s">
        <v>582</v>
      </c>
      <c r="N1" s="518"/>
      <c r="O1" s="518"/>
      <c r="P1" s="518"/>
      <c r="Q1" s="518"/>
      <c r="R1" s="518"/>
      <c r="S1" s="518"/>
      <c r="T1" s="518"/>
      <c r="U1" s="535" t="s">
        <v>535</v>
      </c>
      <c r="V1" s="374"/>
      <c r="W1" s="374"/>
      <c r="X1" s="374"/>
      <c r="Y1" s="374"/>
      <c r="Z1" s="374"/>
      <c r="AA1" s="374"/>
      <c r="AB1" s="374"/>
    </row>
    <row r="2" spans="1:28">
      <c r="C2" s="15"/>
      <c r="D2" s="15"/>
      <c r="E2" s="15"/>
      <c r="F2" s="15"/>
      <c r="G2" s="15"/>
      <c r="H2" s="15"/>
      <c r="I2" s="15"/>
      <c r="J2" s="15"/>
      <c r="K2" s="15"/>
      <c r="M2" s="519"/>
      <c r="N2" s="519"/>
      <c r="O2" s="519"/>
      <c r="P2" s="519"/>
      <c r="Q2" s="519"/>
      <c r="R2" s="519"/>
      <c r="S2" s="519"/>
      <c r="T2" s="518"/>
      <c r="U2" s="374"/>
      <c r="V2" s="374"/>
      <c r="W2" s="374"/>
      <c r="X2" s="374"/>
      <c r="Y2" s="374"/>
      <c r="Z2" s="374"/>
      <c r="AA2" s="374"/>
      <c r="AB2" s="374"/>
    </row>
    <row r="3" spans="1:28" ht="45" customHeight="1">
      <c r="C3" s="186"/>
      <c r="D3" s="377" t="s">
        <v>697</v>
      </c>
      <c r="E3" s="377" t="s">
        <v>698</v>
      </c>
      <c r="F3" s="377" t="s">
        <v>769</v>
      </c>
      <c r="G3" s="377" t="s">
        <v>770</v>
      </c>
      <c r="H3" s="339" t="s">
        <v>17</v>
      </c>
      <c r="I3" s="377" t="s">
        <v>771</v>
      </c>
      <c r="J3" s="377" t="s">
        <v>772</v>
      </c>
      <c r="K3" s="339" t="s">
        <v>17</v>
      </c>
      <c r="M3" s="520" t="s">
        <v>697</v>
      </c>
      <c r="N3" s="520" t="s">
        <v>698</v>
      </c>
      <c r="O3" s="520" t="s">
        <v>699</v>
      </c>
      <c r="P3" s="520" t="s">
        <v>701</v>
      </c>
      <c r="Q3" s="521" t="s">
        <v>17</v>
      </c>
      <c r="R3" s="520" t="s">
        <v>695</v>
      </c>
      <c r="S3" s="520" t="s">
        <v>696</v>
      </c>
      <c r="T3" s="521" t="s">
        <v>17</v>
      </c>
      <c r="U3" s="536" t="s">
        <v>697</v>
      </c>
      <c r="V3" s="536" t="s">
        <v>698</v>
      </c>
      <c r="W3" s="536" t="s">
        <v>769</v>
      </c>
      <c r="X3" s="536" t="s">
        <v>770</v>
      </c>
      <c r="Y3" s="537" t="s">
        <v>17</v>
      </c>
      <c r="Z3" s="536" t="s">
        <v>771</v>
      </c>
      <c r="AA3" s="536" t="s">
        <v>772</v>
      </c>
      <c r="AB3" s="537" t="s">
        <v>17</v>
      </c>
    </row>
    <row r="4" spans="1:28">
      <c r="A4" t="s">
        <v>644</v>
      </c>
      <c r="C4" s="186"/>
      <c r="D4" s="431" t="s">
        <v>675</v>
      </c>
      <c r="E4" s="433">
        <f t="shared" ref="E4:E23" si="0">VLOOKUP(A4,pyvalues,10,FALSE)</f>
        <v>53</v>
      </c>
      <c r="F4" s="378">
        <f t="shared" ref="F4:F23" si="1">VLOOKUP(A4,pyvalues,3,FALSE)</f>
        <v>-9.0006363081410468E-3</v>
      </c>
      <c r="G4" s="378">
        <f t="shared" ref="G4:G23" si="2">VLOOKUP(A4,pyvalues,4,FALSE)</f>
        <v>3.9484383254907419E-2</v>
      </c>
      <c r="H4" s="379">
        <f t="shared" ref="H4:H23" si="3">VLOOKUP(A4,pyvalues,5,FALSE)</f>
        <v>2.0844816880304928</v>
      </c>
      <c r="I4" s="436">
        <f t="shared" ref="I4:I23" si="4">VLOOKUP(A4,pyvalues,7,FALSE)</f>
        <v>-1.0002059085974569E-3</v>
      </c>
      <c r="J4" s="436">
        <f t="shared" ref="J4:J23" si="5">VLOOKUP(A4,pyvalues,8,FALSE)</f>
        <v>3.9489721471057289E-3</v>
      </c>
      <c r="K4" s="379">
        <f t="shared" ref="K4:K23" si="6">VLOOKUP(A4,pyvalues,9,FALSE)</f>
        <v>2.08448168800897</v>
      </c>
      <c r="M4" s="522" t="s">
        <v>675</v>
      </c>
      <c r="N4" s="523">
        <f>E4</f>
        <v>53</v>
      </c>
      <c r="O4" s="524">
        <f>Report!E5</f>
        <v>-9.0006364229272568E-3</v>
      </c>
      <c r="P4" s="524">
        <f>Report!G5</f>
        <v>9.3192121072910403E-2</v>
      </c>
      <c r="Q4" s="525">
        <f>Report!I5</f>
        <v>2.4687245292851547</v>
      </c>
      <c r="R4" s="526">
        <f>Report!J5</f>
        <v>-1.0002058917021682E-3</v>
      </c>
      <c r="S4" s="526">
        <f>Report!L5</f>
        <v>1.6402607686617325E-2</v>
      </c>
      <c r="T4" s="525">
        <f>Report!N5</f>
        <v>4.34516560761534</v>
      </c>
      <c r="U4" s="538" t="s">
        <v>675</v>
      </c>
      <c r="V4" s="539">
        <v>53</v>
      </c>
      <c r="W4" s="540">
        <f>F4-O4</f>
        <v>1.1478621005089895E-10</v>
      </c>
      <c r="X4" s="540">
        <f t="shared" ref="X4:X12" si="7">G4-P4</f>
        <v>-5.3707737818002983E-2</v>
      </c>
      <c r="Y4" s="541">
        <f t="shared" ref="Y4:Y12" si="8">H4-Q4</f>
        <v>-0.3842428412546619</v>
      </c>
      <c r="Z4" s="542">
        <f t="shared" ref="Z4:Z12" si="9">I4-R4</f>
        <v>-1.6895288770454875E-11</v>
      </c>
      <c r="AA4" s="542">
        <f t="shared" ref="AA4:AA12" si="10">J4-S4</f>
        <v>-1.2453635539511596E-2</v>
      </c>
      <c r="AB4" s="541">
        <f t="shared" ref="AB4:AB12" si="11">K4-T4</f>
        <v>-2.2606839196063699</v>
      </c>
    </row>
    <row r="5" spans="1:28">
      <c r="A5" s="172" t="s">
        <v>645</v>
      </c>
      <c r="C5" s="186"/>
      <c r="D5" s="431"/>
      <c r="E5" s="433">
        <f t="shared" si="0"/>
        <v>400</v>
      </c>
      <c r="F5" s="381">
        <f t="shared" si="1"/>
        <v>-1.2000848410854729E-3</v>
      </c>
      <c r="G5" s="381">
        <f t="shared" si="2"/>
        <v>9.6664233714234896E-3</v>
      </c>
      <c r="H5" s="379">
        <f t="shared" si="3"/>
        <v>2.0640170643854971</v>
      </c>
      <c r="I5" s="436">
        <f t="shared" si="4"/>
        <v>-1.000205908597452E-4</v>
      </c>
      <c r="J5" s="436">
        <f t="shared" si="5"/>
        <v>9.6677302538858455E-4</v>
      </c>
      <c r="K5" s="379">
        <f t="shared" si="6"/>
        <v>2.0640170643821949</v>
      </c>
      <c r="M5" s="522"/>
      <c r="N5" s="523">
        <f t="shared" ref="N5:N12" si="12">E5</f>
        <v>400</v>
      </c>
      <c r="O5" s="527">
        <f>Report!E6</f>
        <v>-1.200084856390301E-3</v>
      </c>
      <c r="P5" s="527">
        <f>Report!G6</f>
        <v>1.235815446698918E-2</v>
      </c>
      <c r="Q5" s="525">
        <f>Report!I6</f>
        <v>2.4236334892966451</v>
      </c>
      <c r="R5" s="526">
        <f>Report!J6</f>
        <v>-1.0002058917021681E-4</v>
      </c>
      <c r="S5" s="526">
        <f>Report!L6</f>
        <v>2.0558740604072444E-3</v>
      </c>
      <c r="T5" s="525">
        <f>Report!N6</f>
        <v>4.0319007460454337</v>
      </c>
      <c r="U5" s="538"/>
      <c r="V5" s="539">
        <v>400</v>
      </c>
      <c r="W5" s="543">
        <f t="shared" ref="W5:W12" si="13">F5-O5</f>
        <v>1.5304828151346817E-11</v>
      </c>
      <c r="X5" s="543">
        <f t="shared" si="7"/>
        <v>-2.6917310955656901E-3</v>
      </c>
      <c r="Y5" s="541">
        <f t="shared" si="8"/>
        <v>-0.35961642491114798</v>
      </c>
      <c r="Z5" s="542">
        <f t="shared" si="9"/>
        <v>-1.6895283864440044E-12</v>
      </c>
      <c r="AA5" s="542">
        <f t="shared" si="10"/>
        <v>-1.0891010350186597E-3</v>
      </c>
      <c r="AB5" s="541">
        <f t="shared" si="11"/>
        <v>-1.9678836816632388</v>
      </c>
    </row>
    <row r="6" spans="1:28">
      <c r="A6" s="172" t="s">
        <v>646</v>
      </c>
      <c r="C6" s="186"/>
      <c r="D6" s="431"/>
      <c r="E6" s="433">
        <f t="shared" si="0"/>
        <v>1000</v>
      </c>
      <c r="F6" s="381">
        <f t="shared" si="1"/>
        <v>-1.1000777709950168E-3</v>
      </c>
      <c r="G6" s="381">
        <f t="shared" si="2"/>
        <v>5.5273673082465689E-3</v>
      </c>
      <c r="H6" s="379">
        <f t="shared" si="3"/>
        <v>2.0343689767633339</v>
      </c>
      <c r="I6" s="436">
        <f t="shared" si="4"/>
        <v>-1.0002059085974611E-4</v>
      </c>
      <c r="J6" s="436">
        <f t="shared" si="5"/>
        <v>5.528114598080798E-4</v>
      </c>
      <c r="K6" s="379">
        <f t="shared" si="6"/>
        <v>2.034368976757627</v>
      </c>
      <c r="M6" s="522"/>
      <c r="N6" s="523">
        <f t="shared" si="12"/>
        <v>1000</v>
      </c>
      <c r="O6" s="527">
        <f>Report!E7</f>
        <v>-1.1000777850244425E-3</v>
      </c>
      <c r="P6" s="527">
        <f>Report!G7</f>
        <v>5.1036638313415247E-3</v>
      </c>
      <c r="Q6" s="525">
        <f>Report!I7</f>
        <v>2.2824278406292913</v>
      </c>
      <c r="R6" s="526">
        <f>Report!J7</f>
        <v>-1.0002058917021681E-4</v>
      </c>
      <c r="S6" s="526">
        <f>Report!L7</f>
        <v>6.978902844397227E-4</v>
      </c>
      <c r="T6" s="525">
        <f>Report!N7</f>
        <v>3.1210602136115471</v>
      </c>
      <c r="U6" s="538"/>
      <c r="V6" s="539">
        <v>1000</v>
      </c>
      <c r="W6" s="543">
        <f t="shared" si="13"/>
        <v>1.4029425624700886E-11</v>
      </c>
      <c r="X6" s="543">
        <f t="shared" si="7"/>
        <v>4.237034769050442E-4</v>
      </c>
      <c r="Y6" s="541">
        <f t="shared" si="8"/>
        <v>-0.24805886386595732</v>
      </c>
      <c r="Z6" s="542">
        <f t="shared" si="9"/>
        <v>-1.6895292944633239E-12</v>
      </c>
      <c r="AA6" s="542">
        <f t="shared" si="10"/>
        <v>-1.450788246316429E-4</v>
      </c>
      <c r="AB6" s="541">
        <f t="shared" si="11"/>
        <v>-1.0866912368539201</v>
      </c>
    </row>
    <row r="7" spans="1:28">
      <c r="A7" t="s">
        <v>647</v>
      </c>
      <c r="C7" s="186"/>
      <c r="D7" s="431" t="s">
        <v>676</v>
      </c>
      <c r="E7" s="433">
        <f t="shared" si="0"/>
        <v>53</v>
      </c>
      <c r="F7" s="378">
        <f t="shared" si="1"/>
        <v>3.8512722691834629</v>
      </c>
      <c r="G7" s="378">
        <f t="shared" si="2"/>
        <v>3.9484386600699195E-2</v>
      </c>
      <c r="H7" s="379">
        <f t="shared" si="3"/>
        <v>2.0844792489271482</v>
      </c>
      <c r="I7" s="436">
        <f t="shared" si="4"/>
        <v>5.0010295429872851E-3</v>
      </c>
      <c r="J7" s="436">
        <f t="shared" si="5"/>
        <v>3.9489763464648038E-3</v>
      </c>
      <c r="K7" s="379">
        <f t="shared" si="6"/>
        <v>2.0844785564647941</v>
      </c>
      <c r="M7" s="522" t="s">
        <v>676</v>
      </c>
      <c r="N7" s="523">
        <f t="shared" si="12"/>
        <v>53</v>
      </c>
      <c r="O7" s="524">
        <f>Report!E8</f>
        <v>3.8512723182992072</v>
      </c>
      <c r="P7" s="524">
        <f>Report!G8</f>
        <v>9.3192117469873686E-2</v>
      </c>
      <c r="Q7" s="525">
        <f>Report!I8</f>
        <v>2.4687205363792324</v>
      </c>
      <c r="R7" s="526">
        <f>Report!J8</f>
        <v>5.001029458510841E-3</v>
      </c>
      <c r="S7" s="526">
        <f>Report!L8</f>
        <v>1.6402539591026777E-2</v>
      </c>
      <c r="T7" s="525">
        <f>Report!N8</f>
        <v>4.3451417762294264</v>
      </c>
      <c r="U7" s="538" t="s">
        <v>676</v>
      </c>
      <c r="V7" s="539">
        <v>53</v>
      </c>
      <c r="W7" s="540">
        <f t="shared" si="13"/>
        <v>-4.9115744360506142E-8</v>
      </c>
      <c r="X7" s="540">
        <f t="shared" si="7"/>
        <v>-5.3707730869174491E-2</v>
      </c>
      <c r="Y7" s="541">
        <f t="shared" si="8"/>
        <v>-0.38424128745208419</v>
      </c>
      <c r="Z7" s="542">
        <f t="shared" si="9"/>
        <v>8.4476444069114809E-11</v>
      </c>
      <c r="AA7" s="542">
        <f t="shared" si="10"/>
        <v>-1.2453563244561972E-2</v>
      </c>
      <c r="AB7" s="541">
        <f t="shared" si="11"/>
        <v>-2.2606632197646324</v>
      </c>
    </row>
    <row r="8" spans="1:28">
      <c r="A8" s="172" t="s">
        <v>648</v>
      </c>
      <c r="C8" s="186"/>
      <c r="D8" s="431"/>
      <c r="E8" s="433">
        <f t="shared" si="0"/>
        <v>400</v>
      </c>
      <c r="F8" s="381">
        <f t="shared" si="1"/>
        <v>3.8600728913514248</v>
      </c>
      <c r="G8" s="381">
        <f t="shared" si="2"/>
        <v>9.6671669188193744E-3</v>
      </c>
      <c r="H8" s="379">
        <f t="shared" si="3"/>
        <v>2.063984687168201</v>
      </c>
      <c r="I8" s="436">
        <f t="shared" si="4"/>
        <v>7.8016060870601638E-3</v>
      </c>
      <c r="J8" s="436">
        <f t="shared" si="5"/>
        <v>9.6686382046339047E-4</v>
      </c>
      <c r="K8" s="379">
        <f t="shared" si="6"/>
        <v>2.063975266540349</v>
      </c>
      <c r="M8" s="522"/>
      <c r="N8" s="523">
        <f t="shared" si="12"/>
        <v>400</v>
      </c>
      <c r="O8" s="527">
        <f>Report!E9</f>
        <v>3.8600729405794025</v>
      </c>
      <c r="P8" s="527">
        <f>Report!G9</f>
        <v>1.2358227616153681E-2</v>
      </c>
      <c r="Q8" s="525">
        <f>Report!I9</f>
        <v>2.4234375152857237</v>
      </c>
      <c r="R8" s="526">
        <f>Report!J9</f>
        <v>7.801605955276911E-3</v>
      </c>
      <c r="S8" s="526">
        <f>Report!L9</f>
        <v>2.0554646101675358E-3</v>
      </c>
      <c r="T8" s="525">
        <f>Report!N9</f>
        <v>4.0308024001525888</v>
      </c>
      <c r="U8" s="538"/>
      <c r="V8" s="539">
        <v>400</v>
      </c>
      <c r="W8" s="543">
        <f t="shared" si="13"/>
        <v>-4.9227977694243918E-8</v>
      </c>
      <c r="X8" s="543">
        <f t="shared" si="7"/>
        <v>-2.6910606973343069E-3</v>
      </c>
      <c r="Y8" s="541">
        <f t="shared" si="8"/>
        <v>-0.35945282811752266</v>
      </c>
      <c r="Z8" s="542">
        <f t="shared" si="9"/>
        <v>1.3178325271312463E-10</v>
      </c>
      <c r="AA8" s="542">
        <f t="shared" si="10"/>
        <v>-1.0886007897041453E-3</v>
      </c>
      <c r="AB8" s="541">
        <f t="shared" si="11"/>
        <v>-1.9668271336122398</v>
      </c>
    </row>
    <row r="9" spans="1:28">
      <c r="A9" s="172" t="s">
        <v>649</v>
      </c>
      <c r="C9" s="186"/>
      <c r="D9" s="431"/>
      <c r="E9" s="433">
        <f t="shared" si="0"/>
        <v>1000</v>
      </c>
      <c r="F9" s="381">
        <f t="shared" si="1"/>
        <v>3.8581727570197053</v>
      </c>
      <c r="G9" s="381">
        <f t="shared" si="2"/>
        <v>5.5285009139076071E-3</v>
      </c>
      <c r="H9" s="379">
        <f t="shared" si="3"/>
        <v>2.034300756374595</v>
      </c>
      <c r="I9" s="436">
        <f t="shared" si="4"/>
        <v>7.8016060870601603E-3</v>
      </c>
      <c r="J9" s="436">
        <f t="shared" si="5"/>
        <v>5.5295485112781073E-4</v>
      </c>
      <c r="K9" s="379">
        <f t="shared" si="6"/>
        <v>2.034281092083273</v>
      </c>
      <c r="M9" s="522"/>
      <c r="N9" s="523">
        <f t="shared" si="12"/>
        <v>1000</v>
      </c>
      <c r="O9" s="527">
        <f>Report!E10</f>
        <v>3.8581728062234517</v>
      </c>
      <c r="P9" s="527">
        <f>Report!G10</f>
        <v>5.1044857608389229E-3</v>
      </c>
      <c r="Q9" s="525">
        <f>Report!I10</f>
        <v>2.2817657797488478</v>
      </c>
      <c r="R9" s="526">
        <f>Report!J10</f>
        <v>7.801605955276911E-3</v>
      </c>
      <c r="S9" s="526">
        <f>Report!L10</f>
        <v>6.9754549518748438E-4</v>
      </c>
      <c r="T9" s="525">
        <f>Report!N10</f>
        <v>3.1183302033562024</v>
      </c>
      <c r="U9" s="538"/>
      <c r="V9" s="539">
        <v>1000</v>
      </c>
      <c r="W9" s="543">
        <f t="shared" si="13"/>
        <v>-4.920374641059766E-8</v>
      </c>
      <c r="X9" s="543">
        <f t="shared" si="7"/>
        <v>4.2401515306868427E-4</v>
      </c>
      <c r="Y9" s="541">
        <f t="shared" si="8"/>
        <v>-0.2474650233742528</v>
      </c>
      <c r="Z9" s="542">
        <f t="shared" si="9"/>
        <v>1.3178324924367768E-10</v>
      </c>
      <c r="AA9" s="542">
        <f t="shared" si="10"/>
        <v>-1.4459064405967365E-4</v>
      </c>
      <c r="AB9" s="541">
        <f t="shared" si="11"/>
        <v>-1.0840491112729294</v>
      </c>
    </row>
    <row r="10" spans="1:28" ht="12.75" customHeight="1">
      <c r="A10" s="172" t="s">
        <v>650</v>
      </c>
      <c r="C10" s="186"/>
      <c r="D10" s="431" t="s">
        <v>677</v>
      </c>
      <c r="E10" s="433">
        <f t="shared" si="0"/>
        <v>53</v>
      </c>
      <c r="F10" s="378">
        <f t="shared" si="1"/>
        <v>105.7484759843492</v>
      </c>
      <c r="G10" s="378">
        <f t="shared" si="2"/>
        <v>3.9936101174720171E-2</v>
      </c>
      <c r="H10" s="379">
        <f t="shared" si="3"/>
        <v>2.076873602788786</v>
      </c>
      <c r="I10" s="436">
        <f t="shared" si="4"/>
        <v>4.0008236343898277E-3</v>
      </c>
      <c r="J10" s="436">
        <f t="shared" si="5"/>
        <v>3.9621824113848028E-3</v>
      </c>
      <c r="K10" s="379">
        <f t="shared" si="6"/>
        <v>2.082182661507312</v>
      </c>
      <c r="M10" s="522" t="s">
        <v>677</v>
      </c>
      <c r="N10" s="523">
        <f t="shared" si="12"/>
        <v>53</v>
      </c>
      <c r="O10" s="524">
        <f>Report!E11*1000</f>
        <v>105.74847733297234</v>
      </c>
      <c r="P10" s="524">
        <f>Report!G11*1000</f>
        <v>9.3189706385159526E-2</v>
      </c>
      <c r="Q10" s="525">
        <f>Report!I11</f>
        <v>2.4654875479057492</v>
      </c>
      <c r="R10" s="526">
        <f>Report!J11</f>
        <v>4.0008235668086726E-3</v>
      </c>
      <c r="S10" s="526">
        <f>Report!L11</f>
        <v>1.6351621165685608E-2</v>
      </c>
      <c r="T10" s="525">
        <f>Report!N11</f>
        <v>4.3273149737970931</v>
      </c>
      <c r="U10" s="538" t="s">
        <v>677</v>
      </c>
      <c r="V10" s="539">
        <v>53</v>
      </c>
      <c r="W10" s="540">
        <f t="shared" si="13"/>
        <v>-1.348623143826444E-6</v>
      </c>
      <c r="X10" s="540">
        <f t="shared" si="7"/>
        <v>-5.3253605210439356E-2</v>
      </c>
      <c r="Y10" s="541">
        <f t="shared" si="8"/>
        <v>-0.38861394511696323</v>
      </c>
      <c r="Z10" s="542">
        <f t="shared" si="9"/>
        <v>6.7581155081819499E-11</v>
      </c>
      <c r="AA10" s="542">
        <f t="shared" si="10"/>
        <v>-1.2389438754300805E-2</v>
      </c>
      <c r="AB10" s="541">
        <f t="shared" si="11"/>
        <v>-2.2451323122897811</v>
      </c>
    </row>
    <row r="11" spans="1:28" ht="12.75" customHeight="1">
      <c r="A11" s="172" t="s">
        <v>651</v>
      </c>
      <c r="C11" s="186"/>
      <c r="D11" s="431"/>
      <c r="E11" s="433">
        <f t="shared" si="0"/>
        <v>400</v>
      </c>
      <c r="F11" s="378">
        <f t="shared" si="1"/>
        <v>105.7609768681105</v>
      </c>
      <c r="G11" s="378">
        <f t="shared" si="2"/>
        <v>1.154305724487922E-2</v>
      </c>
      <c r="H11" s="379">
        <f t="shared" si="3"/>
        <v>2.0130531966621938</v>
      </c>
      <c r="I11" s="436">
        <f t="shared" si="4"/>
        <v>7.6015649053406712E-3</v>
      </c>
      <c r="J11" s="436">
        <f t="shared" si="5"/>
        <v>1.0240080580152459E-3</v>
      </c>
      <c r="K11" s="379">
        <f t="shared" si="6"/>
        <v>2.042420762670174</v>
      </c>
      <c r="M11" s="522"/>
      <c r="N11" s="523">
        <f t="shared" si="12"/>
        <v>400</v>
      </c>
      <c r="O11" s="524">
        <f>Report!E12*1000</f>
        <v>105.76097821689306</v>
      </c>
      <c r="P11" s="524">
        <f>Report!G12*1000</f>
        <v>1.2560463673100474E-2</v>
      </c>
      <c r="Q11" s="525">
        <f>Report!I12</f>
        <v>2.3058987467500871</v>
      </c>
      <c r="R11" s="526">
        <f>Report!J12</f>
        <v>7.6015647769364777E-3</v>
      </c>
      <c r="S11" s="526">
        <f>Report!L12</f>
        <v>1.8318578945278375E-3</v>
      </c>
      <c r="T11" s="525">
        <f>Report!N12</f>
        <v>3.4097430401211413</v>
      </c>
      <c r="U11" s="538"/>
      <c r="V11" s="539">
        <v>400</v>
      </c>
      <c r="W11" s="540">
        <f t="shared" si="13"/>
        <v>-1.3487825611946391E-6</v>
      </c>
      <c r="X11" s="540">
        <f t="shared" si="7"/>
        <v>-1.0174064282212538E-3</v>
      </c>
      <c r="Y11" s="541">
        <f t="shared" si="8"/>
        <v>-0.29284555008789326</v>
      </c>
      <c r="Z11" s="542">
        <f t="shared" si="9"/>
        <v>1.2840419352788679E-10</v>
      </c>
      <c r="AA11" s="542">
        <f t="shared" si="10"/>
        <v>-8.0784983651259164E-4</v>
      </c>
      <c r="AB11" s="541">
        <f t="shared" si="11"/>
        <v>-1.3673222774509672</v>
      </c>
    </row>
    <row r="12" spans="1:28">
      <c r="A12" s="172" t="s">
        <v>652</v>
      </c>
      <c r="C12" s="186"/>
      <c r="D12" s="431"/>
      <c r="E12" s="433">
        <f t="shared" si="0"/>
        <v>1000</v>
      </c>
      <c r="F12" s="381">
        <f t="shared" si="1"/>
        <v>105.7673773205963</v>
      </c>
      <c r="G12" s="381">
        <f t="shared" si="2"/>
        <v>8.55027445036677E-3</v>
      </c>
      <c r="H12" s="379">
        <f t="shared" si="3"/>
        <v>1.9970261903802351</v>
      </c>
      <c r="I12" s="551">
        <f t="shared" si="4"/>
        <v>7.2014825419016871E-3</v>
      </c>
      <c r="J12" s="551">
        <f t="shared" si="5"/>
        <v>6.5656329226582741E-4</v>
      </c>
      <c r="K12" s="379">
        <f t="shared" si="6"/>
        <v>2.0182114650357121</v>
      </c>
      <c r="M12" s="522"/>
      <c r="N12" s="523">
        <f t="shared" si="12"/>
        <v>1000</v>
      </c>
      <c r="O12" s="524">
        <f>Report!E13*1000</f>
        <v>105.7673786694605</v>
      </c>
      <c r="P12" s="524">
        <f>Report!G13*1000</f>
        <v>6.2536462527740481E-3</v>
      </c>
      <c r="Q12" s="525">
        <f>Report!I13</f>
        <v>2.1236658274763913</v>
      </c>
      <c r="R12" s="526">
        <f>Report!J13</f>
        <v>7.2014824202556102E-3</v>
      </c>
      <c r="S12" s="526">
        <f>Report!L13</f>
        <v>6.5740539824950966E-4</v>
      </c>
      <c r="T12" s="525">
        <f>Report!N13</f>
        <v>2.3443834525516256</v>
      </c>
      <c r="U12" s="538"/>
      <c r="V12" s="539">
        <v>1000</v>
      </c>
      <c r="W12" s="540">
        <f t="shared" si="13"/>
        <v>-1.348864202554978E-6</v>
      </c>
      <c r="X12" s="540">
        <f t="shared" si="7"/>
        <v>2.2966281975927219E-3</v>
      </c>
      <c r="Y12" s="541">
        <f t="shared" si="8"/>
        <v>-0.12663963709615622</v>
      </c>
      <c r="Z12" s="542">
        <f t="shared" si="9"/>
        <v>1.2164607689213458E-10</v>
      </c>
      <c r="AA12" s="542">
        <f t="shared" si="10"/>
        <v>-8.4210598368225555E-7</v>
      </c>
      <c r="AB12" s="541">
        <f t="shared" si="11"/>
        <v>-0.32617198751591348</v>
      </c>
    </row>
    <row r="13" spans="1:28">
      <c r="A13" s="172"/>
      <c r="C13" s="186"/>
      <c r="D13" s="431"/>
      <c r="E13" s="433"/>
      <c r="F13" s="432"/>
      <c r="G13" s="432"/>
      <c r="H13" s="379"/>
      <c r="I13" s="382"/>
      <c r="J13" s="382"/>
      <c r="K13" s="379"/>
      <c r="M13" s="522"/>
      <c r="N13" s="523"/>
      <c r="O13" s="528"/>
      <c r="P13" s="528"/>
      <c r="Q13" s="525"/>
      <c r="R13" s="529"/>
      <c r="S13" s="529"/>
      <c r="T13" s="525"/>
      <c r="U13" s="538"/>
      <c r="V13" s="539"/>
      <c r="W13" s="544"/>
      <c r="X13" s="544"/>
      <c r="Y13" s="541"/>
      <c r="Z13" s="545"/>
      <c r="AA13" s="545"/>
      <c r="AB13" s="541"/>
    </row>
    <row r="14" spans="1:28" ht="45" customHeight="1">
      <c r="A14" s="172"/>
      <c r="C14" s="186"/>
      <c r="D14" s="377" t="s">
        <v>697</v>
      </c>
      <c r="E14" s="377" t="s">
        <v>698</v>
      </c>
      <c r="F14" s="377" t="s">
        <v>773</v>
      </c>
      <c r="G14" s="377" t="s">
        <v>774</v>
      </c>
      <c r="H14" s="339" t="s">
        <v>17</v>
      </c>
      <c r="I14" s="377" t="s">
        <v>771</v>
      </c>
      <c r="J14" s="377" t="s">
        <v>772</v>
      </c>
      <c r="K14" s="339" t="s">
        <v>17</v>
      </c>
      <c r="M14" s="520" t="s">
        <v>697</v>
      </c>
      <c r="N14" s="520" t="s">
        <v>698</v>
      </c>
      <c r="O14" s="520" t="s">
        <v>700</v>
      </c>
      <c r="P14" s="520" t="s">
        <v>702</v>
      </c>
      <c r="Q14" s="521" t="s">
        <v>17</v>
      </c>
      <c r="R14" s="520" t="s">
        <v>695</v>
      </c>
      <c r="S14" s="520" t="s">
        <v>696</v>
      </c>
      <c r="T14" s="521" t="s">
        <v>17</v>
      </c>
      <c r="U14" s="536" t="s">
        <v>697</v>
      </c>
      <c r="V14" s="536" t="s">
        <v>698</v>
      </c>
      <c r="W14" s="536" t="s">
        <v>773</v>
      </c>
      <c r="X14" s="536" t="s">
        <v>774</v>
      </c>
      <c r="Y14" s="537" t="s">
        <v>17</v>
      </c>
      <c r="Z14" s="536" t="s">
        <v>771</v>
      </c>
      <c r="AA14" s="536" t="s">
        <v>772</v>
      </c>
      <c r="AB14" s="537" t="s">
        <v>17</v>
      </c>
    </row>
    <row r="15" spans="1:28">
      <c r="A15" s="172" t="s">
        <v>653</v>
      </c>
      <c r="C15" s="186"/>
      <c r="D15" s="431" t="s">
        <v>678</v>
      </c>
      <c r="E15" s="433">
        <f t="shared" si="0"/>
        <v>53</v>
      </c>
      <c r="F15" s="432">
        <f t="shared" si="1"/>
        <v>0.98816685935169368</v>
      </c>
      <c r="G15" s="432">
        <f t="shared" si="2"/>
        <v>8.8725559230234279E-5</v>
      </c>
      <c r="H15" s="379">
        <f t="shared" si="3"/>
        <v>2.032673279756092</v>
      </c>
      <c r="I15" s="382">
        <f t="shared" si="4"/>
        <v>8.0016472687796502E-3</v>
      </c>
      <c r="J15" s="382">
        <f t="shared" si="5"/>
        <v>5.1685054849873058E-3</v>
      </c>
      <c r="K15" s="379">
        <f t="shared" si="6"/>
        <v>2.046015598179503</v>
      </c>
      <c r="M15" s="522" t="s">
        <v>678</v>
      </c>
      <c r="N15" s="523">
        <f t="shared" ref="N15" si="14">E15</f>
        <v>53</v>
      </c>
      <c r="O15" s="528">
        <f>Report!E14</f>
        <v>0.98816687195390607</v>
      </c>
      <c r="P15" s="528">
        <f>Report!G14</f>
        <v>1.0835524331305121E-4</v>
      </c>
      <c r="Q15" s="525">
        <f>Report!I14</f>
        <v>2.1215327794274721</v>
      </c>
      <c r="R15" s="529">
        <f>Report!J14</f>
        <v>8.0016471336173452E-3</v>
      </c>
      <c r="S15" s="529">
        <f>Report!L14</f>
        <v>1.3624241396770874E-2</v>
      </c>
      <c r="T15" s="525">
        <f>Report!N14</f>
        <v>3.3289953593289776</v>
      </c>
      <c r="U15" s="538" t="s">
        <v>678</v>
      </c>
      <c r="V15" s="539">
        <v>53</v>
      </c>
      <c r="W15" s="544">
        <f t="shared" ref="W15:W23" si="15">F15-O15</f>
        <v>-1.2602212384749123E-8</v>
      </c>
      <c r="X15" s="544">
        <f t="shared" ref="X15:X23" si="16">G15-P15</f>
        <v>-1.9629684082816934E-5</v>
      </c>
      <c r="Y15" s="541">
        <f t="shared" ref="Y15:Y23" si="17">H15-Q15</f>
        <v>-8.8859499671380071E-2</v>
      </c>
      <c r="Z15" s="545">
        <f t="shared" ref="Z15:Z23" si="18">I15-R15</f>
        <v>1.3516230495946857E-10</v>
      </c>
      <c r="AA15" s="545">
        <f t="shared" ref="AA15:AA23" si="19">J15-S15</f>
        <v>-8.4557359117835677E-3</v>
      </c>
      <c r="AB15" s="541">
        <f t="shared" ref="AB15:AB23" si="20">K15-T15</f>
        <v>-1.2829797611494747</v>
      </c>
    </row>
    <row r="16" spans="1:28">
      <c r="A16" s="172" t="s">
        <v>654</v>
      </c>
      <c r="C16" s="186"/>
      <c r="D16" s="431"/>
      <c r="E16" s="433">
        <f t="shared" si="0"/>
        <v>400</v>
      </c>
      <c r="F16" s="432">
        <f t="shared" si="1"/>
        <v>0.98816635931634345</v>
      </c>
      <c r="G16" s="432">
        <f t="shared" si="2"/>
        <v>8.1675210969494078E-5</v>
      </c>
      <c r="H16" s="379">
        <f t="shared" si="3"/>
        <v>2.0623411550593911</v>
      </c>
      <c r="I16" s="382">
        <f t="shared" si="4"/>
        <v>5.801194269865249E-3</v>
      </c>
      <c r="J16" s="382">
        <f t="shared" si="5"/>
        <v>3.7955292984738751E-3</v>
      </c>
      <c r="K16" s="379">
        <f t="shared" si="6"/>
        <v>2.187105446339344</v>
      </c>
      <c r="M16" s="522"/>
      <c r="N16" s="523">
        <f t="shared" ref="N16:N23" si="21">E16</f>
        <v>400</v>
      </c>
      <c r="O16" s="528">
        <f>Report!E15</f>
        <v>0.98816637191854906</v>
      </c>
      <c r="P16" s="528">
        <f>Report!G15</f>
        <v>7.269533417806385E-5</v>
      </c>
      <c r="Q16" s="525">
        <f>Report!I15</f>
        <v>2.0902276737970591</v>
      </c>
      <c r="R16" s="529">
        <f>Report!J15</f>
        <v>5.8011941718725752E-3</v>
      </c>
      <c r="S16" s="529">
        <f>Report!L15</f>
        <v>3.5338335537320013E-3</v>
      </c>
      <c r="T16" s="525">
        <f>Report!N15</f>
        <v>2.1273474722920076</v>
      </c>
      <c r="U16" s="538"/>
      <c r="V16" s="539">
        <v>400</v>
      </c>
      <c r="W16" s="544">
        <f t="shared" si="15"/>
        <v>-1.2602205612388673E-8</v>
      </c>
      <c r="X16" s="544">
        <f t="shared" si="16"/>
        <v>8.9798767914302279E-6</v>
      </c>
      <c r="Y16" s="541">
        <f t="shared" si="17"/>
        <v>-2.7886518737668009E-2</v>
      </c>
      <c r="Z16" s="545">
        <f t="shared" si="18"/>
        <v>9.7992673871172276E-11</v>
      </c>
      <c r="AA16" s="545">
        <f t="shared" si="19"/>
        <v>2.616957447418738E-4</v>
      </c>
      <c r="AB16" s="541">
        <f t="shared" si="20"/>
        <v>5.9757974047336404E-2</v>
      </c>
    </row>
    <row r="17" spans="1:28">
      <c r="A17" s="172" t="s">
        <v>655</v>
      </c>
      <c r="C17" s="186"/>
      <c r="D17" s="431"/>
      <c r="E17" s="433">
        <f t="shared" si="0"/>
        <v>1000</v>
      </c>
      <c r="F17" s="432">
        <f t="shared" si="1"/>
        <v>0.9881611589486986</v>
      </c>
      <c r="G17" s="432">
        <f t="shared" si="2"/>
        <v>8.1374241599982205E-5</v>
      </c>
      <c r="H17" s="379">
        <f t="shared" si="3"/>
        <v>2.0643458212524011</v>
      </c>
      <c r="I17" s="382">
        <f t="shared" si="4"/>
        <v>5.401111906426264E-3</v>
      </c>
      <c r="J17" s="382">
        <f t="shared" si="5"/>
        <v>3.7463887079120643E-3</v>
      </c>
      <c r="K17" s="379">
        <f t="shared" si="6"/>
        <v>2.2129305363568279</v>
      </c>
      <c r="M17" s="522"/>
      <c r="N17" s="523">
        <f t="shared" si="21"/>
        <v>1000</v>
      </c>
      <c r="O17" s="528">
        <f>Report!E16</f>
        <v>0.98816117155083816</v>
      </c>
      <c r="P17" s="528">
        <f>Report!G16</f>
        <v>7.2221724339391173E-5</v>
      </c>
      <c r="Q17" s="525">
        <f>Report!I16</f>
        <v>2.0948813605467866</v>
      </c>
      <c r="R17" s="529">
        <f>Report!J16</f>
        <v>5.4011118151917085E-3</v>
      </c>
      <c r="S17" s="529">
        <f>Report!L16</f>
        <v>3.4257453101462893E-3</v>
      </c>
      <c r="T17" s="525">
        <f>Report!N16</f>
        <v>2.1455422027496849</v>
      </c>
      <c r="U17" s="538"/>
      <c r="V17" s="539">
        <v>1000</v>
      </c>
      <c r="W17" s="544">
        <f t="shared" si="15"/>
        <v>-1.2602139554118708E-8</v>
      </c>
      <c r="X17" s="544">
        <f t="shared" si="16"/>
        <v>9.152517260591032E-6</v>
      </c>
      <c r="Y17" s="541">
        <f t="shared" si="17"/>
        <v>-3.0535539294385572E-2</v>
      </c>
      <c r="Z17" s="545">
        <f t="shared" si="18"/>
        <v>9.123455550069659E-11</v>
      </c>
      <c r="AA17" s="545">
        <f t="shared" si="19"/>
        <v>3.2064339776577497E-4</v>
      </c>
      <c r="AB17" s="541">
        <f t="shared" si="20"/>
        <v>6.7388333607143025E-2</v>
      </c>
    </row>
    <row r="18" spans="1:28">
      <c r="A18" s="172" t="s">
        <v>656</v>
      </c>
      <c r="C18" s="186"/>
      <c r="D18" s="431" t="s">
        <v>679</v>
      </c>
      <c r="E18" s="433">
        <f t="shared" si="0"/>
        <v>53</v>
      </c>
      <c r="F18" s="383">
        <f t="shared" si="1"/>
        <v>9.913030810697304</v>
      </c>
      <c r="G18" s="383">
        <f t="shared" si="2"/>
        <v>8.8958958103422517E-4</v>
      </c>
      <c r="H18" s="379">
        <f t="shared" si="3"/>
        <v>2.0327975839106638</v>
      </c>
      <c r="I18" s="382">
        <f t="shared" si="4"/>
        <v>4.0008236343898239E-2</v>
      </c>
      <c r="J18" s="382">
        <f t="shared" si="5"/>
        <v>5.1759247735721728E-2</v>
      </c>
      <c r="K18" s="379">
        <f t="shared" si="6"/>
        <v>2.0461461644718208</v>
      </c>
      <c r="M18" s="522" t="s">
        <v>679</v>
      </c>
      <c r="N18" s="523">
        <f t="shared" si="21"/>
        <v>53</v>
      </c>
      <c r="O18" s="530">
        <f>Report!E17</f>
        <v>9.9130309371193928</v>
      </c>
      <c r="P18" s="530">
        <f>Report!G17</f>
        <v>1.0848052900017189E-3</v>
      </c>
      <c r="Q18" s="525">
        <f>Report!I17</f>
        <v>2.120930930793508</v>
      </c>
      <c r="R18" s="529">
        <f>Report!J17</f>
        <v>4.0008235668086728E-2</v>
      </c>
      <c r="S18" s="529">
        <f>Report!L17</f>
        <v>0.13614075261769734</v>
      </c>
      <c r="T18" s="525">
        <f>Report!N17</f>
        <v>3.3249354970747982</v>
      </c>
      <c r="U18" s="538" t="s">
        <v>679</v>
      </c>
      <c r="V18" s="539">
        <v>53</v>
      </c>
      <c r="W18" s="546">
        <f t="shared" si="15"/>
        <v>-1.264220887975398E-7</v>
      </c>
      <c r="X18" s="546">
        <f t="shared" si="16"/>
        <v>-1.9521570896749376E-4</v>
      </c>
      <c r="Y18" s="541">
        <f t="shared" si="17"/>
        <v>-8.8133346882844243E-2</v>
      </c>
      <c r="Z18" s="545">
        <f t="shared" si="18"/>
        <v>6.7581151091955505E-10</v>
      </c>
      <c r="AA18" s="545">
        <f t="shared" si="19"/>
        <v>-8.4381504881975614E-2</v>
      </c>
      <c r="AB18" s="541">
        <f t="shared" si="20"/>
        <v>-1.2787893326029773</v>
      </c>
    </row>
    <row r="19" spans="1:28">
      <c r="A19" s="172" t="s">
        <v>657</v>
      </c>
      <c r="C19" s="186"/>
      <c r="D19" s="431"/>
      <c r="E19" s="433">
        <f t="shared" si="0"/>
        <v>400</v>
      </c>
      <c r="F19" s="383">
        <f t="shared" si="1"/>
        <v>9.912978807020858</v>
      </c>
      <c r="G19" s="383">
        <f t="shared" si="2"/>
        <v>8.1931042799358107E-4</v>
      </c>
      <c r="H19" s="379">
        <f t="shared" si="3"/>
        <v>2.0623621750471179</v>
      </c>
      <c r="I19" s="382">
        <f t="shared" si="4"/>
        <v>5.0010295429872825E-3</v>
      </c>
      <c r="J19" s="382">
        <f t="shared" si="5"/>
        <v>3.8070145745737388E-2</v>
      </c>
      <c r="K19" s="379">
        <f t="shared" si="6"/>
        <v>2.1873546603388592</v>
      </c>
      <c r="M19" s="522"/>
      <c r="N19" s="523">
        <f t="shared" si="21"/>
        <v>400</v>
      </c>
      <c r="O19" s="530">
        <f>Report!E18</f>
        <v>9.9129789334422806</v>
      </c>
      <c r="P19" s="530">
        <f>Report!G18</f>
        <v>7.2922165524110351E-4</v>
      </c>
      <c r="Q19" s="525">
        <f>Report!I18</f>
        <v>2.0902620821448168</v>
      </c>
      <c r="R19" s="529">
        <f>Report!J18</f>
        <v>5.001029458510841E-3</v>
      </c>
      <c r="S19" s="529">
        <f>Report!L18</f>
        <v>3.5441121808203011E-2</v>
      </c>
      <c r="T19" s="525">
        <f>Report!N18</f>
        <v>2.1274221528227022</v>
      </c>
      <c r="U19" s="538"/>
      <c r="V19" s="539">
        <v>400</v>
      </c>
      <c r="W19" s="546">
        <f t="shared" si="15"/>
        <v>-1.2642142266372502E-7</v>
      </c>
      <c r="X19" s="546">
        <f t="shared" si="16"/>
        <v>9.0088772752477562E-5</v>
      </c>
      <c r="Y19" s="541">
        <f t="shared" si="17"/>
        <v>-2.7899907097698851E-2</v>
      </c>
      <c r="Z19" s="545">
        <f t="shared" si="18"/>
        <v>8.4476441467029595E-11</v>
      </c>
      <c r="AA19" s="545">
        <f t="shared" si="19"/>
        <v>2.6290239375343777E-3</v>
      </c>
      <c r="AB19" s="541">
        <f t="shared" si="20"/>
        <v>5.9932507516156974E-2</v>
      </c>
    </row>
    <row r="20" spans="1:28" ht="12.75" customHeight="1">
      <c r="A20" s="172" t="s">
        <v>660</v>
      </c>
      <c r="C20" s="186"/>
      <c r="D20" s="431"/>
      <c r="E20" s="433">
        <f t="shared" si="0"/>
        <v>1000</v>
      </c>
      <c r="F20" s="383">
        <f t="shared" si="1"/>
        <v>9.9128377970520294</v>
      </c>
      <c r="G20" s="383">
        <f t="shared" si="2"/>
        <v>8.1630356162688377E-4</v>
      </c>
      <c r="H20" s="379">
        <f t="shared" si="3"/>
        <v>2.0643523323224611</v>
      </c>
      <c r="I20" s="382">
        <f t="shared" si="4"/>
        <v>4.000823634389826E-3</v>
      </c>
      <c r="J20" s="382">
        <f t="shared" si="5"/>
        <v>3.7580770178262252E-2</v>
      </c>
      <c r="K20" s="379">
        <f t="shared" si="6"/>
        <v>2.213021896018815</v>
      </c>
      <c r="M20" s="522"/>
      <c r="N20" s="523">
        <f t="shared" si="21"/>
        <v>1000</v>
      </c>
      <c r="O20" s="530">
        <f>Report!E19</f>
        <v>9.9128379234716544</v>
      </c>
      <c r="P20" s="530">
        <f>Report!G19</f>
        <v>7.2449178928824345E-4</v>
      </c>
      <c r="Q20" s="525">
        <f>Report!I19</f>
        <v>2.094888752803989</v>
      </c>
      <c r="R20" s="529">
        <f>Report!J19</f>
        <v>4.0008235668086726E-3</v>
      </c>
      <c r="S20" s="529">
        <f>Report!L19</f>
        <v>3.4364273164395796E-2</v>
      </c>
      <c r="T20" s="525">
        <f>Report!N19</f>
        <v>2.1455868996369518</v>
      </c>
      <c r="U20" s="538"/>
      <c r="V20" s="539">
        <v>1000</v>
      </c>
      <c r="W20" s="546">
        <f t="shared" si="15"/>
        <v>-1.2641962499060355E-7</v>
      </c>
      <c r="X20" s="546">
        <f t="shared" si="16"/>
        <v>9.1811772338640327E-5</v>
      </c>
      <c r="Y20" s="541">
        <f t="shared" si="17"/>
        <v>-3.0536420481527937E-2</v>
      </c>
      <c r="Z20" s="545">
        <f t="shared" si="18"/>
        <v>6.7581153347096024E-11</v>
      </c>
      <c r="AA20" s="545">
        <f t="shared" si="19"/>
        <v>3.2164970138664553E-3</v>
      </c>
      <c r="AB20" s="541">
        <f t="shared" si="20"/>
        <v>6.7434996381863233E-2</v>
      </c>
    </row>
    <row r="21" spans="1:28">
      <c r="A21" s="172" t="s">
        <v>659</v>
      </c>
      <c r="C21" s="186"/>
      <c r="D21" s="431" t="s">
        <v>680</v>
      </c>
      <c r="E21" s="433">
        <f t="shared" si="0"/>
        <v>53</v>
      </c>
      <c r="F21" s="381">
        <f t="shared" si="1"/>
        <v>100.03927236702521</v>
      </c>
      <c r="G21" s="381">
        <f t="shared" si="2"/>
        <v>4.9243923412098474E-3</v>
      </c>
      <c r="H21" s="379">
        <f t="shared" si="3"/>
        <v>2.0329838111014271</v>
      </c>
      <c r="I21" s="380">
        <f t="shared" si="4"/>
        <v>-0.1000205908597456</v>
      </c>
      <c r="J21" s="380">
        <f t="shared" si="5"/>
        <v>0.51976227207997217</v>
      </c>
      <c r="K21" s="379">
        <f t="shared" si="6"/>
        <v>2.0465322645267481</v>
      </c>
      <c r="M21" s="522" t="s">
        <v>680</v>
      </c>
      <c r="N21" s="523">
        <f t="shared" si="21"/>
        <v>53</v>
      </c>
      <c r="O21" s="527">
        <f>Report!E20</f>
        <v>100.03927364283821</v>
      </c>
      <c r="P21" s="527">
        <f>Report!G20</f>
        <v>9.5498465770142097E-3</v>
      </c>
      <c r="Q21" s="525">
        <f>Report!I20</f>
        <v>2.2968780490730247</v>
      </c>
      <c r="R21" s="531">
        <f>Report!J20</f>
        <v>-0.10002058917021682</v>
      </c>
      <c r="S21" s="531">
        <f>Report!L20</f>
        <v>1.3584770398251507</v>
      </c>
      <c r="T21" s="525">
        <f>Report!N20</f>
        <v>3.3132022576914562</v>
      </c>
      <c r="U21" s="538" t="s">
        <v>680</v>
      </c>
      <c r="V21" s="539">
        <v>53</v>
      </c>
      <c r="W21" s="543">
        <f t="shared" si="15"/>
        <v>-1.275813005463533E-6</v>
      </c>
      <c r="X21" s="543">
        <f t="shared" si="16"/>
        <v>-4.6254542358043623E-3</v>
      </c>
      <c r="Y21" s="541">
        <f t="shared" si="17"/>
        <v>-0.26389423797159761</v>
      </c>
      <c r="Z21" s="547">
        <f t="shared" si="18"/>
        <v>-1.6895287807683346E-9</v>
      </c>
      <c r="AA21" s="547">
        <f t="shared" si="19"/>
        <v>-0.8387147677451785</v>
      </c>
      <c r="AB21" s="541">
        <f t="shared" si="20"/>
        <v>-1.2666699931647081</v>
      </c>
    </row>
    <row r="22" spans="1:28">
      <c r="A22" s="172" t="s">
        <v>658</v>
      </c>
      <c r="C22" s="186"/>
      <c r="D22" s="431"/>
      <c r="E22" s="433">
        <f t="shared" si="0"/>
        <v>400</v>
      </c>
      <c r="F22" s="381">
        <f t="shared" si="1"/>
        <v>100.0392223634902</v>
      </c>
      <c r="G22" s="381">
        <f t="shared" si="2"/>
        <v>3.349632946369841E-3</v>
      </c>
      <c r="H22" s="379">
        <f t="shared" si="3"/>
        <v>2.118970880231974</v>
      </c>
      <c r="I22" s="380">
        <f t="shared" si="4"/>
        <v>5.0010295429872849E-2</v>
      </c>
      <c r="J22" s="380">
        <f t="shared" si="5"/>
        <v>0.38404918916042463</v>
      </c>
      <c r="K22" s="379">
        <f t="shared" si="6"/>
        <v>2.188017328079507</v>
      </c>
      <c r="M22" s="522"/>
      <c r="N22" s="523">
        <f t="shared" si="21"/>
        <v>400</v>
      </c>
      <c r="O22" s="527">
        <f>Report!E21</f>
        <v>100.03922363930253</v>
      </c>
      <c r="P22" s="527">
        <f>Report!G21</f>
        <v>4.240736599576236E-3</v>
      </c>
      <c r="Q22" s="525">
        <f>Report!I21</f>
        <v>2.335529719874319</v>
      </c>
      <c r="R22" s="531">
        <f>Report!J21</f>
        <v>5.001029458510841E-2</v>
      </c>
      <c r="S22" s="531">
        <f>Report!L21</f>
        <v>0.35739545507867487</v>
      </c>
      <c r="T22" s="525">
        <f>Report!N21</f>
        <v>2.1276399169677922</v>
      </c>
      <c r="U22" s="538"/>
      <c r="V22" s="539">
        <v>400</v>
      </c>
      <c r="W22" s="543">
        <f t="shared" si="15"/>
        <v>-1.2758123375533614E-6</v>
      </c>
      <c r="X22" s="543">
        <f t="shared" si="16"/>
        <v>-8.9110365320639508E-4</v>
      </c>
      <c r="Y22" s="541">
        <f t="shared" si="17"/>
        <v>-0.21655883964234501</v>
      </c>
      <c r="Z22" s="547">
        <f t="shared" si="18"/>
        <v>8.4476443895642461E-10</v>
      </c>
      <c r="AA22" s="547">
        <f t="shared" si="19"/>
        <v>2.6653734081749758E-2</v>
      </c>
      <c r="AB22" s="541">
        <f t="shared" si="20"/>
        <v>6.0377411111714796E-2</v>
      </c>
    </row>
    <row r="23" spans="1:28">
      <c r="A23" s="172" t="s">
        <v>661</v>
      </c>
      <c r="C23" s="186"/>
      <c r="D23" s="431"/>
      <c r="E23" s="433">
        <f t="shared" si="0"/>
        <v>1000</v>
      </c>
      <c r="F23" s="381">
        <f t="shared" si="1"/>
        <v>100.03883233591679</v>
      </c>
      <c r="G23" s="381">
        <f t="shared" si="2"/>
        <v>3.283131335991635E-3</v>
      </c>
      <c r="H23" s="379">
        <f t="shared" si="3"/>
        <v>2.1400347042980452</v>
      </c>
      <c r="I23" s="380">
        <f t="shared" si="4"/>
        <v>4.0008236343898267E-2</v>
      </c>
      <c r="J23" s="380">
        <f t="shared" si="5"/>
        <v>0.37921405482835202</v>
      </c>
      <c r="K23" s="379">
        <f t="shared" si="6"/>
        <v>2.2132949662690811</v>
      </c>
      <c r="M23" s="522"/>
      <c r="N23" s="523">
        <f t="shared" si="21"/>
        <v>1000</v>
      </c>
      <c r="O23" s="527">
        <f>Report!E22</f>
        <v>100.0388336117242</v>
      </c>
      <c r="P23" s="527">
        <f>Report!G22</f>
        <v>4.2082492578949526E-3</v>
      </c>
      <c r="Q23" s="525">
        <f>Report!I22</f>
        <v>2.3951823360281952</v>
      </c>
      <c r="R23" s="531">
        <f>Report!J22</f>
        <v>4.0008235668086728E-2</v>
      </c>
      <c r="S23" s="531">
        <f>Report!L22</f>
        <v>0.34675856893084722</v>
      </c>
      <c r="T23" s="525">
        <f>Report!N22</f>
        <v>2.1457151255937377</v>
      </c>
      <c r="U23" s="538"/>
      <c r="V23" s="539">
        <v>1000</v>
      </c>
      <c r="W23" s="543">
        <f t="shared" si="15"/>
        <v>-1.2758074063867753E-6</v>
      </c>
      <c r="X23" s="543">
        <f t="shared" si="16"/>
        <v>-9.2511792190331761E-4</v>
      </c>
      <c r="Y23" s="541">
        <f t="shared" si="17"/>
        <v>-0.25514763173014998</v>
      </c>
      <c r="Z23" s="547">
        <f t="shared" si="18"/>
        <v>6.7581153867513066E-10</v>
      </c>
      <c r="AA23" s="547">
        <f t="shared" si="19"/>
        <v>3.2455485897504799E-2</v>
      </c>
      <c r="AB23" s="541">
        <f t="shared" si="20"/>
        <v>6.7579840675343394E-2</v>
      </c>
    </row>
    <row r="24" spans="1:28">
      <c r="C24" s="186"/>
      <c r="D24" s="431"/>
      <c r="E24" s="433"/>
      <c r="F24" s="383"/>
      <c r="G24" s="383"/>
      <c r="H24" s="379"/>
      <c r="I24" s="382"/>
      <c r="J24" s="382"/>
      <c r="K24" s="379"/>
      <c r="M24" s="522"/>
      <c r="N24" s="523"/>
      <c r="O24" s="530"/>
      <c r="P24" s="530"/>
      <c r="Q24" s="525"/>
      <c r="R24" s="529"/>
      <c r="S24" s="529"/>
      <c r="T24" s="525"/>
      <c r="U24" s="538"/>
      <c r="V24" s="539"/>
      <c r="W24" s="546"/>
      <c r="X24" s="546"/>
      <c r="Y24" s="541"/>
      <c r="Z24" s="545"/>
      <c r="AA24" s="545"/>
      <c r="AB24" s="541"/>
    </row>
    <row r="25" spans="1:28" ht="45" customHeight="1">
      <c r="C25" s="186"/>
      <c r="D25" s="377" t="s">
        <v>697</v>
      </c>
      <c r="E25" s="377" t="s">
        <v>698</v>
      </c>
      <c r="F25" s="377" t="s">
        <v>775</v>
      </c>
      <c r="G25" s="377" t="s">
        <v>776</v>
      </c>
      <c r="H25" s="339" t="s">
        <v>17</v>
      </c>
      <c r="I25" s="377" t="s">
        <v>576</v>
      </c>
      <c r="J25" s="377" t="s">
        <v>577</v>
      </c>
      <c r="K25" s="339" t="s">
        <v>17</v>
      </c>
      <c r="M25" s="520" t="s">
        <v>697</v>
      </c>
      <c r="N25" s="520" t="s">
        <v>698</v>
      </c>
      <c r="O25" s="520" t="s">
        <v>775</v>
      </c>
      <c r="P25" s="520" t="s">
        <v>776</v>
      </c>
      <c r="Q25" s="521" t="s">
        <v>17</v>
      </c>
      <c r="R25" s="520" t="s">
        <v>576</v>
      </c>
      <c r="S25" s="520" t="s">
        <v>577</v>
      </c>
      <c r="T25" s="521" t="s">
        <v>17</v>
      </c>
      <c r="U25" s="536" t="s">
        <v>697</v>
      </c>
      <c r="V25" s="536" t="s">
        <v>698</v>
      </c>
      <c r="W25" s="536" t="s">
        <v>775</v>
      </c>
      <c r="X25" s="536" t="s">
        <v>776</v>
      </c>
      <c r="Y25" s="537" t="s">
        <v>17</v>
      </c>
      <c r="Z25" s="536" t="s">
        <v>576</v>
      </c>
      <c r="AA25" s="536" t="s">
        <v>577</v>
      </c>
      <c r="AB25" s="537" t="s">
        <v>17</v>
      </c>
    </row>
    <row r="26" spans="1:28">
      <c r="A26" s="172" t="s">
        <v>703</v>
      </c>
      <c r="D26" s="431" t="s">
        <v>681</v>
      </c>
      <c r="E26" s="433">
        <f t="shared" ref="E26:E34" si="22">VLOOKUP(A26,pyvalues,10,FALSE)</f>
        <v>53</v>
      </c>
      <c r="F26" s="432">
        <f t="shared" ref="F26:F34" si="23">VLOOKUP(A26,pyvalues,3,FALSE)</f>
        <v>1.0002578141327001</v>
      </c>
      <c r="G26" s="432">
        <f t="shared" ref="G26:G34" si="24">VLOOKUP(A26,pyvalues,4,FALSE)</f>
        <v>4.9230770562050089E-5</v>
      </c>
      <c r="H26" s="379">
        <f t="shared" ref="H26:H34" si="25">VLOOKUP(A26,pyvalues,5,FALSE)</f>
        <v>2.0329827348899192</v>
      </c>
      <c r="I26" s="385">
        <f t="shared" ref="I26:I28" si="26">VLOOKUP(A26,pyvalues,11,FALSE)</f>
        <v>-0.89972133618300054</v>
      </c>
      <c r="J26" s="385">
        <f t="shared" ref="J26:J28" si="27">VLOOKUP(A26,pyvalues,12,FALSE)</f>
        <v>5.193643293606196</v>
      </c>
      <c r="K26" s="379">
        <f t="shared" ref="K26:K34" si="28">VLOOKUP(A26,pyvalues,9,FALSE)</f>
        <v>2.0465412126881501</v>
      </c>
      <c r="M26" s="522" t="s">
        <v>681</v>
      </c>
      <c r="N26" s="523">
        <f t="shared" ref="N26" si="29">E26</f>
        <v>53</v>
      </c>
      <c r="O26" s="528">
        <f>Report!E26</f>
        <v>1.0002578268891096</v>
      </c>
      <c r="P26" s="528">
        <f>Report!G26</f>
        <v>9.549738309262812E-5</v>
      </c>
      <c r="Q26" s="525">
        <f>Report!I26</f>
        <v>2.2969064232536369</v>
      </c>
      <c r="R26" s="532">
        <f>Report!J26</f>
        <v>-0.89972129803656686</v>
      </c>
      <c r="S26" s="532">
        <f>Report!L26</f>
        <v>13.578200757488625</v>
      </c>
      <c r="T26" s="525">
        <f>Report!N26</f>
        <v>3.3133759224109824</v>
      </c>
      <c r="U26" s="538" t="s">
        <v>681</v>
      </c>
      <c r="V26" s="539">
        <v>53</v>
      </c>
      <c r="W26" s="544">
        <f t="shared" ref="W26:W28" si="30">F26-O26</f>
        <v>-1.2756409484282472E-8</v>
      </c>
      <c r="X26" s="544">
        <f t="shared" ref="X26:X28" si="31">G26-P26</f>
        <v>-4.6266612530578031E-5</v>
      </c>
      <c r="Y26" s="541">
        <f t="shared" ref="Y26:Y28" si="32">H26-Q26</f>
        <v>-0.26392368836371771</v>
      </c>
      <c r="Z26" s="548">
        <f t="shared" ref="Z26:Z28" si="33">I26-R26</f>
        <v>-3.8146433678498681E-8</v>
      </c>
      <c r="AA26" s="548">
        <f t="shared" ref="AA26:AA28" si="34">J26-S26</f>
        <v>-8.3845574638824303</v>
      </c>
      <c r="AB26" s="541">
        <f t="shared" ref="AB26:AB28" si="35">K26-T26</f>
        <v>-1.2668347097228323</v>
      </c>
    </row>
    <row r="27" spans="1:28">
      <c r="A27" s="172" t="s">
        <v>662</v>
      </c>
      <c r="D27" s="431"/>
      <c r="E27" s="433">
        <f t="shared" si="22"/>
        <v>400</v>
      </c>
      <c r="F27" s="432">
        <f t="shared" si="23"/>
        <v>1.0002583141680501</v>
      </c>
      <c r="G27" s="432">
        <f t="shared" si="24"/>
        <v>3.3492562450691663E-5</v>
      </c>
      <c r="H27" s="379">
        <f t="shared" si="25"/>
        <v>2.1189511568037882</v>
      </c>
      <c r="I27" s="385">
        <f t="shared" si="26"/>
        <v>-0.29990681221021492</v>
      </c>
      <c r="J27" s="385">
        <f t="shared" si="27"/>
        <v>3.8380477783684723</v>
      </c>
      <c r="K27" s="379">
        <f t="shared" si="28"/>
        <v>2.1879930528051301</v>
      </c>
      <c r="M27" s="522"/>
      <c r="N27" s="523">
        <f t="shared" ref="N27:N28" si="36">E27</f>
        <v>400</v>
      </c>
      <c r="O27" s="528">
        <f>Report!E27</f>
        <v>1.0002583269244663</v>
      </c>
      <c r="P27" s="528">
        <f>Report!G27</f>
        <v>4.2401832196100574E-5</v>
      </c>
      <c r="Q27" s="525">
        <f>Report!I27</f>
        <v>2.3355129227553646</v>
      </c>
      <c r="R27" s="532">
        <f>Report!J27</f>
        <v>-0.29990679949474996</v>
      </c>
      <c r="S27" s="532">
        <f>Report!L27</f>
        <v>3.5716692767159279</v>
      </c>
      <c r="T27" s="525">
        <f>Report!N27</f>
        <v>2.1276366991274029</v>
      </c>
      <c r="U27" s="538"/>
      <c r="V27" s="539">
        <v>400</v>
      </c>
      <c r="W27" s="544">
        <f t="shared" si="30"/>
        <v>-1.2756416145620619E-8</v>
      </c>
      <c r="X27" s="544">
        <f t="shared" si="31"/>
        <v>-8.9092697454089105E-6</v>
      </c>
      <c r="Y27" s="541">
        <f t="shared" si="32"/>
        <v>-0.21656176595157639</v>
      </c>
      <c r="Z27" s="548">
        <f t="shared" si="33"/>
        <v>-1.2715464958734657E-8</v>
      </c>
      <c r="AA27" s="548">
        <f t="shared" si="34"/>
        <v>0.2663785016525444</v>
      </c>
      <c r="AB27" s="541">
        <f t="shared" si="35"/>
        <v>6.0356353677727181E-2</v>
      </c>
    </row>
    <row r="28" spans="1:28">
      <c r="A28" s="172" t="s">
        <v>663</v>
      </c>
      <c r="D28" s="431"/>
      <c r="E28" s="433">
        <f t="shared" si="22"/>
        <v>1000</v>
      </c>
      <c r="F28" s="432">
        <f t="shared" si="23"/>
        <v>1.0002552139488781</v>
      </c>
      <c r="G28" s="432">
        <f t="shared" si="24"/>
        <v>3.2827351721002721E-5</v>
      </c>
      <c r="H28" s="379">
        <f t="shared" si="25"/>
        <v>2.1400197923792921</v>
      </c>
      <c r="I28" s="385">
        <f t="shared" si="26"/>
        <v>-0.39987822838977488</v>
      </c>
      <c r="J28" s="385">
        <f t="shared" si="27"/>
        <v>3.7897303238139761</v>
      </c>
      <c r="K28" s="379">
        <f t="shared" si="28"/>
        <v>2.2132775118735482</v>
      </c>
      <c r="M28" s="522"/>
      <c r="N28" s="523">
        <f t="shared" si="36"/>
        <v>1000</v>
      </c>
      <c r="O28" s="528">
        <f>Report!E28</f>
        <v>1.0002552267052542</v>
      </c>
      <c r="P28" s="528">
        <f>Report!G28</f>
        <v>4.2076901414460051E-5</v>
      </c>
      <c r="Q28" s="525">
        <f>Report!I28</f>
        <v>2.395177877707249</v>
      </c>
      <c r="R28" s="532">
        <f>Report!J28</f>
        <v>-0.39987821143571689</v>
      </c>
      <c r="S28" s="532">
        <f>Report!L28</f>
        <v>3.4653606680480342</v>
      </c>
      <c r="T28" s="525">
        <f>Report!N28</f>
        <v>2.1457132722074337</v>
      </c>
      <c r="U28" s="538"/>
      <c r="V28" s="539">
        <v>1000</v>
      </c>
      <c r="W28" s="544">
        <f t="shared" si="30"/>
        <v>-1.2756376177591733E-8</v>
      </c>
      <c r="X28" s="544">
        <f t="shared" si="31"/>
        <v>-9.2495496934573299E-6</v>
      </c>
      <c r="Y28" s="541">
        <f t="shared" si="32"/>
        <v>-0.25515808532795692</v>
      </c>
      <c r="Z28" s="548">
        <f t="shared" si="33"/>
        <v>-1.6954057990847815E-8</v>
      </c>
      <c r="AA28" s="548">
        <f t="shared" si="34"/>
        <v>0.3243696557659419</v>
      </c>
      <c r="AB28" s="541">
        <f t="shared" si="35"/>
        <v>6.7564239666114467E-2</v>
      </c>
    </row>
    <row r="29" spans="1:28">
      <c r="A29" s="172" t="s">
        <v>664</v>
      </c>
      <c r="D29" s="431" t="s">
        <v>682</v>
      </c>
      <c r="E29" s="433">
        <f t="shared" si="22"/>
        <v>53</v>
      </c>
      <c r="F29" s="383">
        <f t="shared" si="23"/>
        <v>10.002401128812942</v>
      </c>
      <c r="G29" s="383">
        <f t="shared" si="24"/>
        <v>4.9229221257685572E-4</v>
      </c>
      <c r="H29" s="379">
        <f t="shared" si="25"/>
        <v>2.0329826261742978</v>
      </c>
      <c r="I29" s="380">
        <f t="shared" ref="I29:I34" si="37">VLOOKUP(A29,pyvalues,11,FALSE)</f>
        <v>0.69980802982656187</v>
      </c>
      <c r="J29" s="380">
        <f t="shared" ref="J29:J34" si="38">VLOOKUP(A29,pyvalues,12,FALSE)</f>
        <v>0.51936728338189797</v>
      </c>
      <c r="K29" s="379">
        <f t="shared" si="28"/>
        <v>2.046542140192348</v>
      </c>
      <c r="M29" s="522" t="s">
        <v>682</v>
      </c>
      <c r="N29" s="523">
        <f t="shared" ref="N29" si="39">E29</f>
        <v>53</v>
      </c>
      <c r="O29" s="530">
        <f>Report!E29</f>
        <v>10.002401256374778</v>
      </c>
      <c r="P29" s="530">
        <f>Report!G29</f>
        <v>9.5497225015502246E-4</v>
      </c>
      <c r="Q29" s="525">
        <f>Report!I29</f>
        <v>2.2969105668420444</v>
      </c>
      <c r="R29" s="531">
        <f>Report!J29</f>
        <v>0.69980800015606404</v>
      </c>
      <c r="S29" s="531">
        <f>Report!L29</f>
        <v>1.3578744538807341</v>
      </c>
      <c r="T29" s="525">
        <f>Report!N29</f>
        <v>3.3134012827950832</v>
      </c>
      <c r="U29" s="538" t="s">
        <v>682</v>
      </c>
      <c r="V29" s="539">
        <v>53</v>
      </c>
      <c r="W29" s="546">
        <f t="shared" ref="W29:W34" si="40">F29-O29</f>
        <v>-1.2756183664919263E-7</v>
      </c>
      <c r="X29" s="546">
        <f t="shared" ref="X29:X34" si="41">G29-P29</f>
        <v>-4.6268003757816674E-4</v>
      </c>
      <c r="Y29" s="541">
        <f t="shared" ref="Y29:Y34" si="42">H29-Q29</f>
        <v>-0.26392794066774661</v>
      </c>
      <c r="Z29" s="547">
        <f t="shared" ref="Z29:Z34" si="43">I29-R29</f>
        <v>2.9670497836420395E-8</v>
      </c>
      <c r="AA29" s="547">
        <f t="shared" ref="AA29:AA34" si="44">J29-S29</f>
        <v>-0.83850717049883616</v>
      </c>
      <c r="AB29" s="541">
        <f t="shared" ref="AB29:AB34" si="45">K29-T29</f>
        <v>-1.2668591426027351</v>
      </c>
    </row>
    <row r="30" spans="1:28">
      <c r="A30" s="172" t="s">
        <v>665</v>
      </c>
      <c r="D30" s="431"/>
      <c r="E30" s="433">
        <f t="shared" si="22"/>
        <v>400</v>
      </c>
      <c r="F30" s="383">
        <f t="shared" si="23"/>
        <v>10.00240312895434</v>
      </c>
      <c r="G30" s="383">
        <f t="shared" si="24"/>
        <v>3.3492497225559234E-4</v>
      </c>
      <c r="H30" s="379">
        <f t="shared" si="25"/>
        <v>2.1189364071527539</v>
      </c>
      <c r="I30" s="380">
        <f t="shared" si="37"/>
        <v>0.64982148209721324</v>
      </c>
      <c r="J30" s="380">
        <f t="shared" si="38"/>
        <v>0.38381567162539998</v>
      </c>
      <c r="K30" s="379">
        <f t="shared" si="28"/>
        <v>2.187974843649036</v>
      </c>
      <c r="M30" s="522"/>
      <c r="N30" s="523">
        <f t="shared" ref="N30:N34" si="46">E30</f>
        <v>400</v>
      </c>
      <c r="O30" s="530">
        <f>Report!E30</f>
        <v>10.002403256516205</v>
      </c>
      <c r="P30" s="530">
        <f>Report!G30</f>
        <v>4.2401013925138641E-4</v>
      </c>
      <c r="Q30" s="525">
        <f>Report!I30</f>
        <v>2.3355104356428669</v>
      </c>
      <c r="R30" s="531">
        <f>Report!J30</f>
        <v>0.64982145454604756</v>
      </c>
      <c r="S30" s="531">
        <f>Report!L30</f>
        <v>0.35717328518518882</v>
      </c>
      <c r="T30" s="525">
        <f>Report!N30</f>
        <v>2.1276362216004427</v>
      </c>
      <c r="U30" s="538"/>
      <c r="V30" s="539">
        <v>400</v>
      </c>
      <c r="W30" s="546">
        <f t="shared" si="40"/>
        <v>-1.2756186507090206E-7</v>
      </c>
      <c r="X30" s="546">
        <f t="shared" si="41"/>
        <v>-8.908516699579407E-5</v>
      </c>
      <c r="Y30" s="541">
        <f t="shared" si="42"/>
        <v>-0.21657402849011298</v>
      </c>
      <c r="Z30" s="547">
        <f t="shared" si="43"/>
        <v>2.7551165682204726E-8</v>
      </c>
      <c r="AA30" s="547">
        <f t="shared" si="44"/>
        <v>2.6642386440211163E-2</v>
      </c>
      <c r="AB30" s="541">
        <f t="shared" si="45"/>
        <v>6.0338622048593304E-2</v>
      </c>
    </row>
    <row r="31" spans="1:28">
      <c r="A31" s="172" t="s">
        <v>668</v>
      </c>
      <c r="D31" s="431"/>
      <c r="E31" s="433">
        <f t="shared" si="22"/>
        <v>1000</v>
      </c>
      <c r="F31" s="383">
        <f t="shared" si="23"/>
        <v>10.00238112739892</v>
      </c>
      <c r="G31" s="383">
        <f t="shared" si="24"/>
        <v>3.282657090144801E-4</v>
      </c>
      <c r="H31" s="379">
        <f t="shared" si="25"/>
        <v>2.140027831104732</v>
      </c>
      <c r="I31" s="380">
        <f t="shared" si="37"/>
        <v>0.64982434083632634</v>
      </c>
      <c r="J31" s="380">
        <f t="shared" si="38"/>
        <v>0.3789779554337121</v>
      </c>
      <c r="K31" s="379">
        <f t="shared" si="28"/>
        <v>2.2132868810653972</v>
      </c>
      <c r="M31" s="522"/>
      <c r="N31" s="523">
        <f t="shared" si="46"/>
        <v>1000</v>
      </c>
      <c r="O31" s="530">
        <f>Report!E31</f>
        <v>10.002381254960506</v>
      </c>
      <c r="P31" s="530">
        <f>Report!G31</f>
        <v>4.2076116478196034E-4</v>
      </c>
      <c r="Q31" s="525">
        <f>Report!I31</f>
        <v>2.3951772480065414</v>
      </c>
      <c r="R31" s="531">
        <f>Report!J31</f>
        <v>0.6498243132850392</v>
      </c>
      <c r="S31" s="531">
        <f>Report!L31</f>
        <v>0.3465415198207637</v>
      </c>
      <c r="T31" s="525">
        <f>Report!N31</f>
        <v>2.1457130098715815</v>
      </c>
      <c r="U31" s="538"/>
      <c r="V31" s="539">
        <v>1000</v>
      </c>
      <c r="W31" s="546">
        <f t="shared" si="40"/>
        <v>-1.2756158618287827E-7</v>
      </c>
      <c r="X31" s="546">
        <f t="shared" si="41"/>
        <v>-9.2495455767480235E-5</v>
      </c>
      <c r="Y31" s="541">
        <f t="shared" si="42"/>
        <v>-0.25514941690180937</v>
      </c>
      <c r="Z31" s="547">
        <f t="shared" si="43"/>
        <v>2.755128714060362E-8</v>
      </c>
      <c r="AA31" s="547">
        <f t="shared" si="44"/>
        <v>3.24364356129484E-2</v>
      </c>
      <c r="AB31" s="541">
        <f t="shared" si="45"/>
        <v>6.7573871193815638E-2</v>
      </c>
    </row>
    <row r="32" spans="1:28">
      <c r="A32" s="172" t="s">
        <v>667</v>
      </c>
      <c r="D32" s="431" t="s">
        <v>683</v>
      </c>
      <c r="E32" s="433">
        <f t="shared" si="22"/>
        <v>53</v>
      </c>
      <c r="F32" s="381">
        <f t="shared" si="23"/>
        <v>100.03087023127429</v>
      </c>
      <c r="G32" s="381">
        <f t="shared" si="24"/>
        <v>4.9252524073377301E-3</v>
      </c>
      <c r="H32" s="379">
        <f t="shared" si="25"/>
        <v>2.0329856272737881</v>
      </c>
      <c r="I32" s="382">
        <f t="shared" si="37"/>
        <v>0.83260523448850277</v>
      </c>
      <c r="J32" s="382">
        <f t="shared" si="38"/>
        <v>5.1951525405406165E-2</v>
      </c>
      <c r="K32" s="379">
        <f t="shared" si="28"/>
        <v>2.0465144928294028</v>
      </c>
      <c r="M32" s="522" t="s">
        <v>683</v>
      </c>
      <c r="N32" s="523">
        <f t="shared" si="46"/>
        <v>53</v>
      </c>
      <c r="O32" s="527">
        <f>Report!E32</f>
        <v>100.03087037188301</v>
      </c>
      <c r="P32" s="527">
        <f>Report!G32</f>
        <v>9.5498295577333692E-3</v>
      </c>
      <c r="Q32" s="525">
        <f>Report!I32</f>
        <v>2.2968824717266578</v>
      </c>
      <c r="R32" s="529">
        <f>Report!J32</f>
        <v>0.83260521568113477</v>
      </c>
      <c r="S32" s="529">
        <f>Report!L32</f>
        <v>0.13576454101329549</v>
      </c>
      <c r="T32" s="525">
        <f>Report!N32</f>
        <v>3.3132292282999778</v>
      </c>
      <c r="U32" s="538" t="s">
        <v>683</v>
      </c>
      <c r="V32" s="539">
        <v>53</v>
      </c>
      <c r="W32" s="543">
        <f t="shared" si="40"/>
        <v>-1.406087193345229E-7</v>
      </c>
      <c r="X32" s="543">
        <f t="shared" si="41"/>
        <v>-4.624577150395639E-3</v>
      </c>
      <c r="Y32" s="541">
        <f t="shared" si="42"/>
        <v>-0.26389684445286976</v>
      </c>
      <c r="Z32" s="545">
        <f t="shared" si="43"/>
        <v>1.8807367996309665E-8</v>
      </c>
      <c r="AA32" s="545">
        <f t="shared" si="44"/>
        <v>-8.3813015607889327E-2</v>
      </c>
      <c r="AB32" s="541">
        <f t="shared" si="45"/>
        <v>-1.266714735470575</v>
      </c>
    </row>
    <row r="33" spans="1:28">
      <c r="A33" s="172" t="s">
        <v>666</v>
      </c>
      <c r="D33" s="431"/>
      <c r="E33" s="433">
        <f t="shared" si="22"/>
        <v>400</v>
      </c>
      <c r="F33" s="381">
        <f t="shared" si="23"/>
        <v>100.03048022811539</v>
      </c>
      <c r="G33" s="381">
        <f t="shared" si="24"/>
        <v>3.3495760664176773E-3</v>
      </c>
      <c r="H33" s="379">
        <f t="shared" si="25"/>
        <v>2.1189061881574829</v>
      </c>
      <c r="I33" s="382">
        <f t="shared" si="37"/>
        <v>0.78963176980504013</v>
      </c>
      <c r="J33" s="382">
        <f t="shared" si="38"/>
        <v>3.8379912884301245E-2</v>
      </c>
      <c r="K33" s="379">
        <f t="shared" si="28"/>
        <v>2.1879374386675572</v>
      </c>
      <c r="M33" s="522"/>
      <c r="N33" s="523">
        <f t="shared" si="46"/>
        <v>400</v>
      </c>
      <c r="O33" s="527">
        <f>Report!E33</f>
        <v>100.0304803687235</v>
      </c>
      <c r="P33" s="527">
        <f>Report!G33</f>
        <v>4.2406343623476979E-3</v>
      </c>
      <c r="Q33" s="525">
        <f>Report!I33</f>
        <v>2.3355261815128032</v>
      </c>
      <c r="R33" s="529">
        <f>Report!J33</f>
        <v>0.78963175196838242</v>
      </c>
      <c r="S33" s="529">
        <f>Report!L33</f>
        <v>3.5716963046872961E-2</v>
      </c>
      <c r="T33" s="525">
        <f>Report!N33</f>
        <v>2.1276390639234002</v>
      </c>
      <c r="U33" s="538"/>
      <c r="V33" s="539">
        <v>400</v>
      </c>
      <c r="W33" s="543">
        <f t="shared" si="40"/>
        <v>-1.4060810826777015E-7</v>
      </c>
      <c r="X33" s="543">
        <f t="shared" si="41"/>
        <v>-8.9105829593002063E-4</v>
      </c>
      <c r="Y33" s="541">
        <f t="shared" si="42"/>
        <v>-0.21661999335532034</v>
      </c>
      <c r="Z33" s="545">
        <f t="shared" si="43"/>
        <v>1.7836657706382653E-8</v>
      </c>
      <c r="AA33" s="545">
        <f t="shared" si="44"/>
        <v>2.6629498374282842E-3</v>
      </c>
      <c r="AB33" s="541">
        <f t="shared" si="45"/>
        <v>6.0298374744157002E-2</v>
      </c>
    </row>
    <row r="34" spans="1:28">
      <c r="A34" s="172" t="s">
        <v>669</v>
      </c>
      <c r="D34" s="431"/>
      <c r="E34" s="433">
        <f t="shared" si="22"/>
        <v>1000</v>
      </c>
      <c r="F34" s="381">
        <f t="shared" si="23"/>
        <v>100.0294802200155</v>
      </c>
      <c r="G34" s="381">
        <f t="shared" si="24"/>
        <v>3.2828332262179833E-3</v>
      </c>
      <c r="H34" s="379">
        <f t="shared" si="25"/>
        <v>2.140031471106187</v>
      </c>
      <c r="I34" s="382">
        <f t="shared" si="37"/>
        <v>0.78265068089676382</v>
      </c>
      <c r="J34" s="382">
        <f t="shared" si="38"/>
        <v>3.7895579326382628E-2</v>
      </c>
      <c r="K34" s="379">
        <f t="shared" si="28"/>
        <v>2.213291008593075</v>
      </c>
      <c r="M34" s="522"/>
      <c r="N34" s="523">
        <f t="shared" si="46"/>
        <v>1000</v>
      </c>
      <c r="O34" s="527">
        <f>Report!E34</f>
        <v>100.02948036062223</v>
      </c>
      <c r="P34" s="527">
        <f>Report!G34</f>
        <v>4.2081192685225043E-3</v>
      </c>
      <c r="Q34" s="525">
        <f>Report!I34</f>
        <v>2.3951807651364567</v>
      </c>
      <c r="R34" s="529">
        <f>Report!J34</f>
        <v>0.78265066321779853</v>
      </c>
      <c r="S34" s="529">
        <f>Report!L34</f>
        <v>3.4654368769809776E-2</v>
      </c>
      <c r="T34" s="525">
        <f>Report!N34</f>
        <v>2.1457143904065035</v>
      </c>
      <c r="U34" s="538"/>
      <c r="V34" s="539">
        <v>1000</v>
      </c>
      <c r="W34" s="543">
        <f t="shared" si="40"/>
        <v>-1.4060672981486277E-7</v>
      </c>
      <c r="X34" s="543">
        <f t="shared" si="41"/>
        <v>-9.2528604230452099E-4</v>
      </c>
      <c r="Y34" s="541">
        <f t="shared" si="42"/>
        <v>-0.25514929403026976</v>
      </c>
      <c r="Z34" s="545">
        <f t="shared" si="43"/>
        <v>1.7678965291700877E-8</v>
      </c>
      <c r="AA34" s="545">
        <f t="shared" si="44"/>
        <v>3.2412105565728516E-3</v>
      </c>
      <c r="AB34" s="541">
        <f t="shared" si="45"/>
        <v>6.7576618186571569E-2</v>
      </c>
    </row>
    <row r="35" spans="1:28">
      <c r="D35" s="431"/>
      <c r="E35" s="433"/>
      <c r="F35" s="381"/>
      <c r="G35" s="381"/>
      <c r="H35" s="379"/>
      <c r="I35" s="382"/>
      <c r="J35" s="382"/>
      <c r="K35" s="379"/>
      <c r="M35" s="522"/>
      <c r="N35" s="523"/>
      <c r="O35" s="527"/>
      <c r="P35" s="527"/>
      <c r="Q35" s="525"/>
      <c r="R35" s="529"/>
      <c r="S35" s="529"/>
      <c r="T35" s="525"/>
      <c r="U35" s="538"/>
      <c r="V35" s="539"/>
      <c r="W35" s="543"/>
      <c r="X35" s="543"/>
      <c r="Y35" s="541"/>
      <c r="Z35" s="545"/>
      <c r="AA35" s="545"/>
      <c r="AB35" s="541"/>
    </row>
    <row r="36" spans="1:28" ht="45" customHeight="1">
      <c r="D36" s="377" t="s">
        <v>697</v>
      </c>
      <c r="E36" s="377" t="s">
        <v>698</v>
      </c>
      <c r="F36" s="377" t="s">
        <v>704</v>
      </c>
      <c r="G36" s="377" t="s">
        <v>705</v>
      </c>
      <c r="H36" s="339" t="s">
        <v>17</v>
      </c>
      <c r="I36" s="377" t="s">
        <v>576</v>
      </c>
      <c r="J36" s="377" t="s">
        <v>577</v>
      </c>
      <c r="K36" s="339" t="s">
        <v>17</v>
      </c>
      <c r="M36" s="520" t="s">
        <v>697</v>
      </c>
      <c r="N36" s="520" t="s">
        <v>698</v>
      </c>
      <c r="O36" s="520" t="s">
        <v>704</v>
      </c>
      <c r="P36" s="520" t="s">
        <v>705</v>
      </c>
      <c r="Q36" s="521" t="s">
        <v>17</v>
      </c>
      <c r="R36" s="520" t="s">
        <v>576</v>
      </c>
      <c r="S36" s="520" t="s">
        <v>577</v>
      </c>
      <c r="T36" s="521" t="s">
        <v>17</v>
      </c>
      <c r="U36" s="536" t="s">
        <v>697</v>
      </c>
      <c r="V36" s="536" t="s">
        <v>698</v>
      </c>
      <c r="W36" s="536" t="s">
        <v>777</v>
      </c>
      <c r="X36" s="536" t="s">
        <v>705</v>
      </c>
      <c r="Y36" s="537" t="s">
        <v>17</v>
      </c>
      <c r="Z36" s="536" t="s">
        <v>576</v>
      </c>
      <c r="AA36" s="536" t="s">
        <v>577</v>
      </c>
      <c r="AB36" s="537" t="s">
        <v>17</v>
      </c>
    </row>
    <row r="37" spans="1:28">
      <c r="A37" s="172" t="s">
        <v>670</v>
      </c>
      <c r="D37" s="431" t="s">
        <v>684</v>
      </c>
      <c r="E37" s="433">
        <f>VLOOKUP(A37,pyvalues,10,FALSE)</f>
        <v>53</v>
      </c>
      <c r="F37" s="378">
        <f>VLOOKUP(A37,pyvalues,3,FALSE)</f>
        <v>-3.999710819353307E-4</v>
      </c>
      <c r="G37" s="378">
        <f>VLOOKUP(A37,pyvalues,4,FALSE)</f>
        <v>3.9474481253514854E-2</v>
      </c>
      <c r="H37" s="379">
        <f>VLOOKUP(A37,pyvalues,5,FALSE)</f>
        <v>2.0844813731992442</v>
      </c>
      <c r="I37" s="382">
        <f>VLOOKUP(A37,pyvalues,7,FALSE)</f>
        <v>-8.0005031455873763E-4</v>
      </c>
      <c r="J37" s="382">
        <f>VLOOKUP(A37,pyvalues,8,FALSE)</f>
        <v>3.9479818130365562E-3</v>
      </c>
      <c r="K37" s="379">
        <f>VLOOKUP(A37,pyvalues,9,FALSE)</f>
        <v>2.0844813731878782</v>
      </c>
      <c r="M37" s="522" t="s">
        <v>684</v>
      </c>
      <c r="N37" s="523">
        <f t="shared" ref="N37" si="47">E37</f>
        <v>53</v>
      </c>
      <c r="O37" s="524">
        <f>Report!E38</f>
        <v>-3.9997107118056627E-4</v>
      </c>
      <c r="P37" s="524">
        <f>Report!G38</f>
        <v>9.3192121073167572E-2</v>
      </c>
      <c r="Q37" s="525">
        <f>Report!I38</f>
        <v>2.4687245295700877</v>
      </c>
      <c r="R37" s="529">
        <f>Report!J38</f>
        <v>-8.00050284796E-4</v>
      </c>
      <c r="S37" s="529">
        <f>Report!L38</f>
        <v>1.6402607693742629E-2</v>
      </c>
      <c r="T37" s="525">
        <f>Report!N38</f>
        <v>4.3451656101089782</v>
      </c>
      <c r="U37" s="538" t="s">
        <v>684</v>
      </c>
      <c r="V37" s="539">
        <v>53</v>
      </c>
      <c r="W37" s="540">
        <f t="shared" ref="W37:W39" si="48">F37-O37</f>
        <v>-1.0754764429281999E-11</v>
      </c>
      <c r="X37" s="540">
        <f t="shared" ref="X37:X39" si="49">G37-P37</f>
        <v>-5.3717639819652718E-2</v>
      </c>
      <c r="Y37" s="541">
        <f t="shared" ref="Y37:Y39" si="50">H37-Q37</f>
        <v>-0.3842431563708435</v>
      </c>
      <c r="Z37" s="545">
        <f t="shared" ref="Z37:Z39" si="51">I37-R37</f>
        <v>-2.9762737630348313E-11</v>
      </c>
      <c r="AA37" s="545">
        <f t="shared" ref="AA37:AA39" si="52">J37-S37</f>
        <v>-1.2454625880706073E-2</v>
      </c>
      <c r="AB37" s="541">
        <f t="shared" ref="AB37:AB39" si="53">K37-T37</f>
        <v>-2.2606842369211</v>
      </c>
    </row>
    <row r="38" spans="1:28">
      <c r="A38" s="172" t="s">
        <v>671</v>
      </c>
      <c r="D38" s="431"/>
      <c r="E38" s="433">
        <f>VLOOKUP(A38,pyvalues,10,FALSE)</f>
        <v>400</v>
      </c>
      <c r="F38" s="381">
        <f>VLOOKUP(A38,pyvalues,3,FALSE)</f>
        <v>0</v>
      </c>
      <c r="G38" s="381">
        <f>VLOOKUP(A38,pyvalues,4,FALSE)</f>
        <v>9.6640025872692468E-3</v>
      </c>
      <c r="H38" s="379">
        <f>VLOOKUP(A38,pyvalues,5,FALSE)</f>
        <v>2.064012940498773</v>
      </c>
      <c r="I38" s="436">
        <f>VLOOKUP(A38,pyvalues,7,FALSE)</f>
        <v>9.8607613152626476E-20</v>
      </c>
      <c r="J38" s="436">
        <f>VLOOKUP(A38,pyvalues,8,FALSE)</f>
        <v>9.6653091423885829E-4</v>
      </c>
      <c r="K38" s="379">
        <f>VLOOKUP(A38,pyvalues,9,FALSE)</f>
        <v>2.064012940498773</v>
      </c>
      <c r="M38" s="522"/>
      <c r="N38" s="523">
        <f t="shared" ref="N38:N39" si="54">E38</f>
        <v>400</v>
      </c>
      <c r="O38" s="527">
        <f>Report!E39</f>
        <v>0</v>
      </c>
      <c r="P38" s="527">
        <f>Report!G39</f>
        <v>1.2358154466386669E-2</v>
      </c>
      <c r="Q38" s="525">
        <f>Report!I39</f>
        <v>2.4236334909180508</v>
      </c>
      <c r="R38" s="529">
        <f>Report!J39</f>
        <v>0</v>
      </c>
      <c r="S38" s="529">
        <f>Report!L39</f>
        <v>2.055874065355063E-3</v>
      </c>
      <c r="T38" s="525">
        <f>Report!N39</f>
        <v>4.0319007593173728</v>
      </c>
      <c r="U38" s="538"/>
      <c r="V38" s="539">
        <v>400</v>
      </c>
      <c r="W38" s="543">
        <f t="shared" si="48"/>
        <v>0</v>
      </c>
      <c r="X38" s="543">
        <f t="shared" si="49"/>
        <v>-2.6941518791174218E-3</v>
      </c>
      <c r="Y38" s="541">
        <f t="shared" si="50"/>
        <v>-0.35962055041927776</v>
      </c>
      <c r="Z38" s="545">
        <f t="shared" si="51"/>
        <v>9.8607613152626476E-20</v>
      </c>
      <c r="AA38" s="545">
        <f t="shared" si="52"/>
        <v>-1.0893431511162046E-3</v>
      </c>
      <c r="AB38" s="541">
        <f t="shared" si="53"/>
        <v>-1.9678878188185998</v>
      </c>
    </row>
    <row r="39" spans="1:28">
      <c r="A39" s="172" t="s">
        <v>672</v>
      </c>
      <c r="D39" s="431"/>
      <c r="E39" s="433">
        <f>VLOOKUP(A39,pyvalues,10,FALSE)</f>
        <v>1000</v>
      </c>
      <c r="F39" s="381">
        <f>VLOOKUP(A39,pyvalues,3,FALSE)</f>
        <v>2.9997831145149822E-4</v>
      </c>
      <c r="G39" s="381">
        <f>VLOOKUP(A39,pyvalues,4,FALSE)</f>
        <v>5.5273128617222052E-3</v>
      </c>
      <c r="H39" s="379">
        <f>VLOOKUP(A39,pyvalues,5,FALSE)</f>
        <v>2.0343771526760048</v>
      </c>
      <c r="I39" s="436">
        <f>VLOOKUP(A39,pyvalues,7,FALSE)</f>
        <v>0</v>
      </c>
      <c r="J39" s="436">
        <f>VLOOKUP(A39,pyvalues,8,FALSE)</f>
        <v>5.5280601441104254E-4</v>
      </c>
      <c r="K39" s="379">
        <f>VLOOKUP(A39,pyvalues,9,FALSE)</f>
        <v>2.0343771526758858</v>
      </c>
      <c r="M39" s="522"/>
      <c r="N39" s="523">
        <f t="shared" si="54"/>
        <v>1000</v>
      </c>
      <c r="O39" s="527">
        <f>Report!E40</f>
        <v>2.9997830338542475E-4</v>
      </c>
      <c r="P39" s="527">
        <f>Report!G40</f>
        <v>5.1036638239982486E-3</v>
      </c>
      <c r="Q39" s="525">
        <f>Report!I40</f>
        <v>2.2824278465729773</v>
      </c>
      <c r="R39" s="529">
        <f>Report!J40</f>
        <v>0</v>
      </c>
      <c r="S39" s="529">
        <f>Report!L40</f>
        <v>6.978902891203165E-4</v>
      </c>
      <c r="T39" s="525">
        <f>Report!N40</f>
        <v>3.1210602506459733</v>
      </c>
      <c r="U39" s="538"/>
      <c r="V39" s="539">
        <v>1000</v>
      </c>
      <c r="W39" s="543">
        <f t="shared" si="48"/>
        <v>8.0660734710392978E-12</v>
      </c>
      <c r="X39" s="543">
        <f t="shared" si="49"/>
        <v>4.2364903772395667E-4</v>
      </c>
      <c r="Y39" s="541">
        <f t="shared" si="50"/>
        <v>-0.24805069389697243</v>
      </c>
      <c r="Z39" s="545">
        <f t="shared" si="51"/>
        <v>0</v>
      </c>
      <c r="AA39" s="545">
        <f t="shared" si="52"/>
        <v>-1.4508427470927396E-4</v>
      </c>
      <c r="AB39" s="541">
        <f t="shared" si="53"/>
        <v>-1.0866830979700874</v>
      </c>
    </row>
    <row r="40" spans="1:28">
      <c r="D40" s="431"/>
      <c r="E40" s="433"/>
      <c r="F40" s="381"/>
      <c r="G40" s="381"/>
      <c r="H40" s="379"/>
      <c r="I40" s="382"/>
      <c r="J40" s="382"/>
      <c r="K40" s="379"/>
      <c r="M40" s="522"/>
      <c r="N40" s="523"/>
      <c r="O40" s="527"/>
      <c r="P40" s="527"/>
      <c r="Q40" s="525"/>
      <c r="R40" s="529"/>
      <c r="S40" s="529"/>
      <c r="T40" s="525"/>
      <c r="U40" s="538"/>
      <c r="V40" s="539"/>
      <c r="W40" s="543"/>
      <c r="X40" s="543"/>
      <c r="Y40" s="541"/>
      <c r="Z40" s="545"/>
      <c r="AA40" s="545"/>
      <c r="AB40" s="541"/>
    </row>
    <row r="41" spans="1:28" ht="45" customHeight="1">
      <c r="D41" s="377" t="s">
        <v>697</v>
      </c>
      <c r="E41" s="377" t="s">
        <v>698</v>
      </c>
      <c r="F41" s="377" t="s">
        <v>773</v>
      </c>
      <c r="G41" s="377" t="s">
        <v>774</v>
      </c>
      <c r="H41" s="339" t="s">
        <v>17</v>
      </c>
      <c r="I41" s="377" t="s">
        <v>771</v>
      </c>
      <c r="J41" s="377" t="s">
        <v>772</v>
      </c>
      <c r="K41" s="339" t="s">
        <v>17</v>
      </c>
      <c r="M41" s="520" t="s">
        <v>697</v>
      </c>
      <c r="N41" s="520" t="s">
        <v>698</v>
      </c>
      <c r="O41" s="520" t="s">
        <v>700</v>
      </c>
      <c r="P41" s="520" t="s">
        <v>702</v>
      </c>
      <c r="Q41" s="521" t="s">
        <v>17</v>
      </c>
      <c r="R41" s="520" t="s">
        <v>695</v>
      </c>
      <c r="S41" s="520" t="s">
        <v>696</v>
      </c>
      <c r="T41" s="521" t="s">
        <v>17</v>
      </c>
      <c r="U41" s="536" t="s">
        <v>697</v>
      </c>
      <c r="V41" s="536" t="s">
        <v>698</v>
      </c>
      <c r="W41" s="536" t="s">
        <v>773</v>
      </c>
      <c r="X41" s="536" t="s">
        <v>774</v>
      </c>
      <c r="Y41" s="537" t="s">
        <v>17</v>
      </c>
      <c r="Z41" s="536" t="s">
        <v>771</v>
      </c>
      <c r="AA41" s="536" t="s">
        <v>772</v>
      </c>
      <c r="AB41" s="537" t="s">
        <v>17</v>
      </c>
    </row>
    <row r="42" spans="1:28">
      <c r="A42" t="s">
        <v>673</v>
      </c>
      <c r="D42" s="431" t="s">
        <v>685</v>
      </c>
      <c r="E42" s="433">
        <f>VLOOKUP(A42,pyvalues,10,FALSE)</f>
        <v>1600</v>
      </c>
      <c r="F42" s="378">
        <f>VLOOKUP(A42,pyvalues,3,FALSE)</f>
        <v>632.5047154940986</v>
      </c>
      <c r="G42" s="378">
        <f>VLOOKUP(A42,pyvalues,4,FALSE)</f>
        <v>2.0885643612010601E-2</v>
      </c>
      <c r="H42" s="379">
        <f>VLOOKUP(A42,pyvalues,5,FALSE)</f>
        <v>2.1328648615221359</v>
      </c>
      <c r="I42" s="434">
        <f>VLOOKUP(A42,pyvalues,7,FALSE)</f>
        <v>100.1206114506054</v>
      </c>
      <c r="J42" s="434">
        <f>VLOOKUP(A42,pyvalues,8,FALSE)</f>
        <v>2.4069304832975709</v>
      </c>
      <c r="K42" s="379">
        <f>VLOOKUP(A42,pyvalues,9,FALSE)</f>
        <v>2.2047268281331718</v>
      </c>
      <c r="M42" s="522" t="s">
        <v>685</v>
      </c>
      <c r="N42" s="523">
        <f t="shared" ref="N42" si="55">E42</f>
        <v>1600</v>
      </c>
      <c r="O42" s="524">
        <f>Report!E46</f>
        <v>632.50472356050807</v>
      </c>
      <c r="P42" s="524">
        <f>Report!G46</f>
        <v>2.6615291797955114E-2</v>
      </c>
      <c r="Q42" s="525">
        <f>Report!I46</f>
        <v>2.3904695775300739</v>
      </c>
      <c r="R42" s="533">
        <f>Report!J46</f>
        <v>100.12060975938702</v>
      </c>
      <c r="S42" s="533">
        <f>Report!L46</f>
        <v>2.1963368258022826</v>
      </c>
      <c r="T42" s="525">
        <f>Report!N46</f>
        <v>2.1435191283678097</v>
      </c>
      <c r="U42" s="538" t="s">
        <v>685</v>
      </c>
      <c r="V42" s="539">
        <v>1600</v>
      </c>
      <c r="W42" s="540">
        <f t="shared" ref="W42:W43" si="56">F42-O42</f>
        <v>-8.0664094639359973E-6</v>
      </c>
      <c r="X42" s="540">
        <f t="shared" ref="X42:X43" si="57">G42-P42</f>
        <v>-5.7296481859445136E-3</v>
      </c>
      <c r="Y42" s="541">
        <f t="shared" ref="Y42:Y43" si="58">H42-Q42</f>
        <v>-0.25760471600793799</v>
      </c>
      <c r="Z42" s="549">
        <f t="shared" ref="Z42:Z43" si="59">I42-R42</f>
        <v>1.691218372457115E-6</v>
      </c>
      <c r="AA42" s="549">
        <f t="shared" ref="AA42:AA43" si="60">J42-S42</f>
        <v>0.21059365749528824</v>
      </c>
      <c r="AB42" s="541">
        <f t="shared" ref="AB42:AB43" si="61">K42-T42</f>
        <v>6.1207699765362111E-2</v>
      </c>
    </row>
    <row r="43" spans="1:28">
      <c r="A43" t="s">
        <v>674</v>
      </c>
      <c r="D43" s="431" t="s">
        <v>686</v>
      </c>
      <c r="E43" s="433">
        <f>VLOOKUP(A43,pyvalues,10,FALSE)</f>
        <v>1600</v>
      </c>
      <c r="F43" s="378">
        <f>VLOOKUP(A43,pyvalues,3,FALSE)</f>
        <v>2000.5704321398091</v>
      </c>
      <c r="G43" s="378">
        <f>VLOOKUP(A43,pyvalues,4,FALSE)</f>
        <v>8.300474007012075E-2</v>
      </c>
      <c r="H43" s="379">
        <f>VLOOKUP(A43,pyvalues,5,FALSE)</f>
        <v>2.026108743499266</v>
      </c>
      <c r="I43" s="435">
        <f>VLOOKUP(A43,pyvalues,7,FALSE)</f>
        <v>99884.562856176402</v>
      </c>
      <c r="J43" s="435">
        <f>VLOOKUP(A43,pyvalues,8,FALSE)</f>
        <v>38.312341442776926</v>
      </c>
      <c r="K43" s="379">
        <f>VLOOKUP(A43,pyvalues,9,FALSE)</f>
        <v>2.1127724230093929</v>
      </c>
      <c r="M43" s="522" t="s">
        <v>686</v>
      </c>
      <c r="N43" s="523">
        <f t="shared" ref="N43" si="62">E43</f>
        <v>1600</v>
      </c>
      <c r="O43" s="524">
        <f>Report!E47*1000</f>
        <v>2000.5704576533274</v>
      </c>
      <c r="P43" s="524">
        <f>Report!G47*1000</f>
        <v>9.0331094585346439E-2</v>
      </c>
      <c r="Q43" s="525">
        <f>Report!I47</f>
        <v>2.1742566166891666</v>
      </c>
      <c r="R43" s="534">
        <f>Report!J47*1000</f>
        <v>99884.561168945322</v>
      </c>
      <c r="S43" s="534">
        <f>Report!L47*1000</f>
        <v>36.511103502476089</v>
      </c>
      <c r="T43" s="525">
        <f>Report!N47</f>
        <v>2.247005150745025</v>
      </c>
      <c r="U43" s="538" t="s">
        <v>686</v>
      </c>
      <c r="V43" s="539">
        <v>1600</v>
      </c>
      <c r="W43" s="540">
        <f t="shared" si="56"/>
        <v>-2.551351826696191E-5</v>
      </c>
      <c r="X43" s="540">
        <f t="shared" si="57"/>
        <v>-7.3263545152256887E-3</v>
      </c>
      <c r="Y43" s="541">
        <f t="shared" si="58"/>
        <v>-0.14814787318990064</v>
      </c>
      <c r="Z43" s="550">
        <f t="shared" si="59"/>
        <v>1.6872310807229951E-3</v>
      </c>
      <c r="AA43" s="550">
        <f t="shared" si="60"/>
        <v>1.8012379403008367</v>
      </c>
      <c r="AB43" s="541">
        <f t="shared" si="61"/>
        <v>-0.13423272773563211</v>
      </c>
    </row>
  </sheetData>
  <pageMargins left="0.7" right="0.7" top="0.75" bottom="0.75" header="0.3" footer="0.3"/>
  <pageSetup paperSize="9" scale="2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78"/>
  <sheetViews>
    <sheetView workbookViewId="0">
      <selection activeCell="A65" sqref="A65"/>
    </sheetView>
  </sheetViews>
  <sheetFormatPr defaultRowHeight="12.75"/>
  <cols>
    <col min="1" max="1" width="19.28515625" customWidth="1"/>
    <col min="2" max="2" width="13.85546875" customWidth="1"/>
    <col min="3" max="3" width="12.42578125" bestFit="1" customWidth="1"/>
    <col min="23" max="23" width="11" customWidth="1"/>
    <col min="24" max="24" width="10.140625" bestFit="1" customWidth="1"/>
    <col min="27" max="28" width="10.7109375" customWidth="1"/>
    <col min="29" max="29" width="12" bestFit="1" customWidth="1"/>
    <col min="39" max="39" width="12.42578125" bestFit="1" customWidth="1"/>
    <col min="49" max="49" width="12.42578125" bestFit="1" customWidth="1"/>
  </cols>
  <sheetData>
    <row r="1" spans="1:56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</row>
    <row r="3" spans="1:56">
      <c r="B3" s="443">
        <v>41948</v>
      </c>
      <c r="C3" s="172" t="s">
        <v>806</v>
      </c>
      <c r="K3" s="401">
        <v>40668</v>
      </c>
      <c r="L3" s="172" t="s">
        <v>778</v>
      </c>
      <c r="T3" s="443">
        <v>38398</v>
      </c>
      <c r="AC3" s="1">
        <v>37231</v>
      </c>
      <c r="AD3" t="s">
        <v>779</v>
      </c>
      <c r="AE3" s="552"/>
      <c r="AF3" s="2"/>
      <c r="AH3" s="552"/>
      <c r="AI3" s="2"/>
      <c r="AK3" s="553">
        <v>36143</v>
      </c>
      <c r="AL3" s="2"/>
      <c r="AU3" s="1">
        <v>43073</v>
      </c>
    </row>
    <row r="4" spans="1:56">
      <c r="B4" s="2" t="s">
        <v>748</v>
      </c>
      <c r="C4" s="2" t="s">
        <v>143</v>
      </c>
      <c r="D4" s="2" t="s">
        <v>749</v>
      </c>
      <c r="E4" s="2" t="s">
        <v>468</v>
      </c>
      <c r="F4" s="2" t="s">
        <v>471</v>
      </c>
      <c r="G4" s="2" t="s">
        <v>751</v>
      </c>
      <c r="H4" s="2" t="s">
        <v>468</v>
      </c>
      <c r="I4" s="2" t="s">
        <v>471</v>
      </c>
      <c r="K4" t="s">
        <v>748</v>
      </c>
      <c r="L4" t="s">
        <v>143</v>
      </c>
      <c r="M4" t="s">
        <v>749</v>
      </c>
      <c r="N4" t="s">
        <v>468</v>
      </c>
      <c r="O4" t="s">
        <v>471</v>
      </c>
      <c r="P4" t="s">
        <v>751</v>
      </c>
      <c r="Q4" t="s">
        <v>468</v>
      </c>
      <c r="R4" t="s">
        <v>471</v>
      </c>
      <c r="T4" s="2" t="s">
        <v>748</v>
      </c>
      <c r="U4" s="2" t="s">
        <v>143</v>
      </c>
      <c r="V4" s="2" t="s">
        <v>749</v>
      </c>
      <c r="W4" s="2" t="s">
        <v>468</v>
      </c>
      <c r="X4" s="2" t="s">
        <v>471</v>
      </c>
      <c r="Y4" s="2" t="s">
        <v>751</v>
      </c>
      <c r="Z4" s="2" t="s">
        <v>468</v>
      </c>
      <c r="AA4" s="2" t="s">
        <v>471</v>
      </c>
      <c r="AC4" t="s">
        <v>143</v>
      </c>
      <c r="AD4" t="s">
        <v>749</v>
      </c>
      <c r="AE4" t="s">
        <v>468</v>
      </c>
      <c r="AF4" t="s">
        <v>471</v>
      </c>
      <c r="AG4" t="s">
        <v>751</v>
      </c>
      <c r="AH4" t="s">
        <v>468</v>
      </c>
      <c r="AI4" t="s">
        <v>471</v>
      </c>
      <c r="AK4" s="2" t="s">
        <v>748</v>
      </c>
      <c r="AL4" s="2" t="s">
        <v>143</v>
      </c>
      <c r="AM4" t="s">
        <v>749</v>
      </c>
      <c r="AN4" t="s">
        <v>468</v>
      </c>
      <c r="AO4" t="s">
        <v>471</v>
      </c>
      <c r="AP4" t="s">
        <v>751</v>
      </c>
      <c r="AQ4" t="s">
        <v>468</v>
      </c>
      <c r="AR4" t="s">
        <v>471</v>
      </c>
    </row>
    <row r="5" spans="1:56" ht="15.75">
      <c r="B5" s="2"/>
      <c r="C5" s="2" t="s">
        <v>752</v>
      </c>
      <c r="D5" s="2" t="s">
        <v>780</v>
      </c>
      <c r="E5" s="2" t="s">
        <v>780</v>
      </c>
      <c r="F5" s="2" t="s">
        <v>472</v>
      </c>
      <c r="G5" s="2" t="s">
        <v>781</v>
      </c>
      <c r="H5" s="2" t="s">
        <v>781</v>
      </c>
      <c r="I5" s="2" t="s">
        <v>472</v>
      </c>
      <c r="L5" t="s">
        <v>752</v>
      </c>
      <c r="M5" t="s">
        <v>753</v>
      </c>
      <c r="N5" t="s">
        <v>753</v>
      </c>
      <c r="O5" t="s">
        <v>472</v>
      </c>
      <c r="P5" t="s">
        <v>754</v>
      </c>
      <c r="Q5" t="s">
        <v>754</v>
      </c>
      <c r="R5" t="s">
        <v>472</v>
      </c>
      <c r="T5" s="2"/>
      <c r="U5" s="2" t="s">
        <v>752</v>
      </c>
      <c r="V5" s="2" t="s">
        <v>780</v>
      </c>
      <c r="W5" s="2" t="s">
        <v>780</v>
      </c>
      <c r="X5" s="2" t="s">
        <v>472</v>
      </c>
      <c r="Y5" s="2" t="s">
        <v>781</v>
      </c>
      <c r="Z5" s="2" t="s">
        <v>781</v>
      </c>
      <c r="AA5" s="2" t="s">
        <v>472</v>
      </c>
      <c r="AC5" t="s">
        <v>752</v>
      </c>
      <c r="AF5" t="s">
        <v>472</v>
      </c>
      <c r="AI5" t="s">
        <v>472</v>
      </c>
      <c r="AK5" s="2"/>
      <c r="AL5" s="2" t="s">
        <v>752</v>
      </c>
      <c r="AM5" t="s">
        <v>782</v>
      </c>
      <c r="AN5" t="s">
        <v>782</v>
      </c>
      <c r="AO5" t="s">
        <v>472</v>
      </c>
      <c r="AP5" t="s">
        <v>783</v>
      </c>
      <c r="AQ5" t="s">
        <v>783</v>
      </c>
      <c r="AR5" t="s">
        <v>472</v>
      </c>
    </row>
    <row r="6" spans="1:56" ht="15">
      <c r="A6" s="90" t="s">
        <v>712</v>
      </c>
      <c r="B6" s="2" t="s">
        <v>675</v>
      </c>
      <c r="C6" s="554">
        <v>53</v>
      </c>
      <c r="D6" s="555">
        <v>3.0002116455665824E-3</v>
      </c>
      <c r="E6" s="555">
        <v>9.3189772102283255E-2</v>
      </c>
      <c r="F6" s="556">
        <v>2.4549187194625501</v>
      </c>
      <c r="G6" s="557">
        <v>-4.0008028000755548E-3</v>
      </c>
      <c r="H6" s="555">
        <v>9.3197263503174213E-3</v>
      </c>
      <c r="I6" s="556">
        <v>2.4474848513217937</v>
      </c>
      <c r="K6" t="s">
        <v>675</v>
      </c>
      <c r="L6" s="558">
        <v>53</v>
      </c>
      <c r="M6" s="559">
        <v>-6.0003474402209609E-3</v>
      </c>
      <c r="N6" s="559">
        <v>1.0185678597389025E-2</v>
      </c>
      <c r="O6" s="560">
        <v>2.2463558875487664</v>
      </c>
      <c r="P6" s="559">
        <v>-1.2002108377211873E-3</v>
      </c>
      <c r="Q6" s="559">
        <v>1.5978889665899408E-2</v>
      </c>
      <c r="R6" s="561">
        <v>4.1962702471197133</v>
      </c>
      <c r="T6" s="2" t="s">
        <v>675</v>
      </c>
      <c r="U6" s="554">
        <v>53</v>
      </c>
      <c r="V6" s="555">
        <v>-2.0001141600000014E-3</v>
      </c>
      <c r="W6" s="555">
        <v>1.4746208330215801E-2</v>
      </c>
      <c r="X6" s="556">
        <v>2.2169543020740958</v>
      </c>
      <c r="Y6" s="557">
        <v>3.0005180680491824E-3</v>
      </c>
      <c r="Z6" s="555">
        <v>9.4674532870137485E-3</v>
      </c>
      <c r="AA6" s="556">
        <v>2.1787875087470452</v>
      </c>
      <c r="AC6" s="2">
        <v>53</v>
      </c>
      <c r="AD6">
        <v>-3.0001516574984211E-3</v>
      </c>
      <c r="AE6">
        <v>6.3362178964059043E-3</v>
      </c>
      <c r="AF6">
        <v>2.328186171939457</v>
      </c>
      <c r="AG6">
        <v>-1.200195223539185E-2</v>
      </c>
      <c r="AH6">
        <v>1.0410843751389044E-2</v>
      </c>
      <c r="AI6">
        <v>1.9633181311403685</v>
      </c>
      <c r="AK6" s="2" t="s">
        <v>675</v>
      </c>
      <c r="AL6" s="2">
        <v>53</v>
      </c>
      <c r="AM6">
        <v>1.0000478694087613E-3</v>
      </c>
      <c r="AN6">
        <v>6.1738278994685966E-3</v>
      </c>
      <c r="AO6">
        <v>2.4604285626193847</v>
      </c>
      <c r="AP6">
        <v>5.0008597751854227E-3</v>
      </c>
      <c r="AQ6">
        <v>1.2347582452682566E-2</v>
      </c>
      <c r="AR6">
        <v>2.4560565022674536</v>
      </c>
      <c r="AU6">
        <f>pyReport!E4</f>
        <v>53</v>
      </c>
      <c r="AV6">
        <f>pyReport!F4</f>
        <v>-9.0006363081410468E-3</v>
      </c>
      <c r="AW6">
        <f>pyReport!G4</f>
        <v>3.9484383254907419E-2</v>
      </c>
      <c r="AX6">
        <f>pyReport!H4</f>
        <v>2.0844816880304928</v>
      </c>
      <c r="AY6">
        <f>pyReport!I4</f>
        <v>-1.0002059085974569E-3</v>
      </c>
      <c r="AZ6">
        <f>pyReport!J4</f>
        <v>3.9489721471057289E-3</v>
      </c>
      <c r="BA6">
        <f>pyReport!K4</f>
        <v>2.08448168800897</v>
      </c>
    </row>
    <row r="7" spans="1:56" ht="15">
      <c r="A7" s="90" t="s">
        <v>713</v>
      </c>
      <c r="B7" s="2"/>
      <c r="C7" s="554">
        <v>400</v>
      </c>
      <c r="D7" s="555">
        <v>1.0000705485221941E-3</v>
      </c>
      <c r="E7" s="555">
        <v>1.4189409186091852E-2</v>
      </c>
      <c r="F7" s="556">
        <v>2.1894733706755267</v>
      </c>
      <c r="G7" s="557">
        <v>1.0002007000188887E-4</v>
      </c>
      <c r="H7" s="555">
        <v>1.5564783469280469E-3</v>
      </c>
      <c r="I7" s="556">
        <v>2.1795056297225797</v>
      </c>
      <c r="L7" s="558">
        <v>400</v>
      </c>
      <c r="M7" s="559">
        <v>-2.000115813406987E-3</v>
      </c>
      <c r="N7" s="559">
        <v>9.918524428206215E-3</v>
      </c>
      <c r="O7" s="560">
        <v>2.401185626442992</v>
      </c>
      <c r="P7" s="562">
        <v>3.0005270943029682E-4</v>
      </c>
      <c r="Q7" s="562">
        <v>1.7230685733258132E-3</v>
      </c>
      <c r="R7" s="561">
        <v>2.4127786049110211</v>
      </c>
      <c r="T7" s="2"/>
      <c r="U7" s="554">
        <v>400</v>
      </c>
      <c r="V7" s="555">
        <v>-3.0001712400000019E-3</v>
      </c>
      <c r="W7" s="555">
        <v>4.928066444576263E-3</v>
      </c>
      <c r="X7" s="556">
        <v>2.2112227263460924</v>
      </c>
      <c r="Y7" s="557">
        <v>1.0001726893497274E-4</v>
      </c>
      <c r="Z7" s="557">
        <v>1.2290491476148204E-3</v>
      </c>
      <c r="AA7" s="556">
        <v>2.2165793274125321</v>
      </c>
      <c r="AC7" s="2">
        <v>400</v>
      </c>
      <c r="AD7">
        <v>-1.0000505524994736E-4</v>
      </c>
      <c r="AE7">
        <v>3.447443728886787E-3</v>
      </c>
      <c r="AF7">
        <v>2.4084891847789693</v>
      </c>
      <c r="AG7">
        <v>-1.0001626862826541E-4</v>
      </c>
      <c r="AH7">
        <v>2.4696484204190542E-3</v>
      </c>
      <c r="AI7">
        <v>2.4452288708281902</v>
      </c>
      <c r="AK7" s="2"/>
      <c r="AL7" s="2">
        <v>400</v>
      </c>
      <c r="AM7">
        <v>1.0000478694087613E-3</v>
      </c>
      <c r="AN7">
        <v>2.4738224237587907E-3</v>
      </c>
      <c r="AO7">
        <v>2.4184984296218839</v>
      </c>
      <c r="AP7">
        <v>0</v>
      </c>
      <c r="AQ7">
        <v>3.0983201248917751E-4</v>
      </c>
      <c r="AR7">
        <v>2.187418943733253</v>
      </c>
      <c r="AU7">
        <f>pyReport!E5</f>
        <v>400</v>
      </c>
      <c r="AV7">
        <f>pyReport!F5</f>
        <v>-1.2000848410854729E-3</v>
      </c>
      <c r="AW7">
        <f>pyReport!G5</f>
        <v>9.6664233714234896E-3</v>
      </c>
      <c r="AX7">
        <f>pyReport!H5</f>
        <v>2.0640170643854971</v>
      </c>
      <c r="AY7">
        <f>pyReport!I5</f>
        <v>-1.000205908597452E-4</v>
      </c>
      <c r="AZ7">
        <f>pyReport!J5</f>
        <v>9.6677302538858455E-4</v>
      </c>
      <c r="BA7">
        <f>pyReport!K5</f>
        <v>2.0640170643821949</v>
      </c>
    </row>
    <row r="8" spans="1:56" ht="15">
      <c r="A8" s="90" t="s">
        <v>714</v>
      </c>
      <c r="B8" s="2"/>
      <c r="C8" s="554" t="s">
        <v>755</v>
      </c>
      <c r="D8" s="555">
        <v>-5.0003527426109706E-3</v>
      </c>
      <c r="E8" s="555">
        <v>1.0320244368272016E-2</v>
      </c>
      <c r="F8" s="556">
        <v>2.2520619473780199</v>
      </c>
      <c r="G8" s="557">
        <v>-2.0004014000377774E-4</v>
      </c>
      <c r="H8" s="555">
        <v>1.2600825715636083E-3</v>
      </c>
      <c r="I8" s="556">
        <v>2.3005854928302956</v>
      </c>
      <c r="L8" s="558" t="s">
        <v>755</v>
      </c>
      <c r="M8" s="559">
        <v>-2.000115813406987E-3</v>
      </c>
      <c r="N8" s="559">
        <v>9.9168352307363958E-3</v>
      </c>
      <c r="O8" s="560">
        <v>2.4044787341808309</v>
      </c>
      <c r="P8" s="562">
        <v>0</v>
      </c>
      <c r="Q8" s="562">
        <v>1.2696581066036672E-3</v>
      </c>
      <c r="R8" s="561">
        <v>2.3180679485504752</v>
      </c>
      <c r="T8" s="2"/>
      <c r="U8" s="554" t="s">
        <v>755</v>
      </c>
      <c r="V8" s="555">
        <v>-1.0000570800000007E-3</v>
      </c>
      <c r="W8" s="555">
        <v>4.9212828594884525E-3</v>
      </c>
      <c r="X8" s="556">
        <v>2.2142294956070967</v>
      </c>
      <c r="Y8" s="557">
        <v>-1.0001726893497274E-4</v>
      </c>
      <c r="Z8" s="557">
        <v>4.9718920579575315E-4</v>
      </c>
      <c r="AA8" s="556">
        <v>2.193740076226097</v>
      </c>
      <c r="AC8" s="2" t="s">
        <v>755</v>
      </c>
      <c r="AD8">
        <v>-3.0001516574984211E-3</v>
      </c>
      <c r="AE8">
        <v>3.6365403602644664E-3</v>
      </c>
      <c r="AF8">
        <v>2.2364431806841063</v>
      </c>
      <c r="AG8">
        <v>-7.0011388039785784E-4</v>
      </c>
      <c r="AH8">
        <v>2.4696823070710847E-3</v>
      </c>
      <c r="AI8">
        <v>2.4439518794134178</v>
      </c>
      <c r="AK8" s="2"/>
      <c r="AL8" s="2" t="s">
        <v>755</v>
      </c>
      <c r="AM8">
        <v>6.1002920033934446E-3</v>
      </c>
      <c r="AN8">
        <v>2.5591488434186412E-3</v>
      </c>
      <c r="AO8">
        <v>2.268019264715786</v>
      </c>
      <c r="AP8">
        <v>-3.0005158651112533E-4</v>
      </c>
      <c r="AQ8">
        <v>3.0983203029425247E-4</v>
      </c>
      <c r="AR8">
        <v>2.1874188407714916</v>
      </c>
      <c r="AU8">
        <f>pyReport!E6</f>
        <v>1000</v>
      </c>
      <c r="AV8">
        <f>pyReport!F6</f>
        <v>-1.1000777709950168E-3</v>
      </c>
      <c r="AW8">
        <f>pyReport!G6</f>
        <v>5.5273673082465689E-3</v>
      </c>
      <c r="AX8">
        <f>pyReport!H6</f>
        <v>2.0343689767633339</v>
      </c>
      <c r="AY8">
        <f>pyReport!I6</f>
        <v>-1.0002059085974611E-4</v>
      </c>
      <c r="AZ8">
        <f>pyReport!J6</f>
        <v>5.528114598080798E-4</v>
      </c>
      <c r="BA8">
        <f>pyReport!K6</f>
        <v>2.034368976757627</v>
      </c>
    </row>
    <row r="9" spans="1:56" ht="15.75">
      <c r="A9" s="90" t="s">
        <v>709</v>
      </c>
      <c r="B9" s="2" t="s">
        <v>784</v>
      </c>
      <c r="C9" s="554">
        <v>53</v>
      </c>
      <c r="D9" s="555">
        <v>3.8312702713885258</v>
      </c>
      <c r="E9" s="555">
        <v>9.3189775214891274E-2</v>
      </c>
      <c r="F9" s="556">
        <v>2.454897394771173</v>
      </c>
      <c r="G9" s="557">
        <v>1.0002007000188887E-3</v>
      </c>
      <c r="H9" s="555">
        <v>9.3197265801968562E-3</v>
      </c>
      <c r="I9" s="556">
        <v>2.4474817422834705</v>
      </c>
      <c r="K9" t="s">
        <v>676</v>
      </c>
      <c r="L9" s="558">
        <v>53</v>
      </c>
      <c r="M9" s="559">
        <v>3.8322218984877865</v>
      </c>
      <c r="N9" s="559">
        <v>1.0188356511560991E-2</v>
      </c>
      <c r="O9" s="560">
        <v>2.2455724028446933</v>
      </c>
      <c r="P9" s="559">
        <v>8.3014582942382113E-3</v>
      </c>
      <c r="Q9" s="559">
        <v>1.5978883640538642E-2</v>
      </c>
      <c r="R9" s="561">
        <v>4.1962681250411578</v>
      </c>
      <c r="T9" s="2" t="s">
        <v>784</v>
      </c>
      <c r="U9" s="554">
        <v>53</v>
      </c>
      <c r="V9" s="555">
        <v>3.8122175889600025</v>
      </c>
      <c r="W9" s="555">
        <v>1.4746122829393967E-2</v>
      </c>
      <c r="X9" s="556">
        <v>2.2167617635189965</v>
      </c>
      <c r="Y9" s="555">
        <v>0</v>
      </c>
      <c r="Z9" s="555">
        <v>9.2740293890837197E-3</v>
      </c>
      <c r="AA9" s="556">
        <v>2.2170272574950296</v>
      </c>
      <c r="AC9" s="2">
        <v>53</v>
      </c>
      <c r="AD9">
        <v>3.8131927566804933</v>
      </c>
      <c r="AE9">
        <v>6.3240717489629859E-3</v>
      </c>
      <c r="AF9">
        <v>2.3410602114999155</v>
      </c>
      <c r="AG9">
        <v>0</v>
      </c>
      <c r="AH9">
        <v>1.0091324616682221E-2</v>
      </c>
      <c r="AI9">
        <v>1.9611651452236507</v>
      </c>
      <c r="AK9" s="2" t="s">
        <v>785</v>
      </c>
      <c r="AL9" s="2">
        <v>53</v>
      </c>
      <c r="AM9">
        <v>3.8141825739250157</v>
      </c>
      <c r="AN9">
        <v>6.1747320241102386E-3</v>
      </c>
      <c r="AO9">
        <v>2.4424855922885889</v>
      </c>
      <c r="AP9">
        <v>8.0013756402966749E-3</v>
      </c>
      <c r="AQ9">
        <v>1.2347856070786992E-2</v>
      </c>
      <c r="AR9">
        <v>2.4678393338258253</v>
      </c>
      <c r="AU9">
        <f>pyReport!E7</f>
        <v>53</v>
      </c>
      <c r="AV9">
        <f>pyReport!F7</f>
        <v>3.8512722691834629</v>
      </c>
      <c r="AW9">
        <f>pyReport!G7</f>
        <v>3.9484386600699195E-2</v>
      </c>
      <c r="AX9">
        <f>pyReport!H7</f>
        <v>2.0844792489271482</v>
      </c>
      <c r="AY9">
        <f>pyReport!I7</f>
        <v>5.0010295429872851E-3</v>
      </c>
      <c r="AZ9">
        <f>pyReport!J7</f>
        <v>3.9489763464648038E-3</v>
      </c>
      <c r="BA9">
        <f>pyReport!K7</f>
        <v>2.0844785564647941</v>
      </c>
    </row>
    <row r="10" spans="1:56" ht="15">
      <c r="A10" s="90" t="s">
        <v>710</v>
      </c>
      <c r="B10" s="2"/>
      <c r="C10" s="554">
        <v>400</v>
      </c>
      <c r="D10" s="555">
        <v>3.8262699186459148</v>
      </c>
      <c r="E10" s="555">
        <v>1.4191711247338151E-2</v>
      </c>
      <c r="F10" s="556">
        <v>2.18917473215605</v>
      </c>
      <c r="G10" s="557">
        <v>8.1016256701529985E-3</v>
      </c>
      <c r="H10" s="555">
        <v>1.5565105426545958E-3</v>
      </c>
      <c r="I10" s="556">
        <v>2.1794706046797665</v>
      </c>
      <c r="L10" s="558">
        <v>400</v>
      </c>
      <c r="M10" s="559">
        <v>3.8362221301146007</v>
      </c>
      <c r="N10" s="559">
        <v>9.9193730195802927E-3</v>
      </c>
      <c r="O10" s="560">
        <v>2.3996172622803447</v>
      </c>
      <c r="P10" s="563">
        <v>8.0014055848079135E-3</v>
      </c>
      <c r="Q10" s="562">
        <v>1.7230691357806585E-3</v>
      </c>
      <c r="R10" s="561">
        <v>2.4127706582611057</v>
      </c>
      <c r="T10" s="2"/>
      <c r="U10" s="554">
        <v>400</v>
      </c>
      <c r="V10" s="555">
        <v>3.8252183310000025</v>
      </c>
      <c r="W10" s="555">
        <v>6.906330348730139E-3</v>
      </c>
      <c r="X10" s="556">
        <v>2.1406500873960228</v>
      </c>
      <c r="Y10" s="554">
        <v>8.2014160526677638E-3</v>
      </c>
      <c r="Z10" s="557">
        <v>1.2349435312199951E-3</v>
      </c>
      <c r="AA10" s="556">
        <v>2.205814782152288</v>
      </c>
      <c r="AC10" s="2">
        <v>400</v>
      </c>
      <c r="AD10">
        <v>3.855094874830221</v>
      </c>
      <c r="AE10">
        <v>7.373357934043279E-3</v>
      </c>
      <c r="AF10">
        <v>2.2833706250253556</v>
      </c>
      <c r="AG10">
        <v>7.2011713412351089E-3</v>
      </c>
      <c r="AH10">
        <v>2.4697753979008334E-3</v>
      </c>
      <c r="AI10">
        <v>2.4411218260758578</v>
      </c>
      <c r="AK10" s="2"/>
      <c r="AL10" s="2">
        <v>400</v>
      </c>
      <c r="AM10">
        <v>3.8211829090108771</v>
      </c>
      <c r="AN10">
        <v>2.4917533515957085E-3</v>
      </c>
      <c r="AO10">
        <v>2.3476467046056406</v>
      </c>
      <c r="AP10">
        <v>7.901358444792967E-3</v>
      </c>
      <c r="AQ10">
        <v>3.1694867315551164E-4</v>
      </c>
      <c r="AR10">
        <v>2.1563368025369454</v>
      </c>
      <c r="AU10">
        <f>pyReport!E8</f>
        <v>400</v>
      </c>
      <c r="AV10">
        <f>pyReport!F8</f>
        <v>3.8600728913514248</v>
      </c>
      <c r="AW10">
        <f>pyReport!G8</f>
        <v>9.6671669188193744E-3</v>
      </c>
      <c r="AX10">
        <f>pyReport!H8</f>
        <v>2.063984687168201</v>
      </c>
      <c r="AY10">
        <f>pyReport!I8</f>
        <v>7.8016060870601638E-3</v>
      </c>
      <c r="AZ10">
        <f>pyReport!J8</f>
        <v>9.6686382046339047E-4</v>
      </c>
      <c r="BA10">
        <f>pyReport!K8</f>
        <v>2.063975266540349</v>
      </c>
    </row>
    <row r="11" spans="1:56" ht="15">
      <c r="A11" s="90" t="s">
        <v>711</v>
      </c>
      <c r="B11" s="2"/>
      <c r="C11" s="554" t="s">
        <v>755</v>
      </c>
      <c r="D11" s="555">
        <v>3.8472714001648805</v>
      </c>
      <c r="E11" s="555">
        <v>1.0322850112408074E-2</v>
      </c>
      <c r="F11" s="556">
        <v>2.2512712544956233</v>
      </c>
      <c r="G11" s="557">
        <v>7.8015654601473316E-3</v>
      </c>
      <c r="H11" s="555">
        <v>1.2601079772146776E-3</v>
      </c>
      <c r="I11" s="556">
        <v>2.3004865696857788</v>
      </c>
      <c r="L11" s="558" t="s">
        <v>755</v>
      </c>
      <c r="M11" s="559">
        <v>3.8312218405810836</v>
      </c>
      <c r="N11" s="559">
        <v>9.9176340425199318E-3</v>
      </c>
      <c r="O11" s="560">
        <v>2.4028969275627823</v>
      </c>
      <c r="P11" s="562">
        <v>7.7013528753776175E-3</v>
      </c>
      <c r="Q11" s="562">
        <v>1.2696603149349806E-3</v>
      </c>
      <c r="R11" s="561">
        <v>2.318057762748019</v>
      </c>
      <c r="T11" s="2"/>
      <c r="U11" s="554" t="s">
        <v>755</v>
      </c>
      <c r="V11" s="555">
        <v>3.8222181597600025</v>
      </c>
      <c r="W11" s="555">
        <v>8.0978363508734576E-3</v>
      </c>
      <c r="X11" s="556">
        <v>2.1808902431387693</v>
      </c>
      <c r="Y11" s="557">
        <v>7.4012779011879831E-3</v>
      </c>
      <c r="Z11" s="557">
        <v>4.9540943282289616E-4</v>
      </c>
      <c r="AA11" s="556">
        <v>2.1984796793895129</v>
      </c>
      <c r="AC11" s="2" t="s">
        <v>755</v>
      </c>
      <c r="AD11">
        <v>3.8601951326479687</v>
      </c>
      <c r="AE11">
        <v>6.4170145681499806E-3</v>
      </c>
      <c r="AF11">
        <v>2.2496525873639692</v>
      </c>
      <c r="AG11">
        <v>7.9012852216329664E-3</v>
      </c>
      <c r="AH11">
        <v>2.4696835089921217E-3</v>
      </c>
      <c r="AI11">
        <v>2.443907891225201</v>
      </c>
      <c r="AK11" s="2"/>
      <c r="AL11" s="2" t="s">
        <v>755</v>
      </c>
      <c r="AM11">
        <v>3.8312833924919056</v>
      </c>
      <c r="AN11">
        <v>2.9501057044146453E-3</v>
      </c>
      <c r="AO11">
        <v>2.182154103474522</v>
      </c>
      <c r="AP11">
        <v>7.5012896627781331E-3</v>
      </c>
      <c r="AQ11">
        <v>3.1079953490226588E-4</v>
      </c>
      <c r="AR11">
        <v>2.1820295706219959</v>
      </c>
      <c r="AU11">
        <f>pyReport!E9</f>
        <v>1000</v>
      </c>
      <c r="AV11">
        <f>pyReport!F9</f>
        <v>3.8581727570197053</v>
      </c>
      <c r="AW11">
        <f>pyReport!G9</f>
        <v>5.5285009139076071E-3</v>
      </c>
      <c r="AX11">
        <f>pyReport!H9</f>
        <v>2.034300756374595</v>
      </c>
      <c r="AY11">
        <f>pyReport!I9</f>
        <v>7.8016060870601603E-3</v>
      </c>
      <c r="AZ11">
        <f>pyReport!J9</f>
        <v>5.5295485112781073E-4</v>
      </c>
      <c r="BA11">
        <f>pyReport!K9</f>
        <v>2.034281092083273</v>
      </c>
    </row>
    <row r="12" spans="1:56" ht="15.75">
      <c r="A12" s="90" t="s">
        <v>718</v>
      </c>
      <c r="B12" s="2" t="s">
        <v>786</v>
      </c>
      <c r="C12" s="554">
        <v>53</v>
      </c>
      <c r="D12" s="555">
        <v>0.105079412674324</v>
      </c>
      <c r="E12" s="555">
        <v>9.3212691792046379E-5</v>
      </c>
      <c r="F12" s="556">
        <v>2.4338129827551058</v>
      </c>
      <c r="G12" s="557">
        <v>1.0002007000188886E-2</v>
      </c>
      <c r="H12" s="557">
        <v>9.3187785480177976E-3</v>
      </c>
      <c r="I12" s="556">
        <v>2.4607854110550367</v>
      </c>
      <c r="K12" t="s">
        <v>677</v>
      </c>
      <c r="L12" s="558">
        <v>53</v>
      </c>
      <c r="M12" s="564">
        <v>0.10447204928168714</v>
      </c>
      <c r="N12" s="564">
        <v>1.073032432630233E-5</v>
      </c>
      <c r="O12" s="560">
        <v>2.0447823095965112</v>
      </c>
      <c r="P12" s="559">
        <v>8.3014582942382113E-3</v>
      </c>
      <c r="Q12" s="559">
        <v>1.6287396025112574E-2</v>
      </c>
      <c r="R12" s="561">
        <v>4.3048039767403887</v>
      </c>
      <c r="T12" s="2" t="s">
        <v>786</v>
      </c>
      <c r="U12" s="554">
        <v>53</v>
      </c>
      <c r="V12" s="565">
        <v>0.10294804769440362</v>
      </c>
      <c r="W12" s="565">
        <v>1.5294582674155449E-5</v>
      </c>
      <c r="X12" s="556">
        <v>2.1344441571147379</v>
      </c>
      <c r="Y12" s="555">
        <v>3.0005180680491824E-3</v>
      </c>
      <c r="Z12" s="555">
        <v>9.3571608883410498E-3</v>
      </c>
      <c r="AA12" s="556">
        <v>2.1946421072082378</v>
      </c>
      <c r="AC12" s="2">
        <v>53</v>
      </c>
      <c r="AD12">
        <v>0.1020381580231788</v>
      </c>
      <c r="AE12">
        <v>1.3545652990298586E-4</v>
      </c>
      <c r="AF12">
        <v>2.4558370442444182</v>
      </c>
      <c r="AG12">
        <v>-7.0011388039785787E-3</v>
      </c>
      <c r="AH12">
        <v>1.0096382806619973E-2</v>
      </c>
      <c r="AI12">
        <v>1.9611629866490552</v>
      </c>
      <c r="AK12" s="2" t="s">
        <v>787</v>
      </c>
      <c r="AL12" s="2">
        <v>53</v>
      </c>
      <c r="AM12">
        <v>0.10139585352722373</v>
      </c>
      <c r="AN12">
        <v>2.1712386427779457E-4</v>
      </c>
      <c r="AO12">
        <v>2.4643865148752342</v>
      </c>
      <c r="AP12">
        <v>1.0001719550370844E-3</v>
      </c>
      <c r="AQ12">
        <v>1.2362735819687352E-2</v>
      </c>
      <c r="AR12">
        <v>2.4162566405483576</v>
      </c>
      <c r="AU12">
        <f>pyReport!E10</f>
        <v>53</v>
      </c>
      <c r="AV12">
        <f>pyReport!F10/1000</f>
        <v>0.10574847598434919</v>
      </c>
      <c r="AW12">
        <f>pyReport!G10/1000</f>
        <v>3.9936101174720171E-5</v>
      </c>
      <c r="AX12">
        <f>pyReport!H10</f>
        <v>2.076873602788786</v>
      </c>
      <c r="AY12">
        <f>pyReport!I10</f>
        <v>4.0008236343898277E-3</v>
      </c>
      <c r="AZ12">
        <f>pyReport!J10</f>
        <v>3.9621824113848028E-3</v>
      </c>
      <c r="BA12">
        <f>pyReport!K10</f>
        <v>2.082182661507312</v>
      </c>
    </row>
    <row r="13" spans="1:56" ht="15">
      <c r="A13" s="90" t="s">
        <v>719</v>
      </c>
      <c r="B13" s="2"/>
      <c r="C13" s="554">
        <v>400</v>
      </c>
      <c r="D13" s="555">
        <v>0.10512641599010453</v>
      </c>
      <c r="E13" s="555">
        <v>1.6957431502343223E-5</v>
      </c>
      <c r="F13" s="556">
        <v>2.0587229967224885</v>
      </c>
      <c r="G13" s="557">
        <v>7.3014651101378876E-3</v>
      </c>
      <c r="H13" s="557">
        <v>1.3093751023697049E-3</v>
      </c>
      <c r="I13" s="556">
        <v>2.2107603494644521</v>
      </c>
      <c r="L13" s="558">
        <v>400</v>
      </c>
      <c r="M13" s="564">
        <v>0.10453905316143627</v>
      </c>
      <c r="N13" s="564">
        <v>1.0165362543790265E-5</v>
      </c>
      <c r="O13" s="560">
        <v>2.0721842436224098</v>
      </c>
      <c r="P13" s="562">
        <v>9.0015812829089027E-3</v>
      </c>
      <c r="Q13" s="562">
        <v>1.7047616227449454E-3</v>
      </c>
      <c r="R13" s="561">
        <v>2.9892836118224193</v>
      </c>
      <c r="T13" s="2"/>
      <c r="U13" s="554">
        <v>400</v>
      </c>
      <c r="V13" s="565">
        <v>0.10295154912451392</v>
      </c>
      <c r="W13" s="565">
        <v>8.4941224070627984E-6</v>
      </c>
      <c r="X13" s="556">
        <v>2.1672634108616946</v>
      </c>
      <c r="Y13" s="554">
        <v>7.5012951701229555E-3</v>
      </c>
      <c r="Z13" s="557">
        <v>1.3173670971451752E-3</v>
      </c>
      <c r="AA13" s="556">
        <v>2.0968600675079965</v>
      </c>
      <c r="AC13" s="2">
        <v>400</v>
      </c>
      <c r="AD13">
        <v>0.10205445884718455</v>
      </c>
      <c r="AE13">
        <v>1.3530879666597145E-4</v>
      </c>
      <c r="AF13">
        <v>2.4579292124092911</v>
      </c>
      <c r="AG13">
        <v>7.8012689530047013E-3</v>
      </c>
      <c r="AH13">
        <v>2.471820251124004E-3</v>
      </c>
      <c r="AI13">
        <v>2.4130701000840347</v>
      </c>
      <c r="AK13" s="2"/>
      <c r="AL13" s="2">
        <v>400</v>
      </c>
      <c r="AM13">
        <v>0.10141285434100368</v>
      </c>
      <c r="AN13">
        <v>2.1960763834429322E-4</v>
      </c>
      <c r="AO13">
        <v>2.4653300668682334</v>
      </c>
      <c r="AP13">
        <v>8.4014444223115096E-3</v>
      </c>
      <c r="AQ13">
        <v>4.4976362352884211E-4</v>
      </c>
      <c r="AR13">
        <v>2.0551907888165895</v>
      </c>
      <c r="AU13">
        <f>pyReport!E11</f>
        <v>400</v>
      </c>
      <c r="AV13">
        <f>pyReport!F11/1000</f>
        <v>0.10576097686811051</v>
      </c>
      <c r="AW13">
        <f>pyReport!G11/1000</f>
        <v>1.1543057244879219E-5</v>
      </c>
      <c r="AX13">
        <f>pyReport!H11</f>
        <v>2.0130531966621938</v>
      </c>
      <c r="AY13">
        <f>pyReport!I11</f>
        <v>7.6015649053406712E-3</v>
      </c>
      <c r="AZ13">
        <f>pyReport!J11</f>
        <v>1.0240080580152459E-3</v>
      </c>
      <c r="BA13">
        <f>pyReport!K11</f>
        <v>2.042420762670174</v>
      </c>
    </row>
    <row r="14" spans="1:56" ht="15">
      <c r="A14" s="90" t="s">
        <v>720</v>
      </c>
      <c r="B14" s="2"/>
      <c r="C14" s="554" t="s">
        <v>755</v>
      </c>
      <c r="D14" s="555">
        <v>0.10511941549626487</v>
      </c>
      <c r="E14" s="555">
        <v>1.3996884331464708E-5</v>
      </c>
      <c r="F14" s="556">
        <v>2.0450844848001313</v>
      </c>
      <c r="G14" s="557">
        <v>8.0016056001511095E-3</v>
      </c>
      <c r="H14" s="557">
        <v>7.8530722497293401E-4</v>
      </c>
      <c r="I14" s="556">
        <v>2.0929677915213221</v>
      </c>
      <c r="L14" s="558" t="s">
        <v>755</v>
      </c>
      <c r="M14" s="564">
        <v>0.10454305339306309</v>
      </c>
      <c r="N14" s="564">
        <v>1.0156942945162977E-5</v>
      </c>
      <c r="O14" s="560">
        <v>2.0726939846730783</v>
      </c>
      <c r="P14" s="563">
        <v>7.3012825961372221E-3</v>
      </c>
      <c r="Q14" s="562">
        <v>7.6691710354425476E-4</v>
      </c>
      <c r="R14" s="561">
        <v>2.2592377103178434</v>
      </c>
      <c r="T14" s="2"/>
      <c r="U14" s="554" t="s">
        <v>755</v>
      </c>
      <c r="V14" s="565">
        <v>0.10295254953311685</v>
      </c>
      <c r="W14" s="565">
        <v>8.4941196583493254E-6</v>
      </c>
      <c r="X14" s="556">
        <v>2.1672639040901305</v>
      </c>
      <c r="Y14" s="554">
        <v>7.3012606322530108E-3</v>
      </c>
      <c r="Z14" s="557">
        <v>8.3262893626449949E-4</v>
      </c>
      <c r="AA14" s="556">
        <v>2.0779977228985915</v>
      </c>
      <c r="AC14" s="2" t="s">
        <v>755</v>
      </c>
      <c r="AD14">
        <v>0.10205705897862104</v>
      </c>
      <c r="AE14">
        <v>1.3604694529219529E-4</v>
      </c>
      <c r="AF14">
        <v>2.4580521646241236</v>
      </c>
      <c r="AG14">
        <v>7.5012201471199051E-3</v>
      </c>
      <c r="AH14">
        <v>2.471547892042496E-3</v>
      </c>
      <c r="AI14">
        <v>2.4158275868628074</v>
      </c>
      <c r="AK14" s="2"/>
      <c r="AL14" s="2" t="s">
        <v>755</v>
      </c>
      <c r="AM14">
        <v>0.10141195429792121</v>
      </c>
      <c r="AN14">
        <v>2.2105418753587682E-4</v>
      </c>
      <c r="AO14">
        <v>2.4653855179532269</v>
      </c>
      <c r="AP14">
        <v>7.5012896627781331E-3</v>
      </c>
      <c r="AQ14">
        <v>4.446463848033078E-4</v>
      </c>
      <c r="AR14">
        <v>2.0603195930122862</v>
      </c>
      <c r="AU14">
        <f>pyReport!E12</f>
        <v>1000</v>
      </c>
      <c r="AV14">
        <f>pyReport!F12/1000</f>
        <v>0.1057673773205963</v>
      </c>
      <c r="AW14">
        <f>pyReport!G12/1000</f>
        <v>8.5502744503667699E-6</v>
      </c>
      <c r="AX14">
        <f>pyReport!H12</f>
        <v>1.9970261903802351</v>
      </c>
      <c r="AY14">
        <f>pyReport!I12</f>
        <v>7.2014825419016871E-3</v>
      </c>
      <c r="AZ14">
        <f>pyReport!J12</f>
        <v>6.5656329226582741E-4</v>
      </c>
      <c r="BA14">
        <f>pyReport!K12</f>
        <v>2.0182114650357121</v>
      </c>
    </row>
    <row r="15" spans="1:56" ht="15.75">
      <c r="A15" s="90" t="s">
        <v>721</v>
      </c>
      <c r="B15" s="2" t="s">
        <v>788</v>
      </c>
      <c r="C15" s="554">
        <v>53</v>
      </c>
      <c r="D15" s="555">
        <v>0.98805670102279719</v>
      </c>
      <c r="E15" s="555">
        <v>1.3294809627579203E-4</v>
      </c>
      <c r="F15" s="556">
        <v>2.048464814482696</v>
      </c>
      <c r="G15" s="557">
        <v>2.0004014000377774E-3</v>
      </c>
      <c r="H15" s="555">
        <v>9.4590106603537755E-3</v>
      </c>
      <c r="I15" s="556">
        <v>2.3105975570330854</v>
      </c>
      <c r="K15" t="s">
        <v>678</v>
      </c>
      <c r="L15" s="558">
        <v>53</v>
      </c>
      <c r="M15" s="566">
        <v>0.98790920325285947</v>
      </c>
      <c r="N15" s="566">
        <v>1.0390541722119293E-4</v>
      </c>
      <c r="O15" s="560">
        <v>2.0515211325975122</v>
      </c>
      <c r="P15" s="559">
        <v>7.0012298867069252E-3</v>
      </c>
      <c r="Q15" s="559">
        <v>1.5971463960407929E-2</v>
      </c>
      <c r="R15" s="561">
        <v>4.1937471056989892</v>
      </c>
      <c r="T15" s="2" t="s">
        <v>788</v>
      </c>
      <c r="U15" s="554">
        <v>53</v>
      </c>
      <c r="V15" s="567">
        <v>0.9874462120176416</v>
      </c>
      <c r="W15" s="567">
        <v>8.0382176901512662E-5</v>
      </c>
      <c r="X15" s="556">
        <v>2.333523517185577</v>
      </c>
      <c r="Y15" s="555">
        <v>0</v>
      </c>
      <c r="Z15" s="555">
        <v>1.0636297807295103E-2</v>
      </c>
      <c r="AA15" s="556">
        <v>2.0752109841666817</v>
      </c>
      <c r="AC15" s="2">
        <v>53</v>
      </c>
      <c r="AD15">
        <v>0.98737591179709538</v>
      </c>
      <c r="AE15">
        <v>7.1302014592423464E-5</v>
      </c>
      <c r="AF15">
        <v>2.0948421718263104</v>
      </c>
      <c r="AG15">
        <v>-5.0008134314132703E-3</v>
      </c>
      <c r="AH15">
        <v>1.0562436162163982E-2</v>
      </c>
      <c r="AI15">
        <v>1.9623277601804943</v>
      </c>
      <c r="AK15" s="2" t="s">
        <v>789</v>
      </c>
      <c r="AL15" s="2">
        <v>53</v>
      </c>
      <c r="AM15">
        <v>0.98718825385603404</v>
      </c>
      <c r="AN15">
        <v>7.1115054020929236E-5</v>
      </c>
      <c r="AO15">
        <v>2.0954456350818962</v>
      </c>
      <c r="AP15">
        <v>3.0005158651112535E-3</v>
      </c>
      <c r="AQ15">
        <v>1.2424703332297449E-2</v>
      </c>
      <c r="AR15">
        <v>2.3552327042238987</v>
      </c>
      <c r="AU15">
        <f>pyReport!E15</f>
        <v>53</v>
      </c>
      <c r="AV15">
        <f>pyReport!F15</f>
        <v>0.98816685935169368</v>
      </c>
      <c r="AW15">
        <f>pyReport!G15</f>
        <v>8.8725559230234279E-5</v>
      </c>
      <c r="AX15">
        <f>pyReport!H15</f>
        <v>2.032673279756092</v>
      </c>
      <c r="AY15">
        <f>pyReport!I15</f>
        <v>8.0016472687796502E-3</v>
      </c>
      <c r="AZ15">
        <f>pyReport!J15</f>
        <v>5.1685054849873058E-3</v>
      </c>
      <c r="BA15">
        <f>pyReport!K15</f>
        <v>2.046015598179503</v>
      </c>
    </row>
    <row r="16" spans="1:56" ht="15">
      <c r="A16" s="90" t="s">
        <v>722</v>
      </c>
      <c r="B16" s="2"/>
      <c r="C16" s="554">
        <v>400</v>
      </c>
      <c r="D16" s="555">
        <v>0.98806370151663669</v>
      </c>
      <c r="E16" s="555">
        <v>1.0853771429215519E-4</v>
      </c>
      <c r="F16" s="556">
        <v>2.0463376808009466</v>
      </c>
      <c r="G16" s="557">
        <v>5.4010837801019987E-3</v>
      </c>
      <c r="H16" s="555">
        <v>3.5263713914005851E-3</v>
      </c>
      <c r="I16" s="556">
        <v>2.1192125048247124</v>
      </c>
      <c r="L16" s="558">
        <v>400</v>
      </c>
      <c r="M16" s="566">
        <v>0.98790620307913934</v>
      </c>
      <c r="N16" s="566">
        <v>1.0384736225830839E-4</v>
      </c>
      <c r="O16" s="560">
        <v>2.0517782373420035</v>
      </c>
      <c r="P16" s="562">
        <v>6.001054188605936E-3</v>
      </c>
      <c r="Q16" s="562">
        <v>1.6655867547403561E-3</v>
      </c>
      <c r="R16" s="561">
        <v>2.3232812676394929</v>
      </c>
      <c r="T16" s="2"/>
      <c r="U16" s="554">
        <v>400</v>
      </c>
      <c r="V16" s="567">
        <v>0.98744921200917146</v>
      </c>
      <c r="W16" s="567">
        <v>8.119532864094696E-5</v>
      </c>
      <c r="X16" s="556">
        <v>2.3673304765015137</v>
      </c>
      <c r="Y16" s="555">
        <v>6.1010534050333371E-3</v>
      </c>
      <c r="Z16" s="555">
        <v>7.3492188485372008E-3</v>
      </c>
      <c r="AA16" s="556">
        <v>2.143376110811352</v>
      </c>
      <c r="AC16" s="2">
        <v>400</v>
      </c>
      <c r="AD16">
        <v>0.98737831191842129</v>
      </c>
      <c r="AE16">
        <v>7.0981818338084312E-5</v>
      </c>
      <c r="AF16">
        <v>2.096613102396863</v>
      </c>
      <c r="AG16">
        <v>5.6009110431828628E-3</v>
      </c>
      <c r="AH16">
        <v>3.9214061664189295E-3</v>
      </c>
      <c r="AI16">
        <v>2.0910997784686036</v>
      </c>
      <c r="AK16" s="2"/>
      <c r="AL16" s="2">
        <v>400</v>
      </c>
      <c r="AM16">
        <v>0.98719325409538117</v>
      </c>
      <c r="AN16">
        <v>7.0833042872067961E-5</v>
      </c>
      <c r="AO16">
        <v>2.0971589217170417</v>
      </c>
      <c r="AP16">
        <v>6.001031730222507E-3</v>
      </c>
      <c r="AQ16">
        <v>3.4102560730420906E-3</v>
      </c>
      <c r="AR16">
        <v>2.149600396535126</v>
      </c>
      <c r="AU16">
        <f>pyReport!E16</f>
        <v>400</v>
      </c>
      <c r="AV16">
        <f>pyReport!F16</f>
        <v>0.98816635931634345</v>
      </c>
      <c r="AW16">
        <f>pyReport!G16</f>
        <v>8.1675210969494078E-5</v>
      </c>
      <c r="AX16">
        <f>pyReport!H16</f>
        <v>2.0623411550593911</v>
      </c>
      <c r="AY16">
        <f>pyReport!I16</f>
        <v>5.801194269865249E-3</v>
      </c>
      <c r="AZ16">
        <f>pyReport!J16</f>
        <v>3.7955292984738751E-3</v>
      </c>
      <c r="BA16">
        <f>pyReport!K16</f>
        <v>2.187105446339344</v>
      </c>
    </row>
    <row r="17" spans="1:53" ht="15">
      <c r="A17" s="90" t="s">
        <v>723</v>
      </c>
      <c r="B17" s="2"/>
      <c r="C17" s="554" t="s">
        <v>755</v>
      </c>
      <c r="D17" s="555">
        <v>0.9880457002467633</v>
      </c>
      <c r="E17" s="555">
        <v>1.0819874295228952E-4</v>
      </c>
      <c r="F17" s="556">
        <v>2.0476407387398754</v>
      </c>
      <c r="G17" s="557">
        <v>5.6011239201057767E-3</v>
      </c>
      <c r="H17" s="555">
        <v>3.42926948571836E-3</v>
      </c>
      <c r="I17" s="556">
        <v>2.1437929059074747</v>
      </c>
      <c r="L17" s="558" t="s">
        <v>755</v>
      </c>
      <c r="M17" s="566">
        <v>0.98789320232635225</v>
      </c>
      <c r="N17" s="566">
        <v>1.0384494955129747E-4</v>
      </c>
      <c r="O17" s="560">
        <v>2.0517821006930346</v>
      </c>
      <c r="P17" s="562">
        <v>5.2009136301251445E-3</v>
      </c>
      <c r="Q17" s="562">
        <v>1.1604210541228648E-3</v>
      </c>
      <c r="R17" s="561">
        <v>2.1048017888771096</v>
      </c>
      <c r="T17" s="2"/>
      <c r="U17" s="554" t="s">
        <v>755</v>
      </c>
      <c r="V17" s="567">
        <v>0.98744921200917146</v>
      </c>
      <c r="W17" s="567">
        <v>8.1195246311796166E-5</v>
      </c>
      <c r="X17" s="556">
        <v>2.3673304487551148</v>
      </c>
      <c r="Y17" s="555">
        <v>5.4009325224885279E-3</v>
      </c>
      <c r="Z17" s="555">
        <v>7.3287672928966634E-3</v>
      </c>
      <c r="AA17" s="556">
        <v>2.1515482977230103</v>
      </c>
      <c r="AC17" s="2" t="s">
        <v>755</v>
      </c>
      <c r="AD17">
        <v>0.98736491124101788</v>
      </c>
      <c r="AE17">
        <v>6.9917013754486606E-5</v>
      </c>
      <c r="AF17">
        <v>2.0999187974227138</v>
      </c>
      <c r="AG17">
        <v>5.0008134314132703E-3</v>
      </c>
      <c r="AH17">
        <v>3.9213735349340724E-3</v>
      </c>
      <c r="AI17">
        <v>2.091099671106714</v>
      </c>
      <c r="AK17" s="2"/>
      <c r="AL17" s="2" t="s">
        <v>755</v>
      </c>
      <c r="AM17">
        <v>0.98719435414803758</v>
      </c>
      <c r="AN17">
        <v>7.0650913408379975E-5</v>
      </c>
      <c r="AO17">
        <v>2.0976641321477398</v>
      </c>
      <c r="AP17">
        <v>5.4009285572002566E-3</v>
      </c>
      <c r="AQ17">
        <v>3.411454715233709E-3</v>
      </c>
      <c r="AR17">
        <v>2.1491479085586453</v>
      </c>
      <c r="AU17">
        <f>pyReport!E17</f>
        <v>1000</v>
      </c>
      <c r="AV17">
        <f>pyReport!F17</f>
        <v>0.9881611589486986</v>
      </c>
      <c r="AW17">
        <f>pyReport!G17</f>
        <v>8.1374241599982205E-5</v>
      </c>
      <c r="AX17">
        <f>pyReport!H17</f>
        <v>2.0643458212524011</v>
      </c>
      <c r="AY17">
        <f>pyReport!I17</f>
        <v>5.401111906426264E-3</v>
      </c>
      <c r="AZ17">
        <f>pyReport!J17</f>
        <v>3.7463887079120643E-3</v>
      </c>
      <c r="BA17">
        <f>pyReport!K17</f>
        <v>2.2129305363568279</v>
      </c>
    </row>
    <row r="18" spans="1:53" ht="15.75">
      <c r="A18" s="90" t="s">
        <v>724</v>
      </c>
      <c r="B18" s="2" t="s">
        <v>790</v>
      </c>
      <c r="C18" s="554">
        <v>53</v>
      </c>
      <c r="D18" s="555">
        <v>9.9137893538498769</v>
      </c>
      <c r="E18" s="555">
        <v>1.3301721501168371E-3</v>
      </c>
      <c r="F18" s="556">
        <v>2.0488771523373699</v>
      </c>
      <c r="G18" s="557">
        <v>2.0004014000377771E-2</v>
      </c>
      <c r="H18" s="555">
        <v>9.459878912365248E-2</v>
      </c>
      <c r="I18" s="556">
        <v>2.31033768638473</v>
      </c>
      <c r="K18" t="s">
        <v>791</v>
      </c>
      <c r="L18" s="558">
        <v>53</v>
      </c>
      <c r="M18" s="562">
        <v>9.9129739944077073</v>
      </c>
      <c r="N18" s="562">
        <v>1.0424466322547768E-3</v>
      </c>
      <c r="O18" s="560">
        <v>2.051596746989516</v>
      </c>
      <c r="P18" s="568">
        <v>-4.0007027924039568E-2</v>
      </c>
      <c r="Q18" s="568">
        <v>0.15984915351888396</v>
      </c>
      <c r="R18" s="561">
        <v>4.1984840531437744</v>
      </c>
      <c r="T18" s="2" t="s">
        <v>790</v>
      </c>
      <c r="U18" s="554">
        <v>53</v>
      </c>
      <c r="V18" s="557">
        <v>9.9106990742996999</v>
      </c>
      <c r="W18" s="557">
        <v>9.6578680953760909E-4</v>
      </c>
      <c r="X18" s="556">
        <v>2.1061604319904506</v>
      </c>
      <c r="Y18" s="569">
        <v>0.13702365844091263</v>
      </c>
      <c r="Z18" s="569">
        <v>0.11620204564378042</v>
      </c>
      <c r="AA18" s="556">
        <v>2.042471687336735</v>
      </c>
      <c r="AC18" s="2">
        <v>53</v>
      </c>
      <c r="AD18">
        <v>9.9122510637366563</v>
      </c>
      <c r="AE18">
        <v>6.525495322046588E-4</v>
      </c>
      <c r="AF18">
        <v>2.1419460879169705</v>
      </c>
      <c r="AG18">
        <v>-0.18002928353087774</v>
      </c>
      <c r="AH18">
        <v>0.10566082158711818</v>
      </c>
      <c r="AI18">
        <v>1.9623458422830391</v>
      </c>
      <c r="AK18" s="2" t="s">
        <v>792</v>
      </c>
      <c r="AL18" s="2">
        <v>53</v>
      </c>
      <c r="AM18">
        <v>9.9117344461562791</v>
      </c>
      <c r="AN18">
        <v>6.552764059166062E-4</v>
      </c>
      <c r="AO18">
        <v>2.1374736736686093</v>
      </c>
      <c r="AP18">
        <v>-0.10001719550370845</v>
      </c>
      <c r="AQ18">
        <v>0.12412257114743404</v>
      </c>
      <c r="AR18">
        <v>2.3645571523188775</v>
      </c>
      <c r="AU18">
        <f>pyReport!E18</f>
        <v>53</v>
      </c>
      <c r="AV18">
        <f>pyReport!F18</f>
        <v>9.913030810697304</v>
      </c>
      <c r="AW18">
        <f>pyReport!G18</f>
        <v>8.8958958103422517E-4</v>
      </c>
      <c r="AX18">
        <f>pyReport!H18</f>
        <v>2.0327975839106638</v>
      </c>
      <c r="AY18">
        <f>pyReport!I18</f>
        <v>4.0008236343898239E-2</v>
      </c>
      <c r="AZ18">
        <f>pyReport!J18</f>
        <v>5.1759247735721728E-2</v>
      </c>
      <c r="BA18">
        <f>pyReport!K18</f>
        <v>2.0461461644718208</v>
      </c>
    </row>
    <row r="19" spans="1:53" ht="15">
      <c r="A19" s="90" t="s">
        <v>725</v>
      </c>
      <c r="B19" s="2"/>
      <c r="C19" s="554">
        <v>400</v>
      </c>
      <c r="D19" s="555">
        <v>9.9137703525094558</v>
      </c>
      <c r="E19" s="555">
        <v>1.0864186996645624E-3</v>
      </c>
      <c r="F19" s="556">
        <v>2.0473503445180388</v>
      </c>
      <c r="G19" s="557">
        <v>4.0008028000755548E-3</v>
      </c>
      <c r="H19" s="555">
        <v>3.5329843366005448E-2</v>
      </c>
      <c r="I19" s="556">
        <v>2.1205900476010155</v>
      </c>
      <c r="L19" s="558">
        <v>400</v>
      </c>
      <c r="M19" s="562">
        <v>9.913005996260722</v>
      </c>
      <c r="N19" s="562">
        <v>1.0418734923354123E-3</v>
      </c>
      <c r="O19" s="560">
        <v>2.0518524156796829</v>
      </c>
      <c r="P19" s="563">
        <v>5.000878490504946E-3</v>
      </c>
      <c r="Q19" s="559">
        <v>1.6624696929605817E-2</v>
      </c>
      <c r="R19" s="561">
        <v>2.3379364103923703</v>
      </c>
      <c r="T19" s="2"/>
      <c r="U19" s="554">
        <v>400</v>
      </c>
      <c r="V19" s="557">
        <v>9.9106970743745499</v>
      </c>
      <c r="W19" s="557">
        <v>9.6955268041587657E-4</v>
      </c>
      <c r="X19" s="556">
        <v>2.1123817639600979</v>
      </c>
      <c r="Y19" s="554">
        <v>7.001208825448091E-3</v>
      </c>
      <c r="Z19" s="569">
        <v>7.3761139742429038E-2</v>
      </c>
      <c r="AA19" s="556">
        <v>2.1434628919763861</v>
      </c>
      <c r="AC19" s="2">
        <v>400</v>
      </c>
      <c r="AD19">
        <v>9.9124140719767144</v>
      </c>
      <c r="AE19">
        <v>6.5478878362396E-4</v>
      </c>
      <c r="AF19">
        <v>2.1384975482149673</v>
      </c>
      <c r="AG19">
        <v>3.000488058847962E-3</v>
      </c>
      <c r="AH19">
        <v>3.9321653216191535E-2</v>
      </c>
      <c r="AI19">
        <v>2.0911777717445643</v>
      </c>
      <c r="AK19" s="2"/>
      <c r="AL19" s="2">
        <v>400</v>
      </c>
      <c r="AM19">
        <v>9.9117304459648015</v>
      </c>
      <c r="AN19">
        <v>6.5467178026647243E-4</v>
      </c>
      <c r="AO19">
        <v>2.1386656332278404</v>
      </c>
      <c r="AP19">
        <v>6.001031730222507E-3</v>
      </c>
      <c r="AQ19">
        <v>3.4230117438679049E-2</v>
      </c>
      <c r="AR19">
        <v>2.1499801905920806</v>
      </c>
      <c r="AU19">
        <f>pyReport!E19</f>
        <v>400</v>
      </c>
      <c r="AV19">
        <f>pyReport!F19</f>
        <v>9.912978807020858</v>
      </c>
      <c r="AW19">
        <f>pyReport!G19</f>
        <v>8.1931042799358107E-4</v>
      </c>
      <c r="AX19">
        <f>pyReport!H19</f>
        <v>2.0623621750471179</v>
      </c>
      <c r="AY19">
        <f>pyReport!I19</f>
        <v>5.0010295429872825E-3</v>
      </c>
      <c r="AZ19">
        <f>pyReport!J19</f>
        <v>3.8070145745737388E-2</v>
      </c>
      <c r="BA19">
        <f>pyReport!K19</f>
        <v>2.1873546603388592</v>
      </c>
    </row>
    <row r="20" spans="1:53" ht="15">
      <c r="A20" s="90" t="s">
        <v>726</v>
      </c>
      <c r="B20" s="2"/>
      <c r="C20" s="554" t="s">
        <v>755</v>
      </c>
      <c r="D20" s="555">
        <v>9.913637343126501</v>
      </c>
      <c r="E20" s="555">
        <v>1.083041859335662E-3</v>
      </c>
      <c r="F20" s="556">
        <v>2.0486684116034093</v>
      </c>
      <c r="G20" s="557">
        <v>7.0014049001322206E-3</v>
      </c>
      <c r="H20" s="555">
        <v>3.4363695765442508E-2</v>
      </c>
      <c r="I20" s="556">
        <v>2.1453797983810055</v>
      </c>
      <c r="L20" s="558" t="s">
        <v>755</v>
      </c>
      <c r="M20" s="562">
        <v>9.913033997882108</v>
      </c>
      <c r="N20" s="562">
        <v>1.041866729144513E-3</v>
      </c>
      <c r="O20" s="560">
        <v>2.0518562619758147</v>
      </c>
      <c r="P20" s="563">
        <v>3.000527094302968E-3</v>
      </c>
      <c r="Q20" s="559">
        <v>1.1499123337948102E-2</v>
      </c>
      <c r="R20" s="561">
        <v>2.1148614177193279</v>
      </c>
      <c r="T20" s="2"/>
      <c r="U20" s="554" t="s">
        <v>755</v>
      </c>
      <c r="V20" s="557">
        <v>9.9106570758715655</v>
      </c>
      <c r="W20" s="557">
        <v>9.6994829085030303E-4</v>
      </c>
      <c r="X20" s="556">
        <v>2.1120309966593083</v>
      </c>
      <c r="Y20" s="554">
        <v>4.0006907573989095E-3</v>
      </c>
      <c r="Z20" s="569">
        <v>7.3557594478088448E-2</v>
      </c>
      <c r="AA20" s="556">
        <v>2.1515756664648023</v>
      </c>
      <c r="AC20" s="2" t="s">
        <v>755</v>
      </c>
      <c r="AD20">
        <v>9.9123990712184273</v>
      </c>
      <c r="AE20">
        <v>6.5529127517057958E-4</v>
      </c>
      <c r="AF20">
        <v>2.1377192220097609</v>
      </c>
      <c r="AG20">
        <v>1.0001626862826542E-3</v>
      </c>
      <c r="AH20">
        <v>3.9326400321867287E-2</v>
      </c>
      <c r="AI20">
        <v>2.0910874843422858</v>
      </c>
      <c r="AK20" s="2"/>
      <c r="AL20" s="2" t="s">
        <v>755</v>
      </c>
      <c r="AM20">
        <v>9.9116944442415029</v>
      </c>
      <c r="AN20">
        <v>6.5432038509814208E-4</v>
      </c>
      <c r="AO20">
        <v>2.1392119924220814</v>
      </c>
      <c r="AP20">
        <v>6.001031730222507E-3</v>
      </c>
      <c r="AQ20">
        <v>3.4229980044675569E-2</v>
      </c>
      <c r="AR20">
        <v>2.1499801621980352</v>
      </c>
      <c r="AU20">
        <f>pyReport!E20</f>
        <v>1000</v>
      </c>
      <c r="AV20">
        <f>pyReport!F20</f>
        <v>9.9128377970520294</v>
      </c>
      <c r="AW20">
        <f>pyReport!G20</f>
        <v>8.1630356162688377E-4</v>
      </c>
      <c r="AX20">
        <f>pyReport!H20</f>
        <v>2.0643523323224611</v>
      </c>
      <c r="AY20">
        <f>pyReport!I20</f>
        <v>4.000823634389826E-3</v>
      </c>
      <c r="AZ20">
        <f>pyReport!J20</f>
        <v>3.7580770178262252E-2</v>
      </c>
      <c r="BA20">
        <f>pyReport!K20</f>
        <v>2.213021896018815</v>
      </c>
    </row>
    <row r="21" spans="1:53" ht="15.75">
      <c r="A21" s="90" t="s">
        <v>727</v>
      </c>
      <c r="B21" s="2" t="s">
        <v>793</v>
      </c>
      <c r="C21" s="554">
        <v>53</v>
      </c>
      <c r="D21" s="555">
        <v>100.03668694257213</v>
      </c>
      <c r="E21" s="555">
        <v>1.1775777308650126E-2</v>
      </c>
      <c r="F21" s="556">
        <v>2.0993861171555226</v>
      </c>
      <c r="G21" s="557">
        <v>0.20004014000377773</v>
      </c>
      <c r="H21" s="555">
        <v>0.94645681054301356</v>
      </c>
      <c r="I21" s="556">
        <v>2.308331439091805</v>
      </c>
      <c r="K21" t="s">
        <v>680</v>
      </c>
      <c r="L21" s="558">
        <v>53</v>
      </c>
      <c r="M21" s="559">
        <v>100.03579240755045</v>
      </c>
      <c r="N21" s="559">
        <v>8.8059083261186402E-3</v>
      </c>
      <c r="O21" s="560">
        <v>2.1233947319278905</v>
      </c>
      <c r="P21" s="570">
        <v>0.30005270943029683</v>
      </c>
      <c r="Q21" s="570">
        <v>1.5977651245011155</v>
      </c>
      <c r="R21" s="561">
        <v>4.195923386642507</v>
      </c>
      <c r="T21" s="2" t="s">
        <v>793</v>
      </c>
      <c r="U21" s="554">
        <v>53</v>
      </c>
      <c r="V21" s="555">
        <v>100.03360959253207</v>
      </c>
      <c r="W21" s="555">
        <v>8.533908270006706E-3</v>
      </c>
      <c r="X21" s="556">
        <v>2.2116087584771824</v>
      </c>
      <c r="Y21" s="569">
        <v>0.41007080263338824</v>
      </c>
      <c r="Z21" s="569">
        <v>1.0676737269584375</v>
      </c>
      <c r="AA21" s="556">
        <v>2.0748382866277906</v>
      </c>
      <c r="AC21" s="2">
        <v>53</v>
      </c>
      <c r="AD21">
        <v>100.01357568065467</v>
      </c>
      <c r="AE21">
        <v>1.3870492098320677E-3</v>
      </c>
      <c r="AF21">
        <v>2.0438492623549878</v>
      </c>
      <c r="AG21">
        <v>0</v>
      </c>
      <c r="AH21">
        <v>0.53179876040149909</v>
      </c>
      <c r="AI21">
        <v>1.9683857645082399</v>
      </c>
      <c r="AK21" s="2" t="s">
        <v>794</v>
      </c>
      <c r="AL21" s="2">
        <v>53</v>
      </c>
      <c r="AM21">
        <v>100.01213729271629</v>
      </c>
      <c r="AN21">
        <v>1.3616853127709483E-3</v>
      </c>
      <c r="AO21">
        <v>2.050577325068673</v>
      </c>
      <c r="AP21">
        <v>0.20003439100741696</v>
      </c>
      <c r="AQ21">
        <v>0.61736848188076732</v>
      </c>
      <c r="AR21">
        <v>2.4606184792691721</v>
      </c>
      <c r="AU21">
        <f>pyReport!E21</f>
        <v>53</v>
      </c>
      <c r="AV21">
        <f>pyReport!F21</f>
        <v>100.03927236702521</v>
      </c>
      <c r="AW21">
        <f>pyReport!G21</f>
        <v>4.9243923412098474E-3</v>
      </c>
      <c r="AX21">
        <f>pyReport!H21</f>
        <v>2.0329838111014271</v>
      </c>
      <c r="AY21">
        <f>pyReport!I21</f>
        <v>-0.1000205908597456</v>
      </c>
      <c r="AZ21">
        <f>pyReport!J21</f>
        <v>0.51976227207997217</v>
      </c>
      <c r="BA21">
        <f>pyReport!K21</f>
        <v>2.0465322645267481</v>
      </c>
    </row>
    <row r="22" spans="1:53" ht="15">
      <c r="A22" s="90" t="s">
        <v>728</v>
      </c>
      <c r="B22" s="2"/>
      <c r="C22" s="554">
        <v>400</v>
      </c>
      <c r="D22" s="555">
        <v>100.03664693975018</v>
      </c>
      <c r="E22" s="555">
        <v>8.8537872689248478E-3</v>
      </c>
      <c r="F22" s="556">
        <v>2.1181157134150861</v>
      </c>
      <c r="G22" s="557">
        <v>6.0012042001133317E-2</v>
      </c>
      <c r="H22" s="555">
        <v>0.35627586085908713</v>
      </c>
      <c r="I22" s="556">
        <v>2.1210238562243977</v>
      </c>
      <c r="L22" s="558">
        <v>400</v>
      </c>
      <c r="M22" s="559">
        <v>100.03579240755045</v>
      </c>
      <c r="N22" s="559">
        <v>8.7998741896239217E-3</v>
      </c>
      <c r="O22" s="560">
        <v>2.1241003930150244</v>
      </c>
      <c r="P22" s="568">
        <v>4.0007027924039568E-2</v>
      </c>
      <c r="Q22" s="568">
        <v>0.16658012000687741</v>
      </c>
      <c r="R22" s="561">
        <v>2.3322462697601249</v>
      </c>
      <c r="T22" s="2"/>
      <c r="U22" s="554">
        <v>400</v>
      </c>
      <c r="V22" s="555">
        <v>100.03360959253207</v>
      </c>
      <c r="W22" s="555">
        <v>8.5955277313432589E-3</v>
      </c>
      <c r="X22" s="556">
        <v>2.2279141521173127</v>
      </c>
      <c r="Y22" s="569">
        <v>6.0010361360983637E-2</v>
      </c>
      <c r="Z22" s="569">
        <v>0.74437463393940129</v>
      </c>
      <c r="AA22" s="556">
        <v>2.143655354188895</v>
      </c>
      <c r="AC22" s="2">
        <v>400</v>
      </c>
      <c r="AD22">
        <v>100.01318566093919</v>
      </c>
      <c r="AE22">
        <v>1.3722504246262569E-3</v>
      </c>
      <c r="AF22">
        <v>2.0478493645002405</v>
      </c>
      <c r="AG22">
        <v>4.0006507451306163E-2</v>
      </c>
      <c r="AH22">
        <v>0.24701135720259773</v>
      </c>
      <c r="AI22">
        <v>2.4335304966287157</v>
      </c>
      <c r="AK22" s="2"/>
      <c r="AL22" s="2">
        <v>400</v>
      </c>
      <c r="AM22">
        <v>100.0124873094706</v>
      </c>
      <c r="AN22">
        <v>1.3669422048932381E-3</v>
      </c>
      <c r="AO22">
        <v>2.0490166970742996</v>
      </c>
      <c r="AP22">
        <v>6.0010317302225065E-2</v>
      </c>
      <c r="AQ22">
        <v>3.6037474167874235E-2</v>
      </c>
      <c r="AR22">
        <v>2.0784545905213196</v>
      </c>
      <c r="AU22">
        <f>pyReport!E22</f>
        <v>400</v>
      </c>
      <c r="AV22">
        <f>pyReport!F22</f>
        <v>100.0392223634902</v>
      </c>
      <c r="AW22">
        <f>pyReport!G22</f>
        <v>3.349632946369841E-3</v>
      </c>
      <c r="AX22">
        <f>pyReport!H22</f>
        <v>2.118970880231974</v>
      </c>
      <c r="AY22">
        <f>pyReport!I22</f>
        <v>5.0010295429872849E-2</v>
      </c>
      <c r="AZ22">
        <f>pyReport!J22</f>
        <v>0.38404918916042463</v>
      </c>
      <c r="BA22">
        <f>pyReport!K22</f>
        <v>2.188017328079507</v>
      </c>
    </row>
    <row r="23" spans="1:53" ht="15.75" thickBot="1">
      <c r="A23" s="90" t="s">
        <v>729</v>
      </c>
      <c r="B23" s="2"/>
      <c r="C23" s="554" t="s">
        <v>795</v>
      </c>
      <c r="D23" s="555">
        <v>100.03666694116116</v>
      </c>
      <c r="E23" s="555">
        <v>8.8170285725435466E-3</v>
      </c>
      <c r="F23" s="556">
        <v>2.1221121413701569</v>
      </c>
      <c r="G23" s="557">
        <v>6.0012042001133317E-2</v>
      </c>
      <c r="H23" s="555">
        <v>0.3467187943589698</v>
      </c>
      <c r="I23" s="556">
        <v>2.145513813926037</v>
      </c>
      <c r="L23" s="571" t="s">
        <v>755</v>
      </c>
      <c r="M23" s="572">
        <v>100.03551239133657</v>
      </c>
      <c r="N23" s="572">
        <v>8.7997590107029913E-3</v>
      </c>
      <c r="O23" s="573">
        <v>2.1241110202475877</v>
      </c>
      <c r="P23" s="574">
        <v>2.0003513962019784E-2</v>
      </c>
      <c r="Q23" s="574">
        <v>0.11587094438165103</v>
      </c>
      <c r="R23" s="575">
        <v>2.1149820959754395</v>
      </c>
      <c r="T23" s="2"/>
      <c r="U23" s="554" t="s">
        <v>795</v>
      </c>
      <c r="V23" s="555">
        <v>100.03325957255407</v>
      </c>
      <c r="W23" s="555">
        <v>8.5865065124949378E-3</v>
      </c>
      <c r="X23" s="556">
        <v>2.229327402526402</v>
      </c>
      <c r="Y23" s="569">
        <v>4.0006907573989094E-2</v>
      </c>
      <c r="Z23" s="569">
        <v>0.74236641919425606</v>
      </c>
      <c r="AA23" s="556">
        <v>2.1516246518034903</v>
      </c>
      <c r="AC23" s="2" t="s">
        <v>795</v>
      </c>
      <c r="AD23">
        <v>100.01303565335633</v>
      </c>
      <c r="AE23">
        <v>1.3726448556089E-3</v>
      </c>
      <c r="AF23">
        <v>2.0477292253635762</v>
      </c>
      <c r="AG23">
        <v>4.0006507451306163E-2</v>
      </c>
      <c r="AH23">
        <v>0.24701010891364295</v>
      </c>
      <c r="AI23">
        <v>2.4337767250895164</v>
      </c>
      <c r="AK23" s="2"/>
      <c r="AL23" s="2" t="s">
        <v>795</v>
      </c>
      <c r="AM23">
        <v>100.01230730085409</v>
      </c>
      <c r="AN23">
        <v>1.36674049735347E-3</v>
      </c>
      <c r="AO23">
        <v>2.0490734717651256</v>
      </c>
      <c r="AP23">
        <v>5.000859775185422E-2</v>
      </c>
      <c r="AQ23">
        <v>3.6123980363426629E-2</v>
      </c>
      <c r="AR23">
        <v>2.0769605535706424</v>
      </c>
      <c r="AU23">
        <f>pyReport!E23</f>
        <v>1000</v>
      </c>
      <c r="AV23">
        <f>pyReport!F23</f>
        <v>100.03883233591679</v>
      </c>
      <c r="AW23">
        <f>pyReport!G23</f>
        <v>3.283131335991635E-3</v>
      </c>
      <c r="AX23">
        <f>pyReport!H23</f>
        <v>2.1400347042980452</v>
      </c>
      <c r="AY23">
        <f>pyReport!I23</f>
        <v>4.0008236343898267E-2</v>
      </c>
      <c r="AZ23">
        <f>pyReport!J23</f>
        <v>0.37921405482835202</v>
      </c>
      <c r="BA23">
        <f>pyReport!K23</f>
        <v>2.2132949662690811</v>
      </c>
    </row>
    <row r="24" spans="1:53" ht="13.5" thickTop="1">
      <c r="A24" s="90"/>
      <c r="AK24" s="2"/>
      <c r="AL24" s="2"/>
    </row>
    <row r="25" spans="1:53">
      <c r="A25" s="90"/>
      <c r="B25" s="2" t="s">
        <v>748</v>
      </c>
      <c r="C25" s="2" t="s">
        <v>143</v>
      </c>
      <c r="D25" s="2" t="s">
        <v>749</v>
      </c>
      <c r="E25" s="2" t="s">
        <v>468</v>
      </c>
      <c r="F25" s="2" t="s">
        <v>471</v>
      </c>
      <c r="G25" s="2" t="s">
        <v>34</v>
      </c>
      <c r="H25" s="2" t="s">
        <v>468</v>
      </c>
      <c r="I25" s="2" t="s">
        <v>471</v>
      </c>
      <c r="K25" t="s">
        <v>748</v>
      </c>
      <c r="L25" t="s">
        <v>143</v>
      </c>
      <c r="M25" t="s">
        <v>749</v>
      </c>
      <c r="N25" t="s">
        <v>468</v>
      </c>
      <c r="O25" t="s">
        <v>471</v>
      </c>
      <c r="P25" t="s">
        <v>34</v>
      </c>
      <c r="Q25" t="s">
        <v>468</v>
      </c>
      <c r="R25" t="s">
        <v>471</v>
      </c>
      <c r="T25" s="2" t="s">
        <v>748</v>
      </c>
      <c r="U25" s="2" t="s">
        <v>143</v>
      </c>
      <c r="V25" s="2" t="s">
        <v>749</v>
      </c>
      <c r="W25" s="2" t="s">
        <v>468</v>
      </c>
      <c r="X25" s="2" t="s">
        <v>471</v>
      </c>
      <c r="Y25" s="2" t="s">
        <v>34</v>
      </c>
      <c r="Z25" s="2" t="s">
        <v>468</v>
      </c>
      <c r="AA25" s="2" t="s">
        <v>471</v>
      </c>
      <c r="AC25" t="s">
        <v>143</v>
      </c>
      <c r="AD25" t="s">
        <v>749</v>
      </c>
      <c r="AE25" t="s">
        <v>468</v>
      </c>
      <c r="AF25" t="s">
        <v>471</v>
      </c>
      <c r="AG25" t="s">
        <v>34</v>
      </c>
      <c r="AH25" t="s">
        <v>468</v>
      </c>
      <c r="AI25" t="s">
        <v>471</v>
      </c>
      <c r="AK25" s="2" t="s">
        <v>748</v>
      </c>
      <c r="AL25" s="2" t="s">
        <v>143</v>
      </c>
      <c r="AM25" t="s">
        <v>749</v>
      </c>
      <c r="AN25" t="s">
        <v>468</v>
      </c>
      <c r="AO25" t="s">
        <v>471</v>
      </c>
      <c r="AP25" t="s">
        <v>34</v>
      </c>
      <c r="AQ25" t="s">
        <v>468</v>
      </c>
      <c r="AR25" t="s">
        <v>471</v>
      </c>
    </row>
    <row r="26" spans="1:53" ht="15.75">
      <c r="A26" s="90"/>
      <c r="B26" s="2"/>
      <c r="C26" s="2" t="s">
        <v>752</v>
      </c>
      <c r="D26" s="2" t="s">
        <v>796</v>
      </c>
      <c r="E26" s="2" t="s">
        <v>796</v>
      </c>
      <c r="F26" s="2" t="s">
        <v>472</v>
      </c>
      <c r="G26" s="2" t="s">
        <v>757</v>
      </c>
      <c r="H26" s="2" t="s">
        <v>757</v>
      </c>
      <c r="I26" s="2" t="s">
        <v>472</v>
      </c>
      <c r="L26" t="s">
        <v>752</v>
      </c>
      <c r="M26" t="s">
        <v>756</v>
      </c>
      <c r="N26" t="s">
        <v>756</v>
      </c>
      <c r="O26" t="s">
        <v>472</v>
      </c>
      <c r="P26" t="s">
        <v>757</v>
      </c>
      <c r="Q26" t="s">
        <v>757</v>
      </c>
      <c r="R26" t="s">
        <v>472</v>
      </c>
      <c r="T26" s="2"/>
      <c r="U26" s="2" t="s">
        <v>752</v>
      </c>
      <c r="V26" s="2" t="s">
        <v>796</v>
      </c>
      <c r="W26" s="2" t="s">
        <v>796</v>
      </c>
      <c r="X26" s="2" t="s">
        <v>472</v>
      </c>
      <c r="Y26" s="2" t="s">
        <v>757</v>
      </c>
      <c r="Z26" s="2" t="s">
        <v>757</v>
      </c>
      <c r="AA26" s="2" t="s">
        <v>472</v>
      </c>
      <c r="AC26" s="2" t="s">
        <v>752</v>
      </c>
      <c r="AF26" t="s">
        <v>472</v>
      </c>
      <c r="AG26" t="s">
        <v>757</v>
      </c>
      <c r="AH26" t="s">
        <v>757</v>
      </c>
      <c r="AI26" t="s">
        <v>472</v>
      </c>
      <c r="AK26" s="2"/>
      <c r="AL26" s="2" t="s">
        <v>752</v>
      </c>
      <c r="AM26" t="s">
        <v>797</v>
      </c>
      <c r="AN26" t="s">
        <v>797</v>
      </c>
      <c r="AO26" t="s">
        <v>472</v>
      </c>
      <c r="AP26" t="s">
        <v>757</v>
      </c>
      <c r="AQ26" t="s">
        <v>757</v>
      </c>
      <c r="AR26" t="s">
        <v>472</v>
      </c>
    </row>
    <row r="27" spans="1:53" ht="15.75">
      <c r="A27" s="90" t="s">
        <v>730</v>
      </c>
      <c r="B27" s="2" t="s">
        <v>798</v>
      </c>
      <c r="C27" s="554">
        <v>53</v>
      </c>
      <c r="D27" s="555">
        <v>1.0002425606565399</v>
      </c>
      <c r="E27" s="555">
        <v>1.1775059787903941E-4</v>
      </c>
      <c r="F27" s="556">
        <v>2.099400571484817</v>
      </c>
      <c r="G27" s="557">
        <v>2.4992891445682854</v>
      </c>
      <c r="H27" s="555">
        <v>9.4599129742506136</v>
      </c>
      <c r="I27" s="556">
        <v>2.3083590944567671</v>
      </c>
      <c r="K27" t="s">
        <v>681</v>
      </c>
      <c r="L27" s="558">
        <v>53</v>
      </c>
      <c r="M27" s="566">
        <v>1.0002289166055396</v>
      </c>
      <c r="N27" s="566">
        <v>8.8047747347056465E-5</v>
      </c>
      <c r="O27" s="560">
        <v>2.1233944956082156</v>
      </c>
      <c r="P27" s="576">
        <v>9.99717941637564E-2</v>
      </c>
      <c r="Q27" s="576">
        <v>15.970442421850175</v>
      </c>
      <c r="R27" s="561">
        <v>4.1959599841492805</v>
      </c>
      <c r="T27" s="2" t="s">
        <v>798</v>
      </c>
      <c r="U27" s="554">
        <v>53</v>
      </c>
      <c r="V27" s="567">
        <v>1.0002290898177606</v>
      </c>
      <c r="W27" s="567">
        <v>8.1436998219017452E-5</v>
      </c>
      <c r="X27" s="556">
        <v>2.3344101705874287</v>
      </c>
      <c r="Y27" s="577">
        <v>-3.9988583520679959</v>
      </c>
      <c r="Z27" s="577">
        <v>10.675545904671511</v>
      </c>
      <c r="AA27" s="556">
        <v>2.0748902959081019</v>
      </c>
      <c r="AC27" s="2">
        <v>53</v>
      </c>
      <c r="AD27">
        <v>1.0002130607142548</v>
      </c>
      <c r="AE27">
        <v>1.3989257474347657E-5</v>
      </c>
      <c r="AF27">
        <v>2.041298235969339</v>
      </c>
      <c r="AG27">
        <v>0</v>
      </c>
      <c r="AH27">
        <v>2.9377353787890486</v>
      </c>
      <c r="AI27">
        <v>2.0678642790787225</v>
      </c>
      <c r="AK27" s="2" t="s">
        <v>799</v>
      </c>
      <c r="AL27" s="2">
        <v>53</v>
      </c>
      <c r="AM27">
        <v>1.0001948764455646</v>
      </c>
      <c r="AN27">
        <v>1.3845772533786124E-5</v>
      </c>
      <c r="AO27">
        <v>2.0446795699747398</v>
      </c>
      <c r="AP27">
        <v>0</v>
      </c>
      <c r="AQ27">
        <v>2.4696729358741747</v>
      </c>
      <c r="AR27">
        <v>2.4272788189110921</v>
      </c>
      <c r="AU27">
        <f>pyReport!E26</f>
        <v>53</v>
      </c>
      <c r="AV27">
        <f>pyReport!F26</f>
        <v>1.0002578141327001</v>
      </c>
      <c r="AW27">
        <f>pyReport!G26</f>
        <v>4.9230770562050089E-5</v>
      </c>
      <c r="AX27">
        <f>pyReport!H26</f>
        <v>2.0329827348899192</v>
      </c>
      <c r="AY27">
        <f>pyReport!I26</f>
        <v>-0.89972133618300054</v>
      </c>
      <c r="AZ27">
        <f>pyReport!J26</f>
        <v>5.193643293606196</v>
      </c>
      <c r="BA27">
        <f>pyReport!K26</f>
        <v>2.0465412126881501</v>
      </c>
    </row>
    <row r="28" spans="1:53" ht="15">
      <c r="A28" s="90" t="s">
        <v>731</v>
      </c>
      <c r="B28" s="2"/>
      <c r="C28" s="554">
        <v>400</v>
      </c>
      <c r="D28" s="555">
        <v>1.0002429606847594</v>
      </c>
      <c r="E28" s="555">
        <v>8.8527037353237461E-5</v>
      </c>
      <c r="F28" s="556">
        <v>2.1181145322970458</v>
      </c>
      <c r="G28" s="557">
        <v>-0.49985742909640252</v>
      </c>
      <c r="H28" s="555">
        <v>3.5606182907698942</v>
      </c>
      <c r="I28" s="556">
        <v>2.1210179346639602</v>
      </c>
      <c r="L28" s="558">
        <v>400</v>
      </c>
      <c r="M28" s="566">
        <v>1.0002289166055396</v>
      </c>
      <c r="N28" s="566">
        <v>8.7987398189674507E-5</v>
      </c>
      <c r="O28" s="560">
        <v>2.1241003377589718</v>
      </c>
      <c r="P28" s="570">
        <v>-0.29991538249126931</v>
      </c>
      <c r="Q28" s="570">
        <v>1.6649906453220498</v>
      </c>
      <c r="R28" s="561">
        <v>2.3323262962309159</v>
      </c>
      <c r="T28" s="2"/>
      <c r="U28" s="554">
        <v>400</v>
      </c>
      <c r="V28" s="567">
        <v>1.0002300898748406</v>
      </c>
      <c r="W28" s="567">
        <v>8.2244531048267352E-5</v>
      </c>
      <c r="X28" s="556">
        <v>2.3674473589762455</v>
      </c>
      <c r="Y28" s="577">
        <v>-0.69979881225426466</v>
      </c>
      <c r="Z28" s="577">
        <v>7.4449552355449242</v>
      </c>
      <c r="AA28" s="556">
        <v>2.1433243235809023</v>
      </c>
      <c r="AC28" s="2">
        <v>400</v>
      </c>
      <c r="AD28">
        <v>1.0002111606182051</v>
      </c>
      <c r="AE28">
        <v>1.3902595660679295E-5</v>
      </c>
      <c r="AF28">
        <v>2.0431263986019315</v>
      </c>
      <c r="AG28">
        <v>0.59984425805453767</v>
      </c>
      <c r="AH28">
        <v>2.4690707254025472</v>
      </c>
      <c r="AI28">
        <v>2.4335304091353773</v>
      </c>
      <c r="AK28" s="2"/>
      <c r="AL28" s="2">
        <v>400</v>
      </c>
      <c r="AM28">
        <v>1.0001956764838598</v>
      </c>
      <c r="AN28">
        <v>1.385536929002209E-5</v>
      </c>
      <c r="AO28">
        <v>2.0444772737627726</v>
      </c>
      <c r="AP28">
        <v>0.79982451970551594</v>
      </c>
      <c r="AQ28">
        <v>0.36109836804177387</v>
      </c>
      <c r="AR28">
        <v>2.0769607300657396</v>
      </c>
      <c r="AU28">
        <f>pyReport!E27</f>
        <v>400</v>
      </c>
      <c r="AV28">
        <f>pyReport!F27</f>
        <v>1.0002583141680501</v>
      </c>
      <c r="AW28">
        <f>pyReport!G27</f>
        <v>3.3492562450691663E-5</v>
      </c>
      <c r="AX28">
        <f>pyReport!H27</f>
        <v>2.1189511568037882</v>
      </c>
      <c r="AY28">
        <f>pyReport!I27</f>
        <v>-0.29990681221021492</v>
      </c>
      <c r="AZ28">
        <f>pyReport!J27</f>
        <v>3.8380477783684723</v>
      </c>
      <c r="BA28">
        <f>pyReport!K27</f>
        <v>2.1879930528051301</v>
      </c>
    </row>
    <row r="29" spans="1:53" ht="15">
      <c r="A29" s="90" t="s">
        <v>732</v>
      </c>
      <c r="B29" s="2"/>
      <c r="C29" s="554" t="s">
        <v>755</v>
      </c>
      <c r="D29" s="555">
        <v>1.0002386603814009</v>
      </c>
      <c r="E29" s="555">
        <v>8.8158990254942531E-5</v>
      </c>
      <c r="F29" s="556">
        <v>2.1221118878480323</v>
      </c>
      <c r="G29" s="557">
        <v>-0.59983407258843535</v>
      </c>
      <c r="H29" s="555">
        <v>3.4650942008074561</v>
      </c>
      <c r="I29" s="556">
        <v>2.1455119262647102</v>
      </c>
      <c r="L29" s="558" t="s">
        <v>755</v>
      </c>
      <c r="M29" s="566">
        <v>1.0002255164086569</v>
      </c>
      <c r="N29" s="566">
        <v>8.7986202315322773E-5</v>
      </c>
      <c r="O29" s="560">
        <v>2.1241109675239245</v>
      </c>
      <c r="P29" s="570">
        <v>-0.19994494771839047</v>
      </c>
      <c r="Q29" s="570">
        <v>1.1580610552363195</v>
      </c>
      <c r="R29" s="561">
        <v>2.1149802921589331</v>
      </c>
      <c r="T29" s="2"/>
      <c r="U29" s="554" t="s">
        <v>755</v>
      </c>
      <c r="V29" s="567">
        <v>1.0002269896978926</v>
      </c>
      <c r="W29" s="567">
        <v>8.2244275387142581E-5</v>
      </c>
      <c r="X29" s="556">
        <v>2.367447331540955</v>
      </c>
      <c r="Y29" s="577">
        <v>-0.39988751444376819</v>
      </c>
      <c r="Z29" s="577">
        <v>7.4245947767653933</v>
      </c>
      <c r="AA29" s="556">
        <v>2.1513195641906568</v>
      </c>
      <c r="AC29" s="2" t="s">
        <v>755</v>
      </c>
      <c r="AD29">
        <v>1.0002098605524867</v>
      </c>
      <c r="AE29">
        <v>1.3908492311479018E-5</v>
      </c>
      <c r="AF29">
        <v>2.0429928407971327</v>
      </c>
      <c r="AG29">
        <v>0.79979442320295779</v>
      </c>
      <c r="AH29">
        <v>2.4690646591207961</v>
      </c>
      <c r="AI29">
        <v>2.4337767793227547</v>
      </c>
      <c r="AK29" s="2"/>
      <c r="AL29" s="2" t="s">
        <v>755</v>
      </c>
      <c r="AM29">
        <v>1.0001941764120559</v>
      </c>
      <c r="AN29">
        <v>1.385534840974781E-5</v>
      </c>
      <c r="AO29">
        <v>2.0444772446575881</v>
      </c>
      <c r="AP29">
        <v>0.69984855397614643</v>
      </c>
      <c r="AQ29">
        <v>0.35994789856273712</v>
      </c>
      <c r="AR29">
        <v>2.0789672948258695</v>
      </c>
      <c r="AU29">
        <f>pyReport!E28</f>
        <v>1000</v>
      </c>
      <c r="AV29">
        <f>pyReport!F28</f>
        <v>1.0002552139488781</v>
      </c>
      <c r="AW29">
        <f>pyReport!G28</f>
        <v>3.2827351721002721E-5</v>
      </c>
      <c r="AX29">
        <f>pyReport!H28</f>
        <v>2.1400197923792921</v>
      </c>
      <c r="AY29">
        <f>pyReport!I28</f>
        <v>-0.39987822838977488</v>
      </c>
      <c r="AZ29">
        <f>pyReport!J28</f>
        <v>3.7897303238139761</v>
      </c>
      <c r="BA29">
        <f>pyReport!K28</f>
        <v>2.2132775118735482</v>
      </c>
    </row>
    <row r="30" spans="1:53" ht="15.75">
      <c r="A30" s="90" t="s">
        <v>733</v>
      </c>
      <c r="B30" s="2" t="s">
        <v>800</v>
      </c>
      <c r="C30" s="554">
        <v>53</v>
      </c>
      <c r="D30" s="555">
        <v>10.002075581873418</v>
      </c>
      <c r="E30" s="555">
        <v>1.1774846862171616E-3</v>
      </c>
      <c r="F30" s="556">
        <v>2.0994048623960708</v>
      </c>
      <c r="G30" s="557">
        <v>0.76983493476252307</v>
      </c>
      <c r="H30" s="555">
        <v>0.94605557021394571</v>
      </c>
      <c r="I30" s="556">
        <v>2.308367301241768</v>
      </c>
      <c r="K30" t="s">
        <v>682</v>
      </c>
      <c r="L30" s="558">
        <v>53</v>
      </c>
      <c r="M30" s="562">
        <v>10.001693131543002</v>
      </c>
      <c r="N30" s="562">
        <v>8.8042351805616608E-4</v>
      </c>
      <c r="O30" s="560">
        <v>2.1233943830807589</v>
      </c>
      <c r="P30" s="570">
        <v>0.81986642060019321</v>
      </c>
      <c r="Q30" s="570">
        <v>1.5972395319096648</v>
      </c>
      <c r="R30" s="561">
        <v>4.1959773966900737</v>
      </c>
      <c r="T30" s="2" t="s">
        <v>800</v>
      </c>
      <c r="U30" s="554">
        <v>53</v>
      </c>
      <c r="V30" s="557">
        <v>10.001335843666206</v>
      </c>
      <c r="W30" s="557">
        <v>8.1429079423348579E-4</v>
      </c>
      <c r="X30" s="556">
        <v>2.3344036288335519</v>
      </c>
      <c r="Y30" s="569">
        <v>0.69993386960934512</v>
      </c>
      <c r="Z30" s="556">
        <v>1.0735511255452121</v>
      </c>
      <c r="AA30" s="556">
        <v>2.071559755881113</v>
      </c>
      <c r="AC30" s="2">
        <v>53</v>
      </c>
      <c r="AD30">
        <v>10.00111555583176</v>
      </c>
      <c r="AE30">
        <v>1.3826798376382094E-4</v>
      </c>
      <c r="AF30">
        <v>2.0449230966027163</v>
      </c>
      <c r="AG30">
        <v>1.5878984317222293</v>
      </c>
      <c r="AH30">
        <v>0.33499034870827643</v>
      </c>
      <c r="AI30">
        <v>2.047371506983434</v>
      </c>
      <c r="AK30" s="2" t="s">
        <v>801</v>
      </c>
      <c r="AL30" s="2">
        <v>53</v>
      </c>
      <c r="AM30">
        <v>10.000988718501009</v>
      </c>
      <c r="AN30">
        <v>1.3666984581119749E-4</v>
      </c>
      <c r="AO30">
        <v>2.0490752913890415</v>
      </c>
      <c r="AP30">
        <v>0.63801164415708522</v>
      </c>
      <c r="AQ30">
        <v>0.24693800572354677</v>
      </c>
      <c r="AR30">
        <v>2.4394652646979518</v>
      </c>
      <c r="AU30">
        <f>pyReport!E29</f>
        <v>53</v>
      </c>
      <c r="AV30">
        <f>pyReport!F29</f>
        <v>10.002401128812942</v>
      </c>
      <c r="AW30">
        <f>pyReport!G29</f>
        <v>4.9229221257685572E-4</v>
      </c>
      <c r="AX30">
        <f>pyReport!H29</f>
        <v>2.0329826261742978</v>
      </c>
      <c r="AY30">
        <f>pyReport!I29</f>
        <v>0.69980802982656187</v>
      </c>
      <c r="AZ30">
        <f>pyReport!J29</f>
        <v>0.51936728338189797</v>
      </c>
      <c r="BA30">
        <f>pyReport!K29</f>
        <v>2.046542140192348</v>
      </c>
    </row>
    <row r="31" spans="1:53" ht="15">
      <c r="A31" s="90" t="s">
        <v>734</v>
      </c>
      <c r="B31" s="2"/>
      <c r="C31" s="554">
        <v>400</v>
      </c>
      <c r="D31" s="555">
        <v>10.002071581591222</v>
      </c>
      <c r="E31" s="555">
        <v>8.852377013003047E-4</v>
      </c>
      <c r="F31" s="556">
        <v>2.1181141758735209</v>
      </c>
      <c r="G31" s="557">
        <v>0.6298654504471185</v>
      </c>
      <c r="H31" s="555">
        <v>0.35607496505887498</v>
      </c>
      <c r="I31" s="556">
        <v>2.1210161472868072</v>
      </c>
      <c r="L31" s="558">
        <v>400</v>
      </c>
      <c r="M31" s="562">
        <v>10.001691131427187</v>
      </c>
      <c r="N31" s="562">
        <v>8.7981998939067898E-4</v>
      </c>
      <c r="O31" s="560">
        <v>2.1241003114306687</v>
      </c>
      <c r="P31" s="568">
        <v>0.63989599883733117</v>
      </c>
      <c r="Q31" s="568">
        <v>0.16651668506289735</v>
      </c>
      <c r="R31" s="561">
        <v>2.3323643740866609</v>
      </c>
      <c r="T31" s="2"/>
      <c r="U31" s="554">
        <v>400</v>
      </c>
      <c r="V31" s="557">
        <v>10.001338843837447</v>
      </c>
      <c r="W31" s="557">
        <v>8.2236597371995875E-4</v>
      </c>
      <c r="X31" s="556">
        <v>2.3674464964192454</v>
      </c>
      <c r="Y31" s="569">
        <v>0.62994010471320316</v>
      </c>
      <c r="Z31" s="556">
        <v>0.75627309278550725</v>
      </c>
      <c r="AA31" s="556">
        <v>2.1261066605861076</v>
      </c>
      <c r="AC31" s="2">
        <v>400</v>
      </c>
      <c r="AD31">
        <v>10.001120556084523</v>
      </c>
      <c r="AE31">
        <v>1.3838972263098645E-4</v>
      </c>
      <c r="AF31">
        <v>2.044613961485906</v>
      </c>
      <c r="AG31">
        <v>1.6178950292047358</v>
      </c>
      <c r="AH31">
        <v>0.28047133206972868</v>
      </c>
      <c r="AI31">
        <v>2.1945845606575878</v>
      </c>
      <c r="AK31" s="2"/>
      <c r="AL31" s="2">
        <v>400</v>
      </c>
      <c r="AM31">
        <v>10.000988718501009</v>
      </c>
      <c r="AN31">
        <v>1.3606348218478536E-4</v>
      </c>
      <c r="AO31">
        <v>2.0508950846925007</v>
      </c>
      <c r="AP31">
        <v>0.70801057254936262</v>
      </c>
      <c r="AQ31">
        <v>3.6030074296781379E-2</v>
      </c>
      <c r="AR31">
        <v>2.0784594579280302</v>
      </c>
      <c r="AU31">
        <f>pyReport!E30</f>
        <v>400</v>
      </c>
      <c r="AV31">
        <f>pyReport!F30</f>
        <v>10.00240312895434</v>
      </c>
      <c r="AW31">
        <f>pyReport!G30</f>
        <v>3.3492497225559234E-4</v>
      </c>
      <c r="AX31">
        <f>pyReport!H30</f>
        <v>2.1189364071527539</v>
      </c>
      <c r="AY31">
        <f>pyReport!I30</f>
        <v>0.64982148209721324</v>
      </c>
      <c r="AZ31">
        <f>pyReport!J30</f>
        <v>0.38381567162539998</v>
      </c>
      <c r="BA31">
        <f>pyReport!K30</f>
        <v>2.187974843649036</v>
      </c>
    </row>
    <row r="32" spans="1:53" ht="15">
      <c r="A32" s="90" t="s">
        <v>735</v>
      </c>
      <c r="B32" s="2"/>
      <c r="C32" s="554" t="s">
        <v>755</v>
      </c>
      <c r="D32" s="555">
        <v>10.002039579333671</v>
      </c>
      <c r="E32" s="555">
        <v>8.8155840911658962E-4</v>
      </c>
      <c r="F32" s="556">
        <v>2.1221118169566999</v>
      </c>
      <c r="G32" s="557">
        <v>0.60987362451334604</v>
      </c>
      <c r="H32" s="555">
        <v>0.34652121424398524</v>
      </c>
      <c r="I32" s="556">
        <v>2.1455113980069549</v>
      </c>
      <c r="L32" s="558" t="s">
        <v>755</v>
      </c>
      <c r="M32" s="562">
        <v>10.001676130558588</v>
      </c>
      <c r="N32" s="562">
        <v>8.7980970088718266E-4</v>
      </c>
      <c r="O32" s="560">
        <v>2.1241109432713281</v>
      </c>
      <c r="P32" s="568">
        <v>0.649896323289891</v>
      </c>
      <c r="Q32" s="568">
        <v>0.1158137292250174</v>
      </c>
      <c r="R32" s="561">
        <v>2.1149794491578868</v>
      </c>
      <c r="T32" s="2"/>
      <c r="U32" s="554" t="s">
        <v>755</v>
      </c>
      <c r="V32" s="557">
        <v>10.001323842981247</v>
      </c>
      <c r="W32" s="557">
        <v>8.2236473662546875E-4</v>
      </c>
      <c r="X32" s="556">
        <v>2.3674464833800348</v>
      </c>
      <c r="Y32" s="569">
        <v>0.63994107366871522</v>
      </c>
      <c r="Z32" s="556">
        <v>0.75387426612569897</v>
      </c>
      <c r="AA32" s="556">
        <v>2.1333561823934981</v>
      </c>
      <c r="AC32" s="2" t="s">
        <v>755</v>
      </c>
      <c r="AD32">
        <v>10.001125556337286</v>
      </c>
      <c r="AE32">
        <v>1.3829213069552258E-4</v>
      </c>
      <c r="AF32">
        <v>2.0448618026198844</v>
      </c>
      <c r="AG32">
        <v>1.6178934673996357</v>
      </c>
      <c r="AH32">
        <v>0.28147019173661642</v>
      </c>
      <c r="AI32">
        <v>2.1934596323324658</v>
      </c>
      <c r="AK32" s="2"/>
      <c r="AL32" s="2" t="s">
        <v>755</v>
      </c>
      <c r="AM32">
        <v>10.000997718931838</v>
      </c>
      <c r="AN32">
        <v>1.358511156882319E-4</v>
      </c>
      <c r="AO32">
        <v>2.0515759284861956</v>
      </c>
      <c r="AP32">
        <v>0.69800933322140402</v>
      </c>
      <c r="AQ32">
        <v>3.6001586905864316E-2</v>
      </c>
      <c r="AR32">
        <v>2.0789672720314845</v>
      </c>
      <c r="AU32">
        <f>pyReport!E31</f>
        <v>1000</v>
      </c>
      <c r="AV32">
        <f>pyReport!F31</f>
        <v>10.00238112739892</v>
      </c>
      <c r="AW32">
        <f>pyReport!G31</f>
        <v>3.282657090144801E-4</v>
      </c>
      <c r="AX32">
        <f>pyReport!H31</f>
        <v>2.140027831104732</v>
      </c>
      <c r="AY32">
        <f>pyReport!I31</f>
        <v>0.64982434083632634</v>
      </c>
      <c r="AZ32">
        <f>pyReport!J31</f>
        <v>0.3789779554337121</v>
      </c>
      <c r="BA32">
        <f>pyReport!K31</f>
        <v>2.2132868810653972</v>
      </c>
    </row>
    <row r="33" spans="1:53" ht="15.75">
      <c r="A33" s="90" t="s">
        <v>736</v>
      </c>
      <c r="B33" s="2" t="s">
        <v>802</v>
      </c>
      <c r="C33" s="554">
        <v>53</v>
      </c>
      <c r="D33" s="555">
        <v>100.02772695045779</v>
      </c>
      <c r="E33" s="555">
        <v>1.1775632861907534E-2</v>
      </c>
      <c r="F33" s="556">
        <v>2.0993890156057242</v>
      </c>
      <c r="G33" s="557">
        <v>0.80966169133340371</v>
      </c>
      <c r="H33" s="555">
        <v>9.459308818911194E-2</v>
      </c>
      <c r="I33" s="556">
        <v>2.3083369154489493</v>
      </c>
      <c r="K33" t="s">
        <v>683</v>
      </c>
      <c r="L33" s="558">
        <v>53</v>
      </c>
      <c r="M33" s="559">
        <v>100.02469259071299</v>
      </c>
      <c r="N33" s="559">
        <v>8.8055041271744416E-3</v>
      </c>
      <c r="O33" s="560">
        <v>2.1233946444676275</v>
      </c>
      <c r="P33" s="568">
        <v>0.79969359638812243</v>
      </c>
      <c r="Q33" s="568">
        <v>0.15969797232734037</v>
      </c>
      <c r="R33" s="561">
        <v>4.1959352592676078</v>
      </c>
      <c r="T33" s="2" t="s">
        <v>802</v>
      </c>
      <c r="U33" s="554">
        <v>53</v>
      </c>
      <c r="V33" s="555">
        <v>100.02220785330302</v>
      </c>
      <c r="W33" s="555">
        <v>8.1743641745536024E-3</v>
      </c>
      <c r="X33" s="556">
        <v>2.312018440915605</v>
      </c>
      <c r="Y33" s="569">
        <v>0.80578125443779791</v>
      </c>
      <c r="Z33" s="569">
        <v>0.10665957864506338</v>
      </c>
      <c r="AA33" s="556">
        <v>2.0754538629816319</v>
      </c>
      <c r="AC33" s="2">
        <v>53</v>
      </c>
      <c r="AD33">
        <v>100.01862242072951</v>
      </c>
      <c r="AE33">
        <v>1.3840784828137835E-3</v>
      </c>
      <c r="AF33">
        <v>2.0446164227176529</v>
      </c>
      <c r="AG33">
        <v>0.78183479639924358</v>
      </c>
      <c r="AH33">
        <v>2.9438691990832808E-2</v>
      </c>
      <c r="AI33">
        <v>2.0667311740768075</v>
      </c>
      <c r="AK33" s="2" t="s">
        <v>803</v>
      </c>
      <c r="AL33" s="2">
        <v>53</v>
      </c>
      <c r="AM33">
        <v>100.01730407492863</v>
      </c>
      <c r="AN33">
        <v>1.416884474940012E-3</v>
      </c>
      <c r="AO33">
        <v>2.0394874173015243</v>
      </c>
      <c r="AP33">
        <v>0.79380107484136764</v>
      </c>
      <c r="AQ33">
        <v>2.4689386085741831E-2</v>
      </c>
      <c r="AR33">
        <v>2.4413603876499876</v>
      </c>
      <c r="AU33">
        <f>pyReport!E32</f>
        <v>53</v>
      </c>
      <c r="AV33">
        <f>pyReport!F32</f>
        <v>100.03087023127429</v>
      </c>
      <c r="AW33">
        <f>pyReport!G32</f>
        <v>4.9252524073377301E-3</v>
      </c>
      <c r="AX33">
        <f>pyReport!H32</f>
        <v>2.0329856272737881</v>
      </c>
      <c r="AY33">
        <f>pyReport!I32</f>
        <v>0.83260523448850277</v>
      </c>
      <c r="AZ33">
        <f>pyReport!J32</f>
        <v>5.1951525405406165E-2</v>
      </c>
      <c r="BA33">
        <f>pyReport!K32</f>
        <v>2.0465144928294028</v>
      </c>
    </row>
    <row r="34" spans="1:53" ht="15">
      <c r="A34" s="90" t="s">
        <v>737</v>
      </c>
      <c r="B34" s="2"/>
      <c r="C34" s="554">
        <v>400</v>
      </c>
      <c r="D34" s="555">
        <v>100.02739694829044</v>
      </c>
      <c r="E34" s="555">
        <v>8.8535370190378545E-3</v>
      </c>
      <c r="F34" s="556">
        <v>2.1181154108355384</v>
      </c>
      <c r="G34" s="557">
        <v>0.77668059897532171</v>
      </c>
      <c r="H34" s="555">
        <v>3.5607133520440634E-2</v>
      </c>
      <c r="I34" s="556">
        <v>2.1210222502976253</v>
      </c>
      <c r="L34" s="558">
        <v>400</v>
      </c>
      <c r="M34" s="559">
        <v>100.02441259269324</v>
      </c>
      <c r="N34" s="559">
        <v>8.7994442104342672E-3</v>
      </c>
      <c r="O34" s="560">
        <v>2.1241003689686417</v>
      </c>
      <c r="P34" s="559">
        <v>0.78170486689890439</v>
      </c>
      <c r="Q34" s="559">
        <v>1.6649707390396271E-2</v>
      </c>
      <c r="R34" s="561">
        <v>2.3322732044148275</v>
      </c>
      <c r="T34" s="2"/>
      <c r="U34" s="554">
        <v>400</v>
      </c>
      <c r="V34" s="555">
        <v>100.02190785522902</v>
      </c>
      <c r="W34" s="555">
        <v>8.248677223320653E-3</v>
      </c>
      <c r="X34" s="556">
        <v>2.3423200653327174</v>
      </c>
      <c r="Y34" s="569">
        <v>0.78579139603161463</v>
      </c>
      <c r="Z34" s="569">
        <v>7.4456524990654124E-2</v>
      </c>
      <c r="AA34" s="556">
        <v>2.1432740143091467</v>
      </c>
      <c r="AC34" s="2">
        <v>400</v>
      </c>
      <c r="AD34">
        <v>100.01826242532789</v>
      </c>
      <c r="AE34">
        <v>1.3805719528306596E-3</v>
      </c>
      <c r="AF34">
        <v>2.0455232731420918</v>
      </c>
      <c r="AG34">
        <v>0.77184313042887176</v>
      </c>
      <c r="AH34">
        <v>2.4692622078763053E-2</v>
      </c>
      <c r="AI34">
        <v>2.432569873662902</v>
      </c>
      <c r="AK34" s="2"/>
      <c r="AL34" s="2">
        <v>400</v>
      </c>
      <c r="AM34">
        <v>100.01709407741862</v>
      </c>
      <c r="AN34">
        <v>1.415955031134347E-3</v>
      </c>
      <c r="AO34">
        <v>2.0395954223658035</v>
      </c>
      <c r="AP34">
        <v>0.77580888240487311</v>
      </c>
      <c r="AQ34">
        <v>3.6333308745058355E-3</v>
      </c>
      <c r="AR34">
        <v>2.0734569403395247</v>
      </c>
      <c r="AU34">
        <f>pyReport!E33</f>
        <v>400</v>
      </c>
      <c r="AV34">
        <f>pyReport!F33</f>
        <v>100.03048022811539</v>
      </c>
      <c r="AW34">
        <f>pyReport!G33</f>
        <v>3.3495760664176773E-3</v>
      </c>
      <c r="AX34">
        <f>pyReport!H33</f>
        <v>2.1189061881574829</v>
      </c>
      <c r="AY34">
        <f>pyReport!I33</f>
        <v>0.78963176980504013</v>
      </c>
      <c r="AZ34">
        <f>pyReport!J33</f>
        <v>3.8379912884301245E-2</v>
      </c>
      <c r="BA34">
        <f>pyReport!K33</f>
        <v>2.1879374386675572</v>
      </c>
    </row>
    <row r="35" spans="1:53" ht="15.75" thickBot="1">
      <c r="A35" s="90" t="s">
        <v>738</v>
      </c>
      <c r="B35" s="2"/>
      <c r="C35" s="554" t="s">
        <v>755</v>
      </c>
      <c r="D35" s="555">
        <v>100.02626694086891</v>
      </c>
      <c r="E35" s="555">
        <v>8.8166743112247491E-3</v>
      </c>
      <c r="F35" s="556">
        <v>2.1221120317333484</v>
      </c>
      <c r="G35" s="557">
        <v>0.76770164392210249</v>
      </c>
      <c r="H35" s="555">
        <v>3.4652301202699819E-2</v>
      </c>
      <c r="I35" s="556">
        <v>2.1455129294813182</v>
      </c>
      <c r="L35" s="571" t="s">
        <v>755</v>
      </c>
      <c r="M35" s="572">
        <v>100.02344259955336</v>
      </c>
      <c r="N35" s="572">
        <v>8.7992674709835121E-3</v>
      </c>
      <c r="O35" s="578">
        <v>2.1241109944432002</v>
      </c>
      <c r="P35" s="572">
        <v>0.7757221765051614</v>
      </c>
      <c r="Q35" s="572">
        <v>1.1581146156231771E-2</v>
      </c>
      <c r="R35" s="575">
        <v>2.1149791841142682</v>
      </c>
      <c r="T35" s="2"/>
      <c r="U35" s="554" t="s">
        <v>755</v>
      </c>
      <c r="V35" s="555">
        <v>100.021057860686</v>
      </c>
      <c r="W35" s="555">
        <v>8.2494231439548867E-3</v>
      </c>
      <c r="X35" s="556">
        <v>2.341593075986709</v>
      </c>
      <c r="Y35" s="569">
        <v>0.77980624208940674</v>
      </c>
      <c r="Z35" s="569">
        <v>7.4258866446414301E-2</v>
      </c>
      <c r="AA35" s="556">
        <v>2.1511517674242207</v>
      </c>
      <c r="AC35" s="2" t="s">
        <v>755</v>
      </c>
      <c r="AD35">
        <v>100.01719243899527</v>
      </c>
      <c r="AE35">
        <v>1.3740742100317551E-3</v>
      </c>
      <c r="AF35">
        <v>2.0473444699187477</v>
      </c>
      <c r="AG35">
        <v>0.76486131388670631</v>
      </c>
      <c r="AH35">
        <v>2.4693148307836216E-2</v>
      </c>
      <c r="AI35">
        <v>2.4325737413685</v>
      </c>
      <c r="AK35" s="2"/>
      <c r="AL35" s="2" t="s">
        <v>755</v>
      </c>
      <c r="AM35">
        <v>100.0163740859557</v>
      </c>
      <c r="AN35">
        <v>1.3977436160652614E-3</v>
      </c>
      <c r="AO35">
        <v>2.0421846609650154</v>
      </c>
      <c r="AP35">
        <v>0.76882118088230311</v>
      </c>
      <c r="AQ35">
        <v>3.6336484462751273E-3</v>
      </c>
      <c r="AR35">
        <v>2.0734176817257874</v>
      </c>
      <c r="AU35">
        <f>pyReport!E34</f>
        <v>1000</v>
      </c>
      <c r="AV35">
        <f>pyReport!F34</f>
        <v>100.0294802200155</v>
      </c>
      <c r="AW35">
        <f>pyReport!G34</f>
        <v>3.2828332262179833E-3</v>
      </c>
      <c r="AX35">
        <f>pyReport!H34</f>
        <v>2.140031471106187</v>
      </c>
      <c r="AY35">
        <f>pyReport!I34</f>
        <v>0.78265068089676382</v>
      </c>
      <c r="AZ35">
        <f>pyReport!J34</f>
        <v>3.7895579326382628E-2</v>
      </c>
      <c r="BA35">
        <f>pyReport!K34</f>
        <v>2.213291008593075</v>
      </c>
    </row>
    <row r="36" spans="1:53" ht="13.5" thickTop="1">
      <c r="A36" s="90"/>
      <c r="D36" s="579"/>
      <c r="E36" s="579"/>
      <c r="F36" s="579"/>
      <c r="G36" s="579"/>
      <c r="H36" s="579"/>
      <c r="I36" s="579"/>
      <c r="V36" s="579"/>
      <c r="W36" s="579"/>
      <c r="X36" s="579"/>
      <c r="Y36" s="579"/>
      <c r="Z36" s="579"/>
      <c r="AA36" s="579"/>
      <c r="AK36" s="2"/>
      <c r="AL36" s="2"/>
    </row>
    <row r="37" spans="1:53">
      <c r="A37" s="90"/>
      <c r="B37" s="2" t="s">
        <v>748</v>
      </c>
      <c r="C37" s="2" t="s">
        <v>143</v>
      </c>
      <c r="D37" s="2" t="s">
        <v>35</v>
      </c>
      <c r="E37" s="2" t="s">
        <v>468</v>
      </c>
      <c r="F37" s="2" t="s">
        <v>471</v>
      </c>
      <c r="G37" s="2" t="s">
        <v>34</v>
      </c>
      <c r="H37" s="2" t="s">
        <v>468</v>
      </c>
      <c r="I37" s="2" t="s">
        <v>471</v>
      </c>
      <c r="K37" t="s">
        <v>748</v>
      </c>
      <c r="L37" t="s">
        <v>143</v>
      </c>
      <c r="M37" t="s">
        <v>35</v>
      </c>
      <c r="N37" t="s">
        <v>468</v>
      </c>
      <c r="O37" t="s">
        <v>471</v>
      </c>
      <c r="P37" t="s">
        <v>34</v>
      </c>
      <c r="Q37" t="s">
        <v>468</v>
      </c>
      <c r="R37" t="s">
        <v>471</v>
      </c>
      <c r="T37" s="2" t="s">
        <v>748</v>
      </c>
      <c r="U37" s="2" t="s">
        <v>143</v>
      </c>
      <c r="V37" s="2" t="s">
        <v>35</v>
      </c>
      <c r="W37" s="2" t="s">
        <v>468</v>
      </c>
      <c r="X37" s="2" t="s">
        <v>471</v>
      </c>
      <c r="Y37" s="2" t="s">
        <v>34</v>
      </c>
      <c r="Z37" s="2" t="s">
        <v>468</v>
      </c>
      <c r="AA37" s="2" t="s">
        <v>471</v>
      </c>
      <c r="AC37" t="s">
        <v>143</v>
      </c>
      <c r="AD37" t="s">
        <v>35</v>
      </c>
      <c r="AE37" t="s">
        <v>468</v>
      </c>
      <c r="AF37" t="s">
        <v>471</v>
      </c>
      <c r="AG37" t="s">
        <v>34</v>
      </c>
      <c r="AH37" t="s">
        <v>468</v>
      </c>
      <c r="AI37" t="s">
        <v>471</v>
      </c>
      <c r="AK37" s="2" t="s">
        <v>748</v>
      </c>
      <c r="AL37" s="2" t="s">
        <v>143</v>
      </c>
      <c r="AM37" t="s">
        <v>35</v>
      </c>
      <c r="AN37" t="s">
        <v>468</v>
      </c>
      <c r="AO37" t="s">
        <v>471</v>
      </c>
      <c r="AP37" t="s">
        <v>34</v>
      </c>
      <c r="AQ37" t="s">
        <v>468</v>
      </c>
      <c r="AR37" t="s">
        <v>471</v>
      </c>
    </row>
    <row r="38" spans="1:53">
      <c r="A38" s="90"/>
      <c r="B38" s="2"/>
      <c r="C38" s="2" t="s">
        <v>752</v>
      </c>
      <c r="D38" s="2" t="s">
        <v>758</v>
      </c>
      <c r="E38" s="2" t="s">
        <v>758</v>
      </c>
      <c r="F38" s="2" t="s">
        <v>472</v>
      </c>
      <c r="G38" s="2" t="s">
        <v>757</v>
      </c>
      <c r="H38" s="2" t="s">
        <v>757</v>
      </c>
      <c r="I38" s="2" t="s">
        <v>472</v>
      </c>
      <c r="L38" t="s">
        <v>752</v>
      </c>
      <c r="M38" t="s">
        <v>758</v>
      </c>
      <c r="N38" t="s">
        <v>758</v>
      </c>
      <c r="O38" t="s">
        <v>472</v>
      </c>
      <c r="P38" t="s">
        <v>757</v>
      </c>
      <c r="Q38" t="s">
        <v>757</v>
      </c>
      <c r="R38" t="s">
        <v>472</v>
      </c>
      <c r="T38" s="2"/>
      <c r="U38" s="2" t="s">
        <v>752</v>
      </c>
      <c r="V38" s="2" t="s">
        <v>758</v>
      </c>
      <c r="W38" s="2" t="s">
        <v>758</v>
      </c>
      <c r="X38" s="2" t="s">
        <v>472</v>
      </c>
      <c r="Y38" s="2" t="s">
        <v>757</v>
      </c>
      <c r="Z38" s="2" t="s">
        <v>757</v>
      </c>
      <c r="AA38" s="2" t="s">
        <v>472</v>
      </c>
      <c r="AC38" s="2" t="s">
        <v>752</v>
      </c>
      <c r="AD38" t="s">
        <v>758</v>
      </c>
      <c r="AE38" t="s">
        <v>758</v>
      </c>
      <c r="AF38" t="s">
        <v>472</v>
      </c>
      <c r="AG38" t="s">
        <v>757</v>
      </c>
      <c r="AH38" t="s">
        <v>757</v>
      </c>
      <c r="AI38" t="s">
        <v>472</v>
      </c>
      <c r="AK38" s="2"/>
      <c r="AL38" s="2" t="s">
        <v>752</v>
      </c>
      <c r="AM38" t="s">
        <v>758</v>
      </c>
      <c r="AN38" t="s">
        <v>758</v>
      </c>
      <c r="AO38" t="s">
        <v>472</v>
      </c>
      <c r="AP38" t="s">
        <v>757</v>
      </c>
      <c r="AQ38" t="s">
        <v>757</v>
      </c>
      <c r="AR38" t="s">
        <v>472</v>
      </c>
    </row>
    <row r="39" spans="1:53" ht="15">
      <c r="A39" s="90" t="s">
        <v>745</v>
      </c>
      <c r="B39" s="2" t="s">
        <v>684</v>
      </c>
      <c r="C39" s="554">
        <v>53</v>
      </c>
      <c r="D39" s="555">
        <v>0</v>
      </c>
      <c r="E39" s="555">
        <v>9.3192141999251271E-2</v>
      </c>
      <c r="F39" s="556">
        <v>2.4687250838135939</v>
      </c>
      <c r="G39" s="557">
        <v>0</v>
      </c>
      <c r="H39" s="555">
        <v>9.3192121073023496E-3</v>
      </c>
      <c r="I39" s="556">
        <v>2.4687245294104456</v>
      </c>
      <c r="K39" t="s">
        <v>684</v>
      </c>
      <c r="L39" s="558">
        <v>53</v>
      </c>
      <c r="M39" s="580">
        <v>0</v>
      </c>
      <c r="N39" s="580">
        <v>4.3096259485113607E-2</v>
      </c>
      <c r="O39" s="560">
        <v>2.0181704041098869</v>
      </c>
      <c r="P39" s="580">
        <v>0</v>
      </c>
      <c r="Q39" s="580">
        <v>0.16402607691069304</v>
      </c>
      <c r="R39" s="561">
        <v>4.3451656091733968</v>
      </c>
      <c r="T39" s="2" t="s">
        <v>684</v>
      </c>
      <c r="U39" s="554">
        <v>53</v>
      </c>
      <c r="V39" s="569">
        <v>-5.0000805000000028E-3</v>
      </c>
      <c r="W39" s="569">
        <v>0.14745833527710278</v>
      </c>
      <c r="X39" s="556">
        <v>2.2170134734468392</v>
      </c>
      <c r="Y39" s="555">
        <v>-5.0000805000000028E-3</v>
      </c>
      <c r="Z39" s="555">
        <v>9.2790092802532531E-2</v>
      </c>
      <c r="AA39" s="556">
        <v>2.2157919565533715</v>
      </c>
      <c r="AC39" s="2">
        <v>53</v>
      </c>
      <c r="AD39" s="91">
        <v>0</v>
      </c>
      <c r="AE39">
        <v>3.4467271964359142E-2</v>
      </c>
      <c r="AF39">
        <v>2.413191724123454</v>
      </c>
      <c r="AG39">
        <v>0</v>
      </c>
      <c r="AH39">
        <v>2.9389980760995912E-2</v>
      </c>
      <c r="AI39">
        <v>2.0678703465251238</v>
      </c>
      <c r="AK39" s="2" t="s">
        <v>684</v>
      </c>
      <c r="AL39" s="2">
        <v>53</v>
      </c>
      <c r="AM39">
        <v>0</v>
      </c>
      <c r="AN39">
        <v>2.4732675981859877E-2</v>
      </c>
      <c r="AO39">
        <v>2.425238376476075</v>
      </c>
      <c r="AP39">
        <v>1.0001449332066668E-3</v>
      </c>
      <c r="AQ39">
        <v>2.4726218840762974E-2</v>
      </c>
      <c r="AR39">
        <v>2.4130195092876017</v>
      </c>
      <c r="AU39">
        <f>pyReport!E37</f>
        <v>53</v>
      </c>
      <c r="AV39">
        <f>pyReport!F37</f>
        <v>-3.999710819353307E-4</v>
      </c>
      <c r="AW39">
        <f>pyReport!G37</f>
        <v>3.9474481253514854E-2</v>
      </c>
      <c r="AX39">
        <f>pyReport!H37</f>
        <v>2.0844813731992442</v>
      </c>
      <c r="AY39">
        <f>pyReport!I37</f>
        <v>-8.0005031455873763E-4</v>
      </c>
      <c r="AZ39">
        <f>pyReport!J37</f>
        <v>3.9479818130365562E-3</v>
      </c>
      <c r="BA39">
        <f>pyReport!K37</f>
        <v>2.0844813731878782</v>
      </c>
    </row>
    <row r="40" spans="1:53" ht="15">
      <c r="A40" s="90" t="s">
        <v>746</v>
      </c>
      <c r="B40" s="2"/>
      <c r="C40" s="554">
        <v>400</v>
      </c>
      <c r="D40" s="555">
        <v>0</v>
      </c>
      <c r="E40" s="555">
        <v>1.2366337979278063E-2</v>
      </c>
      <c r="F40" s="556">
        <v>2.4252384095436486</v>
      </c>
      <c r="G40" s="557">
        <v>1.0000574406645E-4</v>
      </c>
      <c r="H40" s="555">
        <v>1.2358154466490319E-3</v>
      </c>
      <c r="I40" s="556">
        <v>2.423633490639113</v>
      </c>
      <c r="L40" s="558">
        <v>400</v>
      </c>
      <c r="M40" s="580">
        <v>0</v>
      </c>
      <c r="N40" s="580">
        <v>3.9962974480765669E-2</v>
      </c>
      <c r="O40" s="560">
        <v>3.8769779905197672</v>
      </c>
      <c r="P40" s="581">
        <v>0</v>
      </c>
      <c r="Q40" s="581">
        <v>2.0558740666523925E-2</v>
      </c>
      <c r="R40" s="561">
        <v>4.0319007627973056</v>
      </c>
      <c r="T40" s="2"/>
      <c r="U40" s="554">
        <v>400</v>
      </c>
      <c r="V40" s="569">
        <v>-2.000032200000001E-3</v>
      </c>
      <c r="W40" s="569">
        <v>4.9152961626574246E-2</v>
      </c>
      <c r="X40" s="556">
        <v>2.2170047960718504</v>
      </c>
      <c r="Y40" s="555">
        <v>-2.000032200000001E-3</v>
      </c>
      <c r="Z40" s="555">
        <v>1.2290491304002017E-2</v>
      </c>
      <c r="AA40" s="556">
        <v>2.216579362911693</v>
      </c>
      <c r="AC40" s="2">
        <v>400</v>
      </c>
      <c r="AD40" s="91">
        <v>0</v>
      </c>
      <c r="AE40">
        <v>3.4475466750918227E-2</v>
      </c>
      <c r="AF40">
        <v>2.4078707990916324</v>
      </c>
      <c r="AG40">
        <v>0</v>
      </c>
      <c r="AH40">
        <v>2.4696463346584655E-2</v>
      </c>
      <c r="AI40">
        <v>2.4453142502834293</v>
      </c>
      <c r="AK40" s="2"/>
      <c r="AL40" s="2">
        <v>400</v>
      </c>
      <c r="AM40">
        <v>1.0000208475783433E-3</v>
      </c>
      <c r="AN40">
        <v>2.4742193257958553E-2</v>
      </c>
      <c r="AO40">
        <v>2.4145903384675802</v>
      </c>
      <c r="AP40">
        <v>0</v>
      </c>
      <c r="AQ40">
        <v>3.095671202860229E-3</v>
      </c>
      <c r="AR40">
        <v>2.1889700997443167</v>
      </c>
      <c r="AU40">
        <f>pyReport!E38</f>
        <v>400</v>
      </c>
      <c r="AV40">
        <f>pyReport!F38</f>
        <v>0</v>
      </c>
      <c r="AW40">
        <f>pyReport!G38</f>
        <v>9.6640025872692468E-3</v>
      </c>
      <c r="AX40">
        <f>pyReport!H38</f>
        <v>2.064012940498773</v>
      </c>
      <c r="AY40">
        <f>pyReport!I38</f>
        <v>9.8607613152626476E-20</v>
      </c>
      <c r="AZ40">
        <f>pyReport!J38</f>
        <v>9.6653091423885829E-4</v>
      </c>
      <c r="BA40">
        <f>pyReport!K38</f>
        <v>2.064012940498773</v>
      </c>
    </row>
    <row r="41" spans="1:53" ht="15.75" thickBot="1">
      <c r="A41" s="90" t="s">
        <v>747</v>
      </c>
      <c r="B41" s="2"/>
      <c r="C41" s="554" t="s">
        <v>755</v>
      </c>
      <c r="D41" s="555">
        <v>0</v>
      </c>
      <c r="E41" s="555">
        <v>5.1910618606380056E-3</v>
      </c>
      <c r="F41" s="556">
        <v>2.3215134360004743</v>
      </c>
      <c r="G41" s="557">
        <v>0</v>
      </c>
      <c r="H41" s="555">
        <v>5.1036638243497719E-4</v>
      </c>
      <c r="I41" s="556">
        <v>2.2824278462884511</v>
      </c>
      <c r="L41" s="571" t="s">
        <v>755</v>
      </c>
      <c r="M41" s="582">
        <v>0</v>
      </c>
      <c r="N41" s="582">
        <v>4.2855173127340558E-2</v>
      </c>
      <c r="O41" s="578">
        <v>4.2642490983673316</v>
      </c>
      <c r="P41" s="583">
        <v>0</v>
      </c>
      <c r="Q41" s="583">
        <v>6.9789029027105031E-3</v>
      </c>
      <c r="R41" s="575">
        <v>3.1210602597509638</v>
      </c>
      <c r="T41" s="2"/>
      <c r="U41" s="554" t="s">
        <v>755</v>
      </c>
      <c r="V41" s="569">
        <v>-2.000032200000001E-3</v>
      </c>
      <c r="W41" s="569">
        <v>4.9152961626574246E-2</v>
      </c>
      <c r="X41" s="556">
        <v>2.2170047960718504</v>
      </c>
      <c r="Y41" s="555">
        <v>-2.000032200000001E-3</v>
      </c>
      <c r="Z41" s="555">
        <v>4.9212682854964619E-3</v>
      </c>
      <c r="AA41" s="556">
        <v>2.2142220055716066</v>
      </c>
      <c r="AC41" s="2" t="s">
        <v>755</v>
      </c>
      <c r="AD41" s="91">
        <v>0</v>
      </c>
      <c r="AE41">
        <v>3.4467271964359142E-2</v>
      </c>
      <c r="AF41">
        <v>2.413191724123454</v>
      </c>
      <c r="AG41">
        <v>0</v>
      </c>
      <c r="AH41">
        <v>2.4696463346584655E-2</v>
      </c>
      <c r="AI41">
        <v>2.4453142502834293</v>
      </c>
      <c r="AK41" s="2"/>
      <c r="AL41" s="2" t="s">
        <v>755</v>
      </c>
      <c r="AM41">
        <v>0</v>
      </c>
      <c r="AN41">
        <v>2.473267595982288E-2</v>
      </c>
      <c r="AO41">
        <v>2.4252384077461477</v>
      </c>
      <c r="AP41">
        <v>0</v>
      </c>
      <c r="AQ41">
        <v>5.3619504055471973E-3</v>
      </c>
      <c r="AR41">
        <v>2.1889749814918598</v>
      </c>
      <c r="AU41">
        <f>pyReport!E39</f>
        <v>1000</v>
      </c>
      <c r="AV41">
        <f>pyReport!F39</f>
        <v>2.9997831145149822E-4</v>
      </c>
      <c r="AW41">
        <f>pyReport!G39</f>
        <v>5.5273128617222052E-3</v>
      </c>
      <c r="AX41">
        <f>pyReport!H39</f>
        <v>2.0343771526760048</v>
      </c>
      <c r="AY41">
        <f>pyReport!I39</f>
        <v>0</v>
      </c>
      <c r="AZ41">
        <f>pyReport!J39</f>
        <v>5.5280601441104254E-4</v>
      </c>
      <c r="BA41">
        <f>pyReport!K39</f>
        <v>2.0343771526758858</v>
      </c>
    </row>
    <row r="42" spans="1:53" ht="13.5" thickTop="1">
      <c r="A42" s="90"/>
      <c r="B42" s="2"/>
      <c r="C42" s="2"/>
      <c r="D42" s="2"/>
      <c r="E42" s="2"/>
      <c r="F42" s="2"/>
      <c r="G42" s="2"/>
      <c r="H42" s="2"/>
      <c r="I42" s="2"/>
      <c r="T42" s="2"/>
      <c r="U42" s="2"/>
      <c r="V42" s="2"/>
      <c r="W42" s="2"/>
      <c r="X42" s="2"/>
      <c r="Y42" s="2"/>
      <c r="Z42" s="2"/>
      <c r="AA42" s="2"/>
      <c r="AK42" s="2"/>
      <c r="AL42" s="2"/>
    </row>
    <row r="43" spans="1:53">
      <c r="A43" s="90"/>
      <c r="B43" s="2"/>
      <c r="C43" s="2"/>
      <c r="D43" s="2"/>
      <c r="E43" s="2"/>
      <c r="F43" s="2"/>
      <c r="G43" s="2"/>
      <c r="H43" s="2"/>
      <c r="I43" s="2"/>
      <c r="T43" s="2"/>
      <c r="U43" s="2"/>
      <c r="V43" s="2"/>
      <c r="W43" s="2"/>
      <c r="X43" s="2"/>
      <c r="Y43" s="2"/>
      <c r="Z43" s="2"/>
      <c r="AA43" s="2"/>
      <c r="AK43" s="2"/>
      <c r="AL43" s="2"/>
    </row>
    <row r="44" spans="1:53">
      <c r="A44" s="90"/>
      <c r="B44" s="2"/>
      <c r="C44" s="2"/>
      <c r="D44" s="2"/>
      <c r="E44" s="2"/>
      <c r="F44" s="2"/>
      <c r="G44" s="2"/>
      <c r="H44" s="2"/>
      <c r="I44" s="2"/>
      <c r="T44" s="2"/>
      <c r="U44" s="2"/>
      <c r="V44" s="2"/>
      <c r="W44" s="2"/>
      <c r="X44" s="2"/>
      <c r="Y44" s="2"/>
      <c r="Z44" s="2"/>
      <c r="AA44" s="2"/>
      <c r="AK44" s="2"/>
      <c r="AL44" s="2"/>
    </row>
    <row r="45" spans="1:53">
      <c r="A45" s="90"/>
      <c r="B45" s="2" t="s">
        <v>748</v>
      </c>
      <c r="C45" s="2" t="s">
        <v>143</v>
      </c>
      <c r="D45" s="2" t="s">
        <v>749</v>
      </c>
      <c r="E45" s="2" t="s">
        <v>468</v>
      </c>
      <c r="F45" s="2" t="s">
        <v>471</v>
      </c>
      <c r="G45" s="2" t="s">
        <v>751</v>
      </c>
      <c r="H45" s="2" t="s">
        <v>468</v>
      </c>
      <c r="I45" s="2" t="s">
        <v>471</v>
      </c>
      <c r="K45" t="s">
        <v>748</v>
      </c>
      <c r="L45" t="s">
        <v>143</v>
      </c>
      <c r="M45" t="s">
        <v>749</v>
      </c>
      <c r="N45" t="s">
        <v>468</v>
      </c>
      <c r="O45" t="s">
        <v>471</v>
      </c>
      <c r="P45" t="s">
        <v>751</v>
      </c>
      <c r="Q45" t="s">
        <v>468</v>
      </c>
      <c r="R45" t="s">
        <v>471</v>
      </c>
      <c r="T45" s="2" t="s">
        <v>748</v>
      </c>
      <c r="U45" s="2" t="s">
        <v>143</v>
      </c>
      <c r="V45" s="2" t="s">
        <v>749</v>
      </c>
      <c r="W45" s="2" t="s">
        <v>468</v>
      </c>
      <c r="X45" s="2" t="s">
        <v>471</v>
      </c>
      <c r="Y45" s="2" t="s">
        <v>751</v>
      </c>
      <c r="Z45" s="2" t="s">
        <v>468</v>
      </c>
      <c r="AA45" s="2" t="s">
        <v>471</v>
      </c>
      <c r="AC45" s="2" t="s">
        <v>143</v>
      </c>
      <c r="AD45" t="s">
        <v>749</v>
      </c>
      <c r="AE45" t="s">
        <v>468</v>
      </c>
      <c r="AF45" t="s">
        <v>471</v>
      </c>
      <c r="AG45" t="s">
        <v>751</v>
      </c>
      <c r="AH45" t="s">
        <v>468</v>
      </c>
      <c r="AI45" t="s">
        <v>471</v>
      </c>
      <c r="AK45" s="2" t="s">
        <v>748</v>
      </c>
      <c r="AL45" s="2" t="s">
        <v>143</v>
      </c>
      <c r="AM45" t="s">
        <v>749</v>
      </c>
      <c r="AN45" t="s">
        <v>468</v>
      </c>
      <c r="AO45" t="s">
        <v>471</v>
      </c>
      <c r="AP45" t="s">
        <v>751</v>
      </c>
      <c r="AQ45" t="s">
        <v>468</v>
      </c>
      <c r="AR45" t="s">
        <v>471</v>
      </c>
    </row>
    <row r="46" spans="1:53" ht="15.75">
      <c r="A46" s="90"/>
      <c r="B46" s="2"/>
      <c r="C46" s="2" t="s">
        <v>759</v>
      </c>
      <c r="D46" s="2" t="s">
        <v>780</v>
      </c>
      <c r="E46" s="2" t="s">
        <v>780</v>
      </c>
      <c r="F46" s="2" t="s">
        <v>472</v>
      </c>
      <c r="G46" s="2" t="s">
        <v>760</v>
      </c>
      <c r="H46" s="2" t="s">
        <v>760</v>
      </c>
      <c r="I46" s="2" t="s">
        <v>472</v>
      </c>
      <c r="L46" t="s">
        <v>759</v>
      </c>
      <c r="M46" t="s">
        <v>753</v>
      </c>
      <c r="N46" t="s">
        <v>753</v>
      </c>
      <c r="O46" t="s">
        <v>472</v>
      </c>
      <c r="P46" t="s">
        <v>760</v>
      </c>
      <c r="Q46" t="s">
        <v>760</v>
      </c>
      <c r="R46" t="s">
        <v>472</v>
      </c>
      <c r="T46" s="2"/>
      <c r="U46" s="2" t="s">
        <v>759</v>
      </c>
      <c r="V46" s="2" t="s">
        <v>780</v>
      </c>
      <c r="W46" s="2" t="s">
        <v>780</v>
      </c>
      <c r="X46" s="2" t="s">
        <v>472</v>
      </c>
      <c r="Y46" s="2" t="s">
        <v>760</v>
      </c>
      <c r="Z46" s="2" t="s">
        <v>760</v>
      </c>
      <c r="AA46" s="2" t="s">
        <v>472</v>
      </c>
      <c r="AC46" s="2" t="s">
        <v>759</v>
      </c>
      <c r="AD46" t="s">
        <v>782</v>
      </c>
      <c r="AE46" t="s">
        <v>782</v>
      </c>
      <c r="AF46" t="s">
        <v>472</v>
      </c>
      <c r="AG46" t="s">
        <v>760</v>
      </c>
      <c r="AH46" t="s">
        <v>760</v>
      </c>
      <c r="AI46" t="s">
        <v>472</v>
      </c>
      <c r="AK46" s="2"/>
      <c r="AL46" s="2" t="s">
        <v>759</v>
      </c>
      <c r="AM46" t="s">
        <v>782</v>
      </c>
      <c r="AN46" t="s">
        <v>782</v>
      </c>
      <c r="AO46" t="s">
        <v>472</v>
      </c>
      <c r="AP46" t="s">
        <v>760</v>
      </c>
      <c r="AQ46" t="s">
        <v>760</v>
      </c>
      <c r="AR46" t="s">
        <v>472</v>
      </c>
    </row>
    <row r="47" spans="1:53" ht="15.75">
      <c r="A47" s="90" t="s">
        <v>740</v>
      </c>
      <c r="B47" s="554" t="s">
        <v>804</v>
      </c>
      <c r="C47" s="554">
        <v>1.6</v>
      </c>
      <c r="D47" s="555">
        <v>632.49641853984906</v>
      </c>
      <c r="E47" s="555">
        <v>5.5762394524713502E-2</v>
      </c>
      <c r="F47" s="556">
        <v>2.1218344508292781</v>
      </c>
      <c r="G47" s="557">
        <v>100.22011014189265</v>
      </c>
      <c r="H47" s="555">
        <v>2.1961169679918648</v>
      </c>
      <c r="I47" s="556">
        <v>2.143328365816437</v>
      </c>
      <c r="K47" s="584" t="s">
        <v>685</v>
      </c>
      <c r="L47" s="558">
        <v>1.6</v>
      </c>
      <c r="M47" s="559">
        <v>632.49142337257661</v>
      </c>
      <c r="N47" s="559">
        <v>5.5654370841251591E-2</v>
      </c>
      <c r="O47" s="560">
        <v>2.1238098455000705</v>
      </c>
      <c r="P47" s="570">
        <v>100.01756981009893</v>
      </c>
      <c r="Q47" s="570">
        <v>0.74512103082614667</v>
      </c>
      <c r="R47" s="561">
        <v>2.1022464596538657</v>
      </c>
      <c r="T47" s="554" t="s">
        <v>804</v>
      </c>
      <c r="U47" s="554">
        <v>1.6</v>
      </c>
      <c r="V47" s="585">
        <v>632.49560078826039</v>
      </c>
      <c r="W47" s="555">
        <v>5.2018123792353391E-2</v>
      </c>
      <c r="X47" s="556">
        <v>2.3414664128974261</v>
      </c>
      <c r="Y47" s="569">
        <v>100.11728620390772</v>
      </c>
      <c r="Z47" s="569">
        <v>0.11852721286231427</v>
      </c>
      <c r="AA47" s="556">
        <v>2.160859826328076</v>
      </c>
      <c r="AC47" s="2">
        <v>1.6</v>
      </c>
      <c r="AD47">
        <v>632.48837225182808</v>
      </c>
      <c r="AE47">
        <v>8.9214519515604818E-3</v>
      </c>
      <c r="AF47">
        <v>2.0412756091829305</v>
      </c>
      <c r="AG47">
        <v>100.81639877729152</v>
      </c>
      <c r="AH47">
        <v>3.0236675221529103</v>
      </c>
      <c r="AI47">
        <v>2.1145749628748156</v>
      </c>
      <c r="AK47" s="2" t="s">
        <v>686</v>
      </c>
      <c r="AL47" s="2">
        <v>1.6</v>
      </c>
      <c r="AM47">
        <v>632.48547525649201</v>
      </c>
      <c r="AN47">
        <v>8.7256930007946591E-3</v>
      </c>
      <c r="AO47">
        <v>2.0461520677875686</v>
      </c>
      <c r="AP47">
        <v>101.11738465424924</v>
      </c>
      <c r="AQ47">
        <v>2.2023474186025211</v>
      </c>
      <c r="AR47">
        <v>2.1399521170018279</v>
      </c>
      <c r="AU47">
        <f>pyReport!E42</f>
        <v>1600</v>
      </c>
      <c r="AV47">
        <f>pyReport!F42</f>
        <v>632.5047154940986</v>
      </c>
      <c r="AW47">
        <f>pyReport!G42</f>
        <v>2.0885643612010601E-2</v>
      </c>
      <c r="AX47">
        <f>pyReport!H42</f>
        <v>2.1328648615221359</v>
      </c>
      <c r="AY47">
        <f>pyReport!I42</f>
        <v>100.1206114506054</v>
      </c>
      <c r="AZ47">
        <f>pyReport!J42</f>
        <v>2.4069304832975709</v>
      </c>
      <c r="BA47">
        <f>pyReport!K42</f>
        <v>2.2047268281331718</v>
      </c>
    </row>
    <row r="48" spans="1:53" ht="15.75" thickBot="1">
      <c r="A48" s="90" t="s">
        <v>741</v>
      </c>
      <c r="B48" s="554" t="s">
        <v>686</v>
      </c>
      <c r="C48" s="554">
        <v>1.6</v>
      </c>
      <c r="D48" s="555">
        <v>2.0004741205370462</v>
      </c>
      <c r="E48" s="555">
        <v>1.8066452659985281E-4</v>
      </c>
      <c r="F48" s="556">
        <v>2.1009352643614219</v>
      </c>
      <c r="G48" s="557">
        <v>99.883042505986282</v>
      </c>
      <c r="H48" s="555">
        <v>3.9143538865520897E-2</v>
      </c>
      <c r="I48" s="556">
        <v>2.3982350656382971</v>
      </c>
      <c r="K48" s="586" t="s">
        <v>686</v>
      </c>
      <c r="L48" s="571">
        <v>1.6</v>
      </c>
      <c r="M48" s="587">
        <v>2.0004848347745603</v>
      </c>
      <c r="N48" s="587">
        <v>1.7704540832701694E-4</v>
      </c>
      <c r="O48" s="578">
        <v>2.1184147825112221</v>
      </c>
      <c r="P48" s="572">
        <v>99.863542752591371</v>
      </c>
      <c r="Q48" s="572">
        <v>5.6049341349194131E-3</v>
      </c>
      <c r="R48" s="575">
        <v>2.1098841532459649</v>
      </c>
      <c r="T48" s="554" t="s">
        <v>686</v>
      </c>
      <c r="U48" s="554">
        <v>1.6</v>
      </c>
      <c r="V48" s="588">
        <v>2.0004491791218011</v>
      </c>
      <c r="W48" s="567">
        <v>1.606325275066058E-4</v>
      </c>
      <c r="X48" s="556">
        <v>2.2639385883024072</v>
      </c>
      <c r="Y48" s="555">
        <v>99.881245449221169</v>
      </c>
      <c r="Z48" s="555">
        <v>1.5719484007862151E-2</v>
      </c>
      <c r="AA48" s="556">
        <v>2.0881704252904534</v>
      </c>
      <c r="AC48" s="2">
        <v>1.6</v>
      </c>
      <c r="AD48">
        <v>2.0004391220856923</v>
      </c>
      <c r="AE48">
        <v>5.1286364663879337E-5</v>
      </c>
      <c r="AF48">
        <v>2.0384201647147497</v>
      </c>
      <c r="AG48">
        <v>99.882246828303522</v>
      </c>
      <c r="AH48">
        <v>2.4881540052839695E-2</v>
      </c>
      <c r="AI48">
        <v>2.3447206530545577</v>
      </c>
      <c r="AK48" s="2" t="s">
        <v>686</v>
      </c>
      <c r="AL48" s="2">
        <v>1.6</v>
      </c>
      <c r="AM48">
        <v>2.0004167541836031</v>
      </c>
      <c r="AN48">
        <v>4.682190452441673E-5</v>
      </c>
      <c r="AO48">
        <v>2.027750223201501</v>
      </c>
      <c r="AP48">
        <v>99.8781716019583</v>
      </c>
      <c r="AQ48">
        <v>7.3966596047535093E-3</v>
      </c>
      <c r="AR48">
        <v>2.0931425599176681</v>
      </c>
      <c r="AU48">
        <f>pyReport!E43</f>
        <v>1600</v>
      </c>
      <c r="AV48">
        <f>pyReport!F43/1000</f>
        <v>2.000570432139809</v>
      </c>
      <c r="AW48">
        <f>pyReport!G43/1000</f>
        <v>8.3004740070120753E-5</v>
      </c>
      <c r="AX48">
        <f>pyReport!H43</f>
        <v>2.026108743499266</v>
      </c>
      <c r="AY48">
        <f>pyReport!I43/1000</f>
        <v>99.884562856176402</v>
      </c>
      <c r="AZ48">
        <f>pyReport!J43/1000</f>
        <v>3.8312341442776926E-2</v>
      </c>
      <c r="BA48">
        <f>pyReport!K43</f>
        <v>2.1127724230093929</v>
      </c>
    </row>
    <row r="49" spans="1:49" ht="13.5" thickTop="1">
      <c r="B49" s="554"/>
      <c r="C49" s="554"/>
      <c r="D49" s="555"/>
      <c r="E49" s="555"/>
      <c r="F49" s="556"/>
      <c r="G49" s="557"/>
      <c r="H49" s="555"/>
      <c r="I49" s="556"/>
      <c r="T49" s="554"/>
      <c r="U49" s="554"/>
      <c r="V49" s="588"/>
      <c r="W49" s="567"/>
      <c r="X49" s="556"/>
      <c r="Y49" s="555"/>
      <c r="Z49" s="555"/>
      <c r="AA49" s="556"/>
      <c r="AC49" s="2"/>
      <c r="AK49" s="2"/>
      <c r="AL49" s="2"/>
    </row>
    <row r="50" spans="1:49">
      <c r="A50" s="589" t="s">
        <v>709</v>
      </c>
      <c r="B50" s="590" t="s">
        <v>749</v>
      </c>
      <c r="C50" s="555"/>
      <c r="D50" s="172" t="s">
        <v>805</v>
      </c>
      <c r="F50" s="556"/>
      <c r="G50" s="557"/>
      <c r="H50" s="555"/>
      <c r="I50" s="556"/>
      <c r="T50" s="554"/>
      <c r="U50" s="554"/>
      <c r="V50" s="588"/>
      <c r="W50" s="567"/>
      <c r="X50" s="556"/>
      <c r="Y50" s="555"/>
      <c r="Z50" s="555"/>
      <c r="AA50" s="556"/>
      <c r="AC50" s="2"/>
      <c r="AK50" s="2"/>
      <c r="AL50" s="2"/>
    </row>
    <row r="51" spans="1:49">
      <c r="A51" s="401">
        <f>AU3</f>
        <v>43073</v>
      </c>
      <c r="B51">
        <f>VLOOKUP($A$50,hist1074,48, FALSE)</f>
        <v>3.8512722691834629</v>
      </c>
      <c r="C51">
        <f>VLOOKUP($A$50,hist1074,49, FALSE)</f>
        <v>3.9484386600699195E-2</v>
      </c>
      <c r="D51">
        <f>VLOOKUP($A$50,hist1074,51, FALSE)</f>
        <v>5.0010295429872851E-3</v>
      </c>
      <c r="E51">
        <f>VLOOKUP($A$50,hist1074,52, FALSE)</f>
        <v>3.9489763464648038E-3</v>
      </c>
      <c r="F51" s="556"/>
      <c r="G51" s="557"/>
      <c r="H51" s="555"/>
      <c r="I51" s="556"/>
      <c r="T51" s="554"/>
      <c r="U51" s="554"/>
      <c r="V51" s="588"/>
      <c r="W51" s="567"/>
      <c r="X51" s="556"/>
      <c r="Y51" s="555"/>
      <c r="Z51" s="555"/>
      <c r="AA51" s="556"/>
      <c r="AC51" s="2"/>
      <c r="AK51" s="2"/>
      <c r="AL51" s="2"/>
    </row>
    <row r="52" spans="1:49">
      <c r="A52" s="401">
        <f>B3</f>
        <v>41948</v>
      </c>
      <c r="B52">
        <f>VLOOKUP($A$50,hist1074,4, FALSE)</f>
        <v>3.8312702713885258</v>
      </c>
      <c r="C52">
        <f>VLOOKUP($A$50,hist1074,5, FALSE)</f>
        <v>9.3189775214891274E-2</v>
      </c>
      <c r="D52">
        <f>VLOOKUP($A$50,hist1074,7, FALSE)</f>
        <v>1.0002007000188887E-3</v>
      </c>
      <c r="E52">
        <f>VLOOKUP($A$50,hist1074,8, FALSE)</f>
        <v>9.3197265801968562E-3</v>
      </c>
    </row>
    <row r="53" spans="1:49">
      <c r="A53" s="401">
        <f>K3</f>
        <v>40668</v>
      </c>
      <c r="B53">
        <f>VLOOKUP($A$50,hist1074,13, FALSE)</f>
        <v>3.8322218984877865</v>
      </c>
      <c r="C53">
        <f>VLOOKUP($A$50,hist1074,14, FALSE)</f>
        <v>1.0188356511560991E-2</v>
      </c>
      <c r="D53">
        <f>VLOOKUP($A$50,hist1074,16, FALSE)</f>
        <v>8.3014582942382113E-3</v>
      </c>
      <c r="E53">
        <f>VLOOKUP($A$50,hist1074,17, FALSE)</f>
        <v>1.5978883640538642E-2</v>
      </c>
    </row>
    <row r="54" spans="1:49">
      <c r="A54" s="401">
        <f>T3</f>
        <v>38398</v>
      </c>
      <c r="B54">
        <f>VLOOKUP($A$50,hist1074,22, FALSE)</f>
        <v>3.8122175889600025</v>
      </c>
      <c r="C54">
        <f>VLOOKUP($A$50,hist1074,23, FALSE)</f>
        <v>1.4746122829393967E-2</v>
      </c>
      <c r="D54">
        <f>VLOOKUP($A$50,hist1074,25, FALSE)</f>
        <v>0</v>
      </c>
      <c r="E54">
        <f>VLOOKUP($A$50,hist1074,26, FALSE)</f>
        <v>9.2740293890837197E-3</v>
      </c>
    </row>
    <row r="55" spans="1:49">
      <c r="A55" s="401">
        <f>AC3</f>
        <v>37231</v>
      </c>
      <c r="B55">
        <f>VLOOKUP($A$50,hist1074,30, FALSE)</f>
        <v>3.8131927566804933</v>
      </c>
      <c r="C55">
        <f>VLOOKUP($A$50,hist1074,31, FALSE)</f>
        <v>6.3240717489629859E-3</v>
      </c>
      <c r="D55">
        <f>VLOOKUP($A$50,hist1074,33, FALSE)</f>
        <v>0</v>
      </c>
      <c r="E55">
        <f>VLOOKUP($A$50,hist1074,34, FALSE)</f>
        <v>1.0091324616682221E-2</v>
      </c>
    </row>
    <row r="56" spans="1:49">
      <c r="A56" s="401">
        <f>AK3</f>
        <v>36143</v>
      </c>
      <c r="B56">
        <f>VLOOKUP($A$50,hist1074,39, FALSE)</f>
        <v>3.8141825739250157</v>
      </c>
      <c r="C56">
        <f>VLOOKUP($A$50,hist1074,40, FALSE)</f>
        <v>6.1747320241102386E-3</v>
      </c>
      <c r="D56">
        <f>VLOOKUP($A$50,hist1074,42, FALSE)</f>
        <v>8.0013756402966749E-3</v>
      </c>
      <c r="E56">
        <f>VLOOKUP($A$50,hist1074,43, FALSE)</f>
        <v>1.2347856070786992E-2</v>
      </c>
    </row>
    <row r="57" spans="1:49">
      <c r="A57" s="401"/>
    </row>
    <row r="58" spans="1:49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P58" s="2"/>
      <c r="AQ58" s="2"/>
      <c r="AR58" s="2"/>
      <c r="AS58" s="2"/>
      <c r="AT58" s="2"/>
      <c r="AU58" s="2"/>
      <c r="AV58" s="2"/>
      <c r="AW58" s="2"/>
    </row>
    <row r="59" spans="1:49">
      <c r="C59" s="554"/>
      <c r="D59" s="554"/>
      <c r="E59" s="554"/>
      <c r="F59" s="554"/>
      <c r="G59" s="554"/>
      <c r="H59" s="554"/>
      <c r="I59" s="554"/>
      <c r="J59" s="554"/>
      <c r="K59" s="554"/>
      <c r="L59" s="554"/>
      <c r="M59" s="554"/>
      <c r="N59" s="554"/>
      <c r="O59" s="554"/>
      <c r="P59" s="554"/>
      <c r="Q59" s="554"/>
      <c r="R59" s="554"/>
      <c r="S59" s="554"/>
      <c r="T59" s="554"/>
      <c r="U59" s="554"/>
      <c r="V59" s="554"/>
      <c r="W59" s="554"/>
      <c r="X59" s="554"/>
      <c r="Y59" s="554"/>
      <c r="Z59" s="554"/>
      <c r="AA59" s="554"/>
      <c r="AB59" s="554"/>
      <c r="AD59" s="2"/>
      <c r="AE59" s="2"/>
      <c r="AF59" s="554"/>
      <c r="AG59" s="554"/>
      <c r="AH59" s="554"/>
      <c r="AI59" s="554"/>
      <c r="AJ59" s="554"/>
      <c r="AK59" s="554"/>
      <c r="AL59" s="554"/>
      <c r="AM59" s="554"/>
      <c r="AN59" s="554"/>
      <c r="AP59" s="2"/>
      <c r="AQ59" s="2"/>
      <c r="AR59" s="554"/>
      <c r="AS59" s="554"/>
      <c r="AT59" s="554"/>
      <c r="AU59" s="2"/>
      <c r="AV59" s="2"/>
      <c r="AW59" s="2"/>
    </row>
    <row r="68" spans="1:5">
      <c r="B68" s="401"/>
      <c r="C68" s="401"/>
      <c r="D68" s="401"/>
      <c r="E68" s="401"/>
    </row>
    <row r="69" spans="1:5">
      <c r="A69" s="2"/>
      <c r="B69" s="65"/>
      <c r="C69" s="65"/>
      <c r="D69" s="65"/>
      <c r="E69" s="65"/>
    </row>
    <row r="70" spans="1:5">
      <c r="A70" s="554"/>
      <c r="B70" s="65"/>
      <c r="C70" s="65"/>
      <c r="D70" s="65"/>
      <c r="E70" s="65"/>
    </row>
    <row r="71" spans="1:5">
      <c r="B71" s="91"/>
      <c r="C71" s="91"/>
      <c r="D71" s="91"/>
      <c r="E71" s="91"/>
    </row>
    <row r="72" spans="1:5">
      <c r="B72" s="65"/>
      <c r="C72" s="65"/>
      <c r="D72" s="65"/>
      <c r="E72" s="65"/>
    </row>
    <row r="75" spans="1:5">
      <c r="B75" s="65"/>
      <c r="C75" s="65"/>
      <c r="D75" s="65"/>
      <c r="E75" s="65"/>
    </row>
    <row r="76" spans="1:5">
      <c r="B76" s="65"/>
      <c r="C76" s="65"/>
      <c r="D76" s="65"/>
      <c r="E76" s="65"/>
    </row>
    <row r="77" spans="1:5">
      <c r="B77" s="91"/>
      <c r="C77" s="91"/>
      <c r="D77" s="91"/>
      <c r="E77" s="91"/>
    </row>
    <row r="78" spans="1:5">
      <c r="B78" s="65"/>
      <c r="C78" s="65"/>
      <c r="D78" s="65"/>
      <c r="E78" s="6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76"/>
  <sheetViews>
    <sheetView workbookViewId="0">
      <selection activeCell="G3" sqref="G3"/>
    </sheetView>
  </sheetViews>
  <sheetFormatPr defaultRowHeight="12.75"/>
  <cols>
    <col min="1" max="1" width="16.42578125" customWidth="1"/>
    <col min="2" max="2" width="11.140625" customWidth="1"/>
    <col min="3" max="3" width="11.28515625" customWidth="1"/>
    <col min="5" max="6" width="12.140625" customWidth="1"/>
    <col min="7" max="7" width="11.42578125" customWidth="1"/>
  </cols>
  <sheetData>
    <row r="1" spans="1:9">
      <c r="A1" s="179">
        <v>43073.6875</v>
      </c>
      <c r="B1">
        <v>20.9</v>
      </c>
      <c r="C1">
        <v>53.6</v>
      </c>
      <c r="G1" t="s">
        <v>565</v>
      </c>
      <c r="H1">
        <v>-2.1280000000000001</v>
      </c>
      <c r="I1" t="s">
        <v>566</v>
      </c>
    </row>
    <row r="2" spans="1:9">
      <c r="A2" s="179">
        <v>43073.690972222219</v>
      </c>
      <c r="B2">
        <v>20.9</v>
      </c>
      <c r="C2">
        <v>53.8</v>
      </c>
      <c r="E2" t="s">
        <v>506</v>
      </c>
      <c r="G2" t="s">
        <v>444</v>
      </c>
    </row>
    <row r="3" spans="1:9">
      <c r="A3" s="179">
        <v>43073.694444444445</v>
      </c>
      <c r="B3">
        <v>20.9</v>
      </c>
      <c r="C3">
        <v>54.8</v>
      </c>
      <c r="E3" s="593">
        <f>Results!N4</f>
        <v>20.16689655172414</v>
      </c>
      <c r="G3">
        <f>AVERAGE(C1:C292)</f>
        <v>52.280479452054777</v>
      </c>
      <c r="H3" s="276">
        <f>G3+H1</f>
        <v>50.152479452054777</v>
      </c>
    </row>
    <row r="4" spans="1:9">
      <c r="A4" s="179">
        <v>43073.697916666664</v>
      </c>
      <c r="B4">
        <v>20.9</v>
      </c>
      <c r="C4">
        <v>54.4</v>
      </c>
      <c r="E4" s="80">
        <f>Results!N5</f>
        <v>7.0462930896620424E-2</v>
      </c>
      <c r="G4">
        <f>STDEV(C1:C292)</f>
        <v>1.1136434937588653</v>
      </c>
    </row>
    <row r="5" spans="1:9">
      <c r="A5" s="179">
        <v>43073.701388888891</v>
      </c>
      <c r="B5">
        <v>20.9</v>
      </c>
      <c r="C5">
        <v>54.3</v>
      </c>
    </row>
    <row r="6" spans="1:9">
      <c r="A6" s="179">
        <v>43073.704861111109</v>
      </c>
      <c r="B6">
        <v>20.8</v>
      </c>
      <c r="C6">
        <v>54.2</v>
      </c>
      <c r="E6" t="s">
        <v>564</v>
      </c>
    </row>
    <row r="7" spans="1:9">
      <c r="A7" s="179">
        <v>43073.708333333336</v>
      </c>
      <c r="B7">
        <v>20.8</v>
      </c>
      <c r="C7">
        <v>53.6</v>
      </c>
    </row>
    <row r="8" spans="1:9">
      <c r="A8" s="179">
        <v>43073.711805555555</v>
      </c>
      <c r="B8">
        <v>20.9</v>
      </c>
      <c r="C8">
        <v>53.4</v>
      </c>
    </row>
    <row r="9" spans="1:9">
      <c r="A9" s="179">
        <v>43073.715277777781</v>
      </c>
      <c r="B9">
        <v>20.9</v>
      </c>
      <c r="C9">
        <v>53.3</v>
      </c>
    </row>
    <row r="10" spans="1:9">
      <c r="A10" s="179">
        <v>43073.71875</v>
      </c>
      <c r="B10">
        <v>20.8</v>
      </c>
      <c r="C10">
        <v>53.7</v>
      </c>
    </row>
    <row r="11" spans="1:9">
      <c r="A11" s="179">
        <v>43073.722222222219</v>
      </c>
      <c r="B11">
        <v>20.8</v>
      </c>
      <c r="C11">
        <v>53</v>
      </c>
    </row>
    <row r="12" spans="1:9">
      <c r="A12" s="179">
        <v>43073.725694444445</v>
      </c>
      <c r="B12">
        <v>20.8</v>
      </c>
      <c r="C12">
        <v>52.6</v>
      </c>
    </row>
    <row r="13" spans="1:9">
      <c r="A13" s="179">
        <v>43073.729166666664</v>
      </c>
      <c r="B13">
        <v>20.9</v>
      </c>
      <c r="C13">
        <v>52.4</v>
      </c>
    </row>
    <row r="14" spans="1:9">
      <c r="A14" s="179">
        <v>43073.732638888891</v>
      </c>
      <c r="B14">
        <v>20.9</v>
      </c>
      <c r="C14">
        <v>52</v>
      </c>
    </row>
    <row r="15" spans="1:9">
      <c r="A15" s="179">
        <v>43073.736111111109</v>
      </c>
      <c r="B15">
        <v>20.9</v>
      </c>
      <c r="C15">
        <v>52</v>
      </c>
    </row>
    <row r="16" spans="1:9">
      <c r="A16" s="179">
        <v>43073.739583333336</v>
      </c>
      <c r="B16">
        <v>20.9</v>
      </c>
      <c r="C16">
        <v>52.1</v>
      </c>
    </row>
    <row r="17" spans="1:3">
      <c r="A17" s="179">
        <v>43073.743055555555</v>
      </c>
      <c r="B17">
        <v>20.9</v>
      </c>
      <c r="C17">
        <v>52</v>
      </c>
    </row>
    <row r="18" spans="1:3">
      <c r="A18" s="179">
        <v>43073.746527777781</v>
      </c>
      <c r="B18">
        <v>20.9</v>
      </c>
      <c r="C18">
        <v>51.8</v>
      </c>
    </row>
    <row r="19" spans="1:3">
      <c r="A19" s="179">
        <v>43073.75</v>
      </c>
      <c r="B19">
        <v>20.9</v>
      </c>
      <c r="C19">
        <v>52.1</v>
      </c>
    </row>
    <row r="20" spans="1:3">
      <c r="A20" s="179">
        <v>43073.753472222219</v>
      </c>
      <c r="B20">
        <v>20.9</v>
      </c>
      <c r="C20">
        <v>52.1</v>
      </c>
    </row>
    <row r="21" spans="1:3">
      <c r="A21" s="179">
        <v>43073.756944444445</v>
      </c>
      <c r="B21">
        <v>20.9</v>
      </c>
      <c r="C21">
        <v>52</v>
      </c>
    </row>
    <row r="22" spans="1:3">
      <c r="A22" s="179">
        <v>43073.760416666664</v>
      </c>
      <c r="B22">
        <v>20.9</v>
      </c>
      <c r="C22">
        <v>52.3</v>
      </c>
    </row>
    <row r="23" spans="1:3">
      <c r="A23" s="179">
        <v>43073.763888888891</v>
      </c>
      <c r="B23">
        <v>20.9</v>
      </c>
      <c r="C23">
        <v>52.3</v>
      </c>
    </row>
    <row r="24" spans="1:3">
      <c r="A24" s="179">
        <v>43073.767361111109</v>
      </c>
      <c r="B24">
        <v>20.9</v>
      </c>
      <c r="C24">
        <v>52</v>
      </c>
    </row>
    <row r="25" spans="1:3">
      <c r="A25" s="179">
        <v>43073.770833333336</v>
      </c>
      <c r="B25">
        <v>21</v>
      </c>
      <c r="C25">
        <v>51.9</v>
      </c>
    </row>
    <row r="26" spans="1:3">
      <c r="A26" s="179">
        <v>43073.774305555555</v>
      </c>
      <c r="B26">
        <v>21</v>
      </c>
      <c r="C26">
        <v>52</v>
      </c>
    </row>
    <row r="27" spans="1:3">
      <c r="A27" s="179">
        <v>43073.777777777781</v>
      </c>
      <c r="B27">
        <v>20.9</v>
      </c>
      <c r="C27">
        <v>51.9</v>
      </c>
    </row>
    <row r="28" spans="1:3">
      <c r="A28" s="179">
        <v>43073.78125</v>
      </c>
      <c r="B28">
        <v>20.9</v>
      </c>
      <c r="C28">
        <v>51.9</v>
      </c>
    </row>
    <row r="29" spans="1:3">
      <c r="A29" s="179">
        <v>43073.784722222219</v>
      </c>
      <c r="B29">
        <v>20.9</v>
      </c>
      <c r="C29">
        <v>51.8</v>
      </c>
    </row>
    <row r="30" spans="1:3">
      <c r="A30" s="179">
        <v>43073.788194444445</v>
      </c>
      <c r="B30">
        <v>20.9</v>
      </c>
      <c r="C30">
        <v>51.8</v>
      </c>
    </row>
    <row r="31" spans="1:3">
      <c r="A31" s="179">
        <v>43073.791666666664</v>
      </c>
      <c r="B31">
        <v>20.9</v>
      </c>
      <c r="C31">
        <v>51.8</v>
      </c>
    </row>
    <row r="32" spans="1:3">
      <c r="A32" s="179">
        <v>43073.795138888891</v>
      </c>
      <c r="B32">
        <v>20.9</v>
      </c>
      <c r="C32">
        <v>51.8</v>
      </c>
    </row>
    <row r="33" spans="1:3">
      <c r="A33" s="179">
        <v>43073.798611111109</v>
      </c>
      <c r="B33">
        <v>21</v>
      </c>
      <c r="C33">
        <v>51.6</v>
      </c>
    </row>
    <row r="34" spans="1:3">
      <c r="A34" s="179">
        <v>43073.802083333336</v>
      </c>
      <c r="B34">
        <v>21</v>
      </c>
      <c r="C34">
        <v>51.7</v>
      </c>
    </row>
    <row r="35" spans="1:3">
      <c r="A35" s="179">
        <v>43073.805555555555</v>
      </c>
      <c r="B35">
        <v>21</v>
      </c>
      <c r="C35">
        <v>51.6</v>
      </c>
    </row>
    <row r="36" spans="1:3">
      <c r="A36" s="179">
        <v>43073.809027777781</v>
      </c>
      <c r="B36">
        <v>21</v>
      </c>
      <c r="C36">
        <v>51.7</v>
      </c>
    </row>
    <row r="37" spans="1:3">
      <c r="A37" s="179">
        <v>43073.8125</v>
      </c>
      <c r="B37">
        <v>21</v>
      </c>
      <c r="C37">
        <v>51.7</v>
      </c>
    </row>
    <row r="38" spans="1:3">
      <c r="A38" s="179">
        <v>43073.815972222219</v>
      </c>
      <c r="B38">
        <v>21</v>
      </c>
      <c r="C38">
        <v>51.7</v>
      </c>
    </row>
    <row r="39" spans="1:3">
      <c r="A39" s="179">
        <v>43073.819444444445</v>
      </c>
      <c r="B39">
        <v>21</v>
      </c>
      <c r="C39">
        <v>51.9</v>
      </c>
    </row>
    <row r="40" spans="1:3">
      <c r="A40" s="179">
        <v>43073.822916666664</v>
      </c>
      <c r="B40">
        <v>21</v>
      </c>
      <c r="C40">
        <v>51.9</v>
      </c>
    </row>
    <row r="41" spans="1:3">
      <c r="A41" s="179">
        <v>43073.826388888891</v>
      </c>
      <c r="B41">
        <v>21</v>
      </c>
      <c r="C41">
        <v>51.6</v>
      </c>
    </row>
    <row r="42" spans="1:3">
      <c r="A42" s="179">
        <v>43073.829861111109</v>
      </c>
      <c r="B42">
        <v>21</v>
      </c>
      <c r="C42">
        <v>51.7</v>
      </c>
    </row>
    <row r="43" spans="1:3">
      <c r="A43" s="179">
        <v>43073.833333333336</v>
      </c>
      <c r="B43">
        <v>21</v>
      </c>
      <c r="C43">
        <v>51.7</v>
      </c>
    </row>
    <row r="44" spans="1:3">
      <c r="A44" s="179">
        <v>43073.836805555555</v>
      </c>
      <c r="B44">
        <v>21</v>
      </c>
      <c r="C44">
        <v>51.7</v>
      </c>
    </row>
    <row r="45" spans="1:3">
      <c r="A45" s="179">
        <v>43073.840277777781</v>
      </c>
      <c r="B45">
        <v>21</v>
      </c>
      <c r="C45">
        <v>51.6</v>
      </c>
    </row>
    <row r="46" spans="1:3">
      <c r="A46" s="179">
        <v>43073.84375</v>
      </c>
      <c r="B46">
        <v>21</v>
      </c>
      <c r="C46">
        <v>51.9</v>
      </c>
    </row>
    <row r="47" spans="1:3">
      <c r="A47" s="179">
        <v>43073.847222222219</v>
      </c>
      <c r="B47">
        <v>21</v>
      </c>
      <c r="C47">
        <v>51.9</v>
      </c>
    </row>
    <row r="48" spans="1:3">
      <c r="A48" s="179">
        <v>43073.850694444445</v>
      </c>
      <c r="B48">
        <v>21</v>
      </c>
      <c r="C48">
        <v>51.9</v>
      </c>
    </row>
    <row r="49" spans="1:3">
      <c r="A49" s="179">
        <v>43073.854166666664</v>
      </c>
      <c r="B49">
        <v>21</v>
      </c>
      <c r="C49">
        <v>51.8</v>
      </c>
    </row>
    <row r="50" spans="1:3">
      <c r="A50" s="179">
        <v>43073.857638888891</v>
      </c>
      <c r="B50">
        <v>21</v>
      </c>
      <c r="C50">
        <v>51.7</v>
      </c>
    </row>
    <row r="51" spans="1:3">
      <c r="A51" s="179">
        <v>43073.861111111109</v>
      </c>
      <c r="B51">
        <v>21.1</v>
      </c>
      <c r="C51">
        <v>51.6</v>
      </c>
    </row>
    <row r="52" spans="1:3">
      <c r="A52" s="179">
        <v>43073.864583333336</v>
      </c>
      <c r="B52">
        <v>21.1</v>
      </c>
      <c r="C52">
        <v>51.8</v>
      </c>
    </row>
    <row r="53" spans="1:3">
      <c r="A53" s="179">
        <v>43073.868055555555</v>
      </c>
      <c r="B53">
        <v>21</v>
      </c>
      <c r="C53">
        <v>52</v>
      </c>
    </row>
    <row r="54" spans="1:3">
      <c r="A54" s="179">
        <v>43073.871527777781</v>
      </c>
      <c r="B54">
        <v>21</v>
      </c>
      <c r="C54">
        <v>52.2</v>
      </c>
    </row>
    <row r="55" spans="1:3">
      <c r="A55" s="179">
        <v>43073.875</v>
      </c>
      <c r="B55">
        <v>21</v>
      </c>
      <c r="C55">
        <v>52.2</v>
      </c>
    </row>
    <row r="56" spans="1:3">
      <c r="A56" s="179">
        <v>43073.878472222219</v>
      </c>
      <c r="B56">
        <v>21</v>
      </c>
      <c r="C56">
        <v>52</v>
      </c>
    </row>
    <row r="57" spans="1:3">
      <c r="A57" s="179">
        <v>43073.881944444445</v>
      </c>
      <c r="B57">
        <v>21</v>
      </c>
      <c r="C57">
        <v>51.9</v>
      </c>
    </row>
    <row r="58" spans="1:3">
      <c r="A58" s="179">
        <v>43073.885416666664</v>
      </c>
      <c r="B58">
        <v>21</v>
      </c>
      <c r="C58">
        <v>52.1</v>
      </c>
    </row>
    <row r="59" spans="1:3">
      <c r="A59" s="179">
        <v>43073.888888888891</v>
      </c>
      <c r="B59">
        <v>21.1</v>
      </c>
      <c r="C59">
        <v>52</v>
      </c>
    </row>
    <row r="60" spans="1:3">
      <c r="A60" s="179">
        <v>43073.892361111109</v>
      </c>
      <c r="B60">
        <v>21</v>
      </c>
      <c r="C60">
        <v>52.2</v>
      </c>
    </row>
    <row r="61" spans="1:3">
      <c r="A61" s="179">
        <v>43073.895833333336</v>
      </c>
      <c r="B61">
        <v>21</v>
      </c>
      <c r="C61">
        <v>51.9</v>
      </c>
    </row>
    <row r="62" spans="1:3">
      <c r="A62" s="179">
        <v>43073.899305555555</v>
      </c>
      <c r="B62">
        <v>21</v>
      </c>
      <c r="C62">
        <v>52</v>
      </c>
    </row>
    <row r="63" spans="1:3">
      <c r="A63" s="179">
        <v>43073.902777777781</v>
      </c>
      <c r="B63">
        <v>21</v>
      </c>
      <c r="C63">
        <v>51.8</v>
      </c>
    </row>
    <row r="64" spans="1:3">
      <c r="A64" s="179">
        <v>43073.90625</v>
      </c>
      <c r="B64">
        <v>21.1</v>
      </c>
      <c r="C64">
        <v>51.5</v>
      </c>
    </row>
    <row r="65" spans="1:3">
      <c r="A65" s="179">
        <v>43073.909722222219</v>
      </c>
      <c r="B65">
        <v>21</v>
      </c>
      <c r="C65">
        <v>51.7</v>
      </c>
    </row>
    <row r="66" spans="1:3">
      <c r="A66" s="179">
        <v>43073.913194444445</v>
      </c>
      <c r="B66">
        <v>21.1</v>
      </c>
      <c r="C66">
        <v>51.6</v>
      </c>
    </row>
    <row r="67" spans="1:3">
      <c r="A67" s="179">
        <v>43073.916666666664</v>
      </c>
      <c r="B67">
        <v>21.1</v>
      </c>
      <c r="C67">
        <v>51.5</v>
      </c>
    </row>
    <row r="68" spans="1:3">
      <c r="A68" s="179">
        <v>43073.920138888891</v>
      </c>
      <c r="B68">
        <v>21.1</v>
      </c>
      <c r="C68">
        <v>51.3</v>
      </c>
    </row>
    <row r="69" spans="1:3">
      <c r="A69" s="179">
        <v>43073.923611111109</v>
      </c>
      <c r="B69">
        <v>21.1</v>
      </c>
      <c r="C69">
        <v>51.5</v>
      </c>
    </row>
    <row r="70" spans="1:3">
      <c r="A70" s="179">
        <v>43073.927083333336</v>
      </c>
      <c r="B70">
        <v>21</v>
      </c>
      <c r="C70">
        <v>51.7</v>
      </c>
    </row>
    <row r="71" spans="1:3">
      <c r="A71" s="179">
        <v>43073.930555555555</v>
      </c>
      <c r="B71">
        <v>21.1</v>
      </c>
      <c r="C71">
        <v>51.6</v>
      </c>
    </row>
    <row r="72" spans="1:3">
      <c r="A72" s="179">
        <v>43073.934027777781</v>
      </c>
      <c r="B72">
        <v>21.1</v>
      </c>
      <c r="C72">
        <v>52</v>
      </c>
    </row>
    <row r="73" spans="1:3">
      <c r="A73" s="179">
        <v>43073.9375</v>
      </c>
      <c r="B73">
        <v>21.1</v>
      </c>
      <c r="C73">
        <v>51.5</v>
      </c>
    </row>
    <row r="74" spans="1:3">
      <c r="A74" s="179">
        <v>43073.940972222219</v>
      </c>
      <c r="B74">
        <v>21.1</v>
      </c>
      <c r="C74">
        <v>51.4</v>
      </c>
    </row>
    <row r="75" spans="1:3">
      <c r="A75" s="179">
        <v>43073.944444444445</v>
      </c>
      <c r="B75">
        <v>21.1</v>
      </c>
      <c r="C75">
        <v>51.2</v>
      </c>
    </row>
    <row r="76" spans="1:3">
      <c r="A76" s="179">
        <v>43073.947916666664</v>
      </c>
      <c r="B76">
        <v>21.1</v>
      </c>
      <c r="C76">
        <v>51.2</v>
      </c>
    </row>
    <row r="77" spans="1:3">
      <c r="A77" s="179">
        <v>43073.951388888891</v>
      </c>
      <c r="B77">
        <v>21.1</v>
      </c>
      <c r="C77">
        <v>51.3</v>
      </c>
    </row>
    <row r="78" spans="1:3">
      <c r="A78" s="179">
        <v>43073.954861111109</v>
      </c>
      <c r="B78">
        <v>21.1</v>
      </c>
      <c r="C78">
        <v>51.4</v>
      </c>
    </row>
    <row r="79" spans="1:3">
      <c r="A79" s="179">
        <v>43073.958333333336</v>
      </c>
      <c r="B79">
        <v>21.1</v>
      </c>
      <c r="C79">
        <v>51.3</v>
      </c>
    </row>
    <row r="80" spans="1:3">
      <c r="A80" s="179">
        <v>43073.961805555555</v>
      </c>
      <c r="B80">
        <v>21.1</v>
      </c>
      <c r="C80">
        <v>51.3</v>
      </c>
    </row>
    <row r="81" spans="1:3">
      <c r="A81" s="179">
        <v>43073.965277777781</v>
      </c>
      <c r="B81">
        <v>21.2</v>
      </c>
      <c r="C81">
        <v>51.4</v>
      </c>
    </row>
    <row r="82" spans="1:3">
      <c r="A82" s="179">
        <v>43073.96875</v>
      </c>
      <c r="B82">
        <v>21.2</v>
      </c>
      <c r="C82">
        <v>51.3</v>
      </c>
    </row>
    <row r="83" spans="1:3">
      <c r="A83" s="179">
        <v>43073.972222222219</v>
      </c>
      <c r="B83">
        <v>21.2</v>
      </c>
      <c r="C83">
        <v>51.5</v>
      </c>
    </row>
    <row r="84" spans="1:3">
      <c r="A84" s="179">
        <v>43073.975694444445</v>
      </c>
      <c r="B84">
        <v>21.1</v>
      </c>
      <c r="C84">
        <v>51.7</v>
      </c>
    </row>
    <row r="85" spans="1:3">
      <c r="A85" s="179">
        <v>43073.979166666664</v>
      </c>
      <c r="B85">
        <v>21.1</v>
      </c>
      <c r="C85">
        <v>51.7</v>
      </c>
    </row>
    <row r="86" spans="1:3">
      <c r="A86" s="179">
        <v>43073.982638888891</v>
      </c>
      <c r="B86">
        <v>21.1</v>
      </c>
      <c r="C86">
        <v>51.3</v>
      </c>
    </row>
    <row r="87" spans="1:3">
      <c r="A87" s="179">
        <v>43073.986111111109</v>
      </c>
      <c r="B87">
        <v>21.1</v>
      </c>
      <c r="C87">
        <v>51.5</v>
      </c>
    </row>
    <row r="88" spans="1:3">
      <c r="A88" s="179">
        <v>43073.989583333336</v>
      </c>
      <c r="B88">
        <v>21.1</v>
      </c>
      <c r="C88">
        <v>51.4</v>
      </c>
    </row>
    <row r="89" spans="1:3">
      <c r="A89" s="179">
        <v>43073.993055555555</v>
      </c>
      <c r="B89">
        <v>21.1</v>
      </c>
      <c r="C89">
        <v>51.4</v>
      </c>
    </row>
    <row r="90" spans="1:3">
      <c r="A90" s="179">
        <v>43073.996527777781</v>
      </c>
      <c r="B90">
        <v>21.1</v>
      </c>
      <c r="C90">
        <v>51.3</v>
      </c>
    </row>
    <row r="91" spans="1:3">
      <c r="A91" s="179">
        <v>43074</v>
      </c>
      <c r="B91">
        <v>21.1</v>
      </c>
      <c r="C91">
        <v>51.4</v>
      </c>
    </row>
    <row r="92" spans="1:3">
      <c r="A92" s="179">
        <v>43074.003472222219</v>
      </c>
      <c r="B92">
        <v>21.1</v>
      </c>
      <c r="C92">
        <v>51.3</v>
      </c>
    </row>
    <row r="93" spans="1:3">
      <c r="A93" s="179">
        <v>43074.006944444445</v>
      </c>
      <c r="B93">
        <v>21.1</v>
      </c>
      <c r="C93">
        <v>51</v>
      </c>
    </row>
    <row r="94" spans="1:3">
      <c r="A94" s="179">
        <v>43074.010416666664</v>
      </c>
      <c r="B94">
        <v>21.1</v>
      </c>
      <c r="C94">
        <v>51.3</v>
      </c>
    </row>
    <row r="95" spans="1:3">
      <c r="A95" s="179">
        <v>43074.013888888891</v>
      </c>
      <c r="B95">
        <v>21.1</v>
      </c>
      <c r="C95">
        <v>51.1</v>
      </c>
    </row>
    <row r="96" spans="1:3">
      <c r="A96" s="179">
        <v>43074.017361111109</v>
      </c>
      <c r="B96">
        <v>21.2</v>
      </c>
      <c r="C96">
        <v>51.2</v>
      </c>
    </row>
    <row r="97" spans="1:3">
      <c r="A97" s="179">
        <v>43074.020833333336</v>
      </c>
      <c r="B97">
        <v>21.1</v>
      </c>
      <c r="C97">
        <v>51.4</v>
      </c>
    </row>
    <row r="98" spans="1:3">
      <c r="A98" s="179">
        <v>43074.024305555555</v>
      </c>
      <c r="B98">
        <v>21.2</v>
      </c>
      <c r="C98">
        <v>51.3</v>
      </c>
    </row>
    <row r="99" spans="1:3">
      <c r="A99" s="179">
        <v>43074.027777777781</v>
      </c>
      <c r="B99">
        <v>21.1</v>
      </c>
      <c r="C99">
        <v>51.5</v>
      </c>
    </row>
    <row r="100" spans="1:3">
      <c r="A100" s="179">
        <v>43074.03125</v>
      </c>
      <c r="B100">
        <v>21.2</v>
      </c>
      <c r="C100">
        <v>51.3</v>
      </c>
    </row>
    <row r="101" spans="1:3">
      <c r="A101" s="179">
        <v>43074.034722222219</v>
      </c>
      <c r="B101">
        <v>21.2</v>
      </c>
      <c r="C101">
        <v>51.3</v>
      </c>
    </row>
    <row r="102" spans="1:3">
      <c r="A102" s="179">
        <v>43074.038194444445</v>
      </c>
      <c r="B102">
        <v>21.1</v>
      </c>
      <c r="C102">
        <v>51.3</v>
      </c>
    </row>
    <row r="103" spans="1:3">
      <c r="A103" s="179">
        <v>43074.041666666664</v>
      </c>
      <c r="B103">
        <v>21.2</v>
      </c>
      <c r="C103">
        <v>51.3</v>
      </c>
    </row>
    <row r="104" spans="1:3">
      <c r="A104" s="179">
        <v>43074.045138888891</v>
      </c>
      <c r="B104">
        <v>21.1</v>
      </c>
      <c r="C104">
        <v>51.4</v>
      </c>
    </row>
    <row r="105" spans="1:3">
      <c r="A105" s="179">
        <v>43074.048611111109</v>
      </c>
      <c r="B105">
        <v>21.2</v>
      </c>
      <c r="C105">
        <v>51.2</v>
      </c>
    </row>
    <row r="106" spans="1:3">
      <c r="A106" s="179">
        <v>43074.052083333336</v>
      </c>
      <c r="B106">
        <v>21.2</v>
      </c>
      <c r="C106">
        <v>51.1</v>
      </c>
    </row>
    <row r="107" spans="1:3">
      <c r="A107" s="179">
        <v>43074.055555555555</v>
      </c>
      <c r="B107">
        <v>21.1</v>
      </c>
      <c r="C107">
        <v>51.3</v>
      </c>
    </row>
    <row r="108" spans="1:3">
      <c r="A108" s="179">
        <v>43074.059027777781</v>
      </c>
      <c r="B108">
        <v>21.2</v>
      </c>
      <c r="C108">
        <v>51.9</v>
      </c>
    </row>
    <row r="109" spans="1:3">
      <c r="A109" s="179">
        <v>43074.0625</v>
      </c>
      <c r="B109">
        <v>21.2</v>
      </c>
      <c r="C109">
        <v>51.9</v>
      </c>
    </row>
    <row r="110" spans="1:3">
      <c r="A110" s="179">
        <v>43074.065972222219</v>
      </c>
      <c r="B110">
        <v>21.1</v>
      </c>
      <c r="C110">
        <v>52</v>
      </c>
    </row>
    <row r="111" spans="1:3">
      <c r="A111" s="179">
        <v>43074.069444444445</v>
      </c>
      <c r="B111">
        <v>21.1</v>
      </c>
      <c r="C111">
        <v>51.8</v>
      </c>
    </row>
    <row r="112" spans="1:3">
      <c r="A112" s="179">
        <v>43074.072916666664</v>
      </c>
      <c r="B112">
        <v>21.2</v>
      </c>
      <c r="C112">
        <v>51.8</v>
      </c>
    </row>
    <row r="113" spans="1:3">
      <c r="A113" s="179">
        <v>43074.076388888891</v>
      </c>
      <c r="B113">
        <v>21.1</v>
      </c>
      <c r="C113">
        <v>51.8</v>
      </c>
    </row>
    <row r="114" spans="1:3">
      <c r="A114" s="179">
        <v>43074.079861111109</v>
      </c>
      <c r="B114">
        <v>21.1</v>
      </c>
      <c r="C114">
        <v>51.9</v>
      </c>
    </row>
    <row r="115" spans="1:3">
      <c r="A115" s="179">
        <v>43074.083333333336</v>
      </c>
      <c r="B115">
        <v>21.1</v>
      </c>
      <c r="C115">
        <v>52.1</v>
      </c>
    </row>
    <row r="116" spans="1:3">
      <c r="A116" s="179">
        <v>43074.086805555555</v>
      </c>
      <c r="B116">
        <v>21.1</v>
      </c>
      <c r="C116">
        <v>51.9</v>
      </c>
    </row>
    <row r="117" spans="1:3">
      <c r="A117" s="179">
        <v>43074.090277777781</v>
      </c>
      <c r="B117">
        <v>21.2</v>
      </c>
      <c r="C117">
        <v>51.8</v>
      </c>
    </row>
    <row r="118" spans="1:3">
      <c r="A118" s="179">
        <v>43074.09375</v>
      </c>
      <c r="B118">
        <v>21.2</v>
      </c>
      <c r="C118">
        <v>51.7</v>
      </c>
    </row>
    <row r="119" spans="1:3">
      <c r="A119" s="179">
        <v>43074.097222222219</v>
      </c>
      <c r="B119">
        <v>21.2</v>
      </c>
      <c r="C119">
        <v>51.9</v>
      </c>
    </row>
    <row r="120" spans="1:3">
      <c r="A120" s="179">
        <v>43074.100694444445</v>
      </c>
      <c r="B120">
        <v>21.2</v>
      </c>
      <c r="C120">
        <v>51.9</v>
      </c>
    </row>
    <row r="121" spans="1:3">
      <c r="A121" s="179">
        <v>43074.104166666664</v>
      </c>
      <c r="B121">
        <v>21.2</v>
      </c>
      <c r="C121">
        <v>51.8</v>
      </c>
    </row>
    <row r="122" spans="1:3">
      <c r="A122" s="179">
        <v>43074.107638888891</v>
      </c>
      <c r="B122">
        <v>21.1</v>
      </c>
      <c r="C122">
        <v>51.6</v>
      </c>
    </row>
    <row r="123" spans="1:3">
      <c r="A123" s="179">
        <v>43074.111111111109</v>
      </c>
      <c r="B123">
        <v>21.2</v>
      </c>
      <c r="C123">
        <v>51.7</v>
      </c>
    </row>
    <row r="124" spans="1:3">
      <c r="A124" s="179">
        <v>43074.114583333336</v>
      </c>
      <c r="B124">
        <v>21.2</v>
      </c>
      <c r="C124">
        <v>51.6</v>
      </c>
    </row>
    <row r="125" spans="1:3">
      <c r="A125" s="179">
        <v>43074.118055555555</v>
      </c>
      <c r="B125">
        <v>21.1</v>
      </c>
      <c r="C125">
        <v>51.7</v>
      </c>
    </row>
    <row r="126" spans="1:3">
      <c r="A126" s="179">
        <v>43074.121527777781</v>
      </c>
      <c r="B126">
        <v>21.1</v>
      </c>
      <c r="C126">
        <v>51.6</v>
      </c>
    </row>
    <row r="127" spans="1:3">
      <c r="A127" s="179">
        <v>43074.125</v>
      </c>
      <c r="B127">
        <v>21.1</v>
      </c>
      <c r="C127">
        <v>51.6</v>
      </c>
    </row>
    <row r="128" spans="1:3">
      <c r="A128" s="179">
        <v>43074.128472222219</v>
      </c>
      <c r="B128">
        <v>21.1</v>
      </c>
      <c r="C128">
        <v>51.6</v>
      </c>
    </row>
    <row r="129" spans="1:3">
      <c r="A129" s="179">
        <v>43074.131944444445</v>
      </c>
      <c r="B129">
        <v>21.1</v>
      </c>
      <c r="C129">
        <v>51.3</v>
      </c>
    </row>
    <row r="130" spans="1:3">
      <c r="A130" s="179">
        <v>43074.135416666664</v>
      </c>
      <c r="B130">
        <v>21.2</v>
      </c>
      <c r="C130">
        <v>51.1</v>
      </c>
    </row>
    <row r="131" spans="1:3">
      <c r="A131" s="179">
        <v>43074.138888888891</v>
      </c>
      <c r="B131">
        <v>21.1</v>
      </c>
      <c r="C131">
        <v>51.3</v>
      </c>
    </row>
    <row r="132" spans="1:3">
      <c r="A132" s="179">
        <v>43074.142361111109</v>
      </c>
      <c r="B132">
        <v>21.1</v>
      </c>
      <c r="C132">
        <v>51.6</v>
      </c>
    </row>
    <row r="133" spans="1:3">
      <c r="A133" s="179">
        <v>43074.145833333336</v>
      </c>
      <c r="B133">
        <v>21.1</v>
      </c>
      <c r="C133">
        <v>51.7</v>
      </c>
    </row>
    <row r="134" spans="1:3">
      <c r="A134" s="179">
        <v>43074.149305555555</v>
      </c>
      <c r="B134">
        <v>21.1</v>
      </c>
      <c r="C134">
        <v>51.6</v>
      </c>
    </row>
    <row r="135" spans="1:3">
      <c r="A135" s="179">
        <v>43074.152777777781</v>
      </c>
      <c r="B135">
        <v>21.2</v>
      </c>
      <c r="C135">
        <v>51.5</v>
      </c>
    </row>
    <row r="136" spans="1:3">
      <c r="A136" s="179">
        <v>43074.15625</v>
      </c>
      <c r="B136">
        <v>21.1</v>
      </c>
      <c r="C136">
        <v>51.3</v>
      </c>
    </row>
    <row r="137" spans="1:3">
      <c r="A137" s="179">
        <v>43074.159722222219</v>
      </c>
      <c r="B137">
        <v>21.1</v>
      </c>
      <c r="C137">
        <v>51.2</v>
      </c>
    </row>
    <row r="138" spans="1:3">
      <c r="A138" s="179">
        <v>43074.163194444445</v>
      </c>
      <c r="B138">
        <v>21.1</v>
      </c>
      <c r="C138">
        <v>51.2</v>
      </c>
    </row>
    <row r="139" spans="1:3">
      <c r="A139" s="179">
        <v>43074.166666666664</v>
      </c>
      <c r="B139">
        <v>21.2</v>
      </c>
      <c r="C139">
        <v>51</v>
      </c>
    </row>
    <row r="140" spans="1:3">
      <c r="A140" s="179">
        <v>43074.170138888891</v>
      </c>
      <c r="B140">
        <v>21.2</v>
      </c>
      <c r="C140">
        <v>51.1</v>
      </c>
    </row>
    <row r="141" spans="1:3">
      <c r="A141" s="179">
        <v>43074.173611111109</v>
      </c>
      <c r="B141">
        <v>21.2</v>
      </c>
      <c r="C141">
        <v>51.4</v>
      </c>
    </row>
    <row r="142" spans="1:3">
      <c r="A142" s="179">
        <v>43074.177083333336</v>
      </c>
      <c r="B142">
        <v>21.2</v>
      </c>
      <c r="C142">
        <v>51.6</v>
      </c>
    </row>
    <row r="143" spans="1:3">
      <c r="A143" s="179">
        <v>43074.180555555555</v>
      </c>
      <c r="B143">
        <v>21.1</v>
      </c>
      <c r="C143">
        <v>51.5</v>
      </c>
    </row>
    <row r="144" spans="1:3">
      <c r="A144" s="179">
        <v>43074.184027777781</v>
      </c>
      <c r="B144">
        <v>21.1</v>
      </c>
      <c r="C144">
        <v>51.8</v>
      </c>
    </row>
    <row r="145" spans="1:3">
      <c r="A145" s="179">
        <v>43074.1875</v>
      </c>
      <c r="B145">
        <v>21.2</v>
      </c>
      <c r="C145">
        <v>51.7</v>
      </c>
    </row>
    <row r="146" spans="1:3">
      <c r="A146" s="179">
        <v>43074.190972222219</v>
      </c>
      <c r="B146">
        <v>21.1</v>
      </c>
      <c r="C146">
        <v>52</v>
      </c>
    </row>
    <row r="147" spans="1:3">
      <c r="A147" s="179">
        <v>43074.194444444445</v>
      </c>
      <c r="B147">
        <v>21.1</v>
      </c>
      <c r="C147">
        <v>51.9</v>
      </c>
    </row>
    <row r="148" spans="1:3">
      <c r="A148" s="179">
        <v>43074.197916666664</v>
      </c>
      <c r="B148">
        <v>21.2</v>
      </c>
      <c r="C148">
        <v>52</v>
      </c>
    </row>
    <row r="149" spans="1:3">
      <c r="A149" s="179">
        <v>43074.201388888891</v>
      </c>
      <c r="B149">
        <v>21.1</v>
      </c>
      <c r="C149">
        <v>52</v>
      </c>
    </row>
    <row r="150" spans="1:3">
      <c r="A150" s="179">
        <v>43074.204861111109</v>
      </c>
      <c r="B150">
        <v>21.2</v>
      </c>
      <c r="C150">
        <v>51.8</v>
      </c>
    </row>
    <row r="151" spans="1:3">
      <c r="A151" s="179">
        <v>43074.208333333336</v>
      </c>
      <c r="B151">
        <v>21.2</v>
      </c>
      <c r="C151">
        <v>51.8</v>
      </c>
    </row>
    <row r="152" spans="1:3">
      <c r="A152" s="179">
        <v>43074.211805555555</v>
      </c>
      <c r="B152">
        <v>21.1</v>
      </c>
      <c r="C152">
        <v>51.9</v>
      </c>
    </row>
    <row r="153" spans="1:3">
      <c r="A153" s="179">
        <v>43074.215277777781</v>
      </c>
      <c r="B153">
        <v>21.1</v>
      </c>
      <c r="C153">
        <v>51.8</v>
      </c>
    </row>
    <row r="154" spans="1:3">
      <c r="A154" s="179">
        <v>43074.21875</v>
      </c>
      <c r="B154">
        <v>21.1</v>
      </c>
      <c r="C154">
        <v>51.6</v>
      </c>
    </row>
    <row r="155" spans="1:3">
      <c r="A155" s="179">
        <v>43074.222222222219</v>
      </c>
      <c r="B155">
        <v>21.2</v>
      </c>
      <c r="C155">
        <v>51.7</v>
      </c>
    </row>
    <row r="156" spans="1:3">
      <c r="A156" s="179">
        <v>43074.225694444445</v>
      </c>
      <c r="B156">
        <v>21.2</v>
      </c>
      <c r="C156">
        <v>51.8</v>
      </c>
    </row>
    <row r="157" spans="1:3">
      <c r="A157" s="179">
        <v>43074.229166666664</v>
      </c>
      <c r="B157">
        <v>21.2</v>
      </c>
      <c r="C157">
        <v>51.7</v>
      </c>
    </row>
    <row r="158" spans="1:3">
      <c r="A158" s="179">
        <v>43074.232638888891</v>
      </c>
      <c r="B158">
        <v>21.1</v>
      </c>
      <c r="C158">
        <v>51.8</v>
      </c>
    </row>
    <row r="159" spans="1:3">
      <c r="A159" s="179">
        <v>43074.236111111109</v>
      </c>
      <c r="B159">
        <v>21.1</v>
      </c>
      <c r="C159">
        <v>51.5</v>
      </c>
    </row>
    <row r="160" spans="1:3">
      <c r="A160" s="179">
        <v>43074.239583333336</v>
      </c>
      <c r="B160">
        <v>21.1</v>
      </c>
      <c r="C160">
        <v>51.4</v>
      </c>
    </row>
    <row r="161" spans="1:3">
      <c r="A161" s="179">
        <v>43074.243055555555</v>
      </c>
      <c r="B161">
        <v>21.1</v>
      </c>
      <c r="C161">
        <v>51.5</v>
      </c>
    </row>
    <row r="162" spans="1:3">
      <c r="A162" s="179">
        <v>43074.246527777781</v>
      </c>
      <c r="B162">
        <v>21.1</v>
      </c>
      <c r="C162">
        <v>51.4</v>
      </c>
    </row>
    <row r="163" spans="1:3">
      <c r="A163" s="179">
        <v>43074.25</v>
      </c>
      <c r="B163">
        <v>21.1</v>
      </c>
      <c r="C163">
        <v>51.5</v>
      </c>
    </row>
    <row r="164" spans="1:3">
      <c r="A164" s="179">
        <v>43074.253472222219</v>
      </c>
      <c r="B164">
        <v>21.1</v>
      </c>
      <c r="C164">
        <v>51.4</v>
      </c>
    </row>
    <row r="165" spans="1:3">
      <c r="A165" s="179">
        <v>43074.256944444445</v>
      </c>
      <c r="B165">
        <v>21.2</v>
      </c>
      <c r="C165">
        <v>51.3</v>
      </c>
    </row>
    <row r="166" spans="1:3">
      <c r="A166" s="179">
        <v>43074.260416666664</v>
      </c>
      <c r="B166">
        <v>21.2</v>
      </c>
      <c r="C166">
        <v>51.2</v>
      </c>
    </row>
    <row r="167" spans="1:3">
      <c r="A167" s="179">
        <v>43074.263888888891</v>
      </c>
      <c r="B167">
        <v>21.2</v>
      </c>
      <c r="C167">
        <v>51.2</v>
      </c>
    </row>
    <row r="168" spans="1:3">
      <c r="A168" s="179">
        <v>43074.267361111109</v>
      </c>
      <c r="B168">
        <v>21.2</v>
      </c>
      <c r="C168">
        <v>51.2</v>
      </c>
    </row>
    <row r="169" spans="1:3">
      <c r="A169" s="179">
        <v>43074.270833333336</v>
      </c>
      <c r="B169">
        <v>21.2</v>
      </c>
      <c r="C169">
        <v>51.3</v>
      </c>
    </row>
    <row r="170" spans="1:3">
      <c r="A170" s="179">
        <v>43074.274305555555</v>
      </c>
      <c r="B170">
        <v>21.1</v>
      </c>
      <c r="C170">
        <v>51.3</v>
      </c>
    </row>
    <row r="171" spans="1:3">
      <c r="A171" s="179">
        <v>43074.277777777781</v>
      </c>
      <c r="B171">
        <v>21.2</v>
      </c>
      <c r="C171">
        <v>51.1</v>
      </c>
    </row>
    <row r="172" spans="1:3">
      <c r="A172" s="179">
        <v>43074.28125</v>
      </c>
      <c r="B172">
        <v>21.2</v>
      </c>
      <c r="C172">
        <v>51.4</v>
      </c>
    </row>
    <row r="173" spans="1:3">
      <c r="A173" s="179">
        <v>43074.284722222219</v>
      </c>
      <c r="B173">
        <v>21.2</v>
      </c>
      <c r="C173">
        <v>51.6</v>
      </c>
    </row>
    <row r="174" spans="1:3">
      <c r="A174" s="179">
        <v>43074.288194444445</v>
      </c>
      <c r="B174">
        <v>21.1</v>
      </c>
      <c r="C174">
        <v>51.4</v>
      </c>
    </row>
    <row r="175" spans="1:3">
      <c r="A175" s="179">
        <v>43074.291666666664</v>
      </c>
      <c r="B175">
        <v>21.2</v>
      </c>
      <c r="C175">
        <v>51.4</v>
      </c>
    </row>
    <row r="176" spans="1:3">
      <c r="A176" s="179">
        <v>43074.295138888891</v>
      </c>
      <c r="B176">
        <v>21.1</v>
      </c>
      <c r="C176">
        <v>51.3</v>
      </c>
    </row>
    <row r="177" spans="1:3">
      <c r="A177" s="179">
        <v>43074.298611111109</v>
      </c>
      <c r="B177">
        <v>21.2</v>
      </c>
      <c r="C177">
        <v>51.3</v>
      </c>
    </row>
    <row r="178" spans="1:3">
      <c r="A178" s="179">
        <v>43074.302083333336</v>
      </c>
      <c r="B178">
        <v>21.2</v>
      </c>
      <c r="C178">
        <v>51.3</v>
      </c>
    </row>
    <row r="179" spans="1:3">
      <c r="A179" s="179">
        <v>43074.305555555555</v>
      </c>
      <c r="B179">
        <v>21.1</v>
      </c>
      <c r="C179">
        <v>51.4</v>
      </c>
    </row>
    <row r="180" spans="1:3">
      <c r="A180" s="179">
        <v>43074.309027777781</v>
      </c>
      <c r="B180">
        <v>21.1</v>
      </c>
      <c r="C180">
        <v>51.4</v>
      </c>
    </row>
    <row r="181" spans="1:3">
      <c r="A181" s="179">
        <v>43074.3125</v>
      </c>
      <c r="B181">
        <v>21.1</v>
      </c>
      <c r="C181">
        <v>51.3</v>
      </c>
    </row>
    <row r="182" spans="1:3">
      <c r="A182" s="179">
        <v>43074.315972222219</v>
      </c>
      <c r="B182">
        <v>21.1</v>
      </c>
      <c r="C182">
        <v>51.3</v>
      </c>
    </row>
    <row r="183" spans="1:3">
      <c r="A183" s="179">
        <v>43074.319444444445</v>
      </c>
      <c r="B183">
        <v>21.1</v>
      </c>
      <c r="C183">
        <v>51.3</v>
      </c>
    </row>
    <row r="184" spans="1:3">
      <c r="A184" s="179">
        <v>43074.322916666664</v>
      </c>
      <c r="B184">
        <v>21.1</v>
      </c>
      <c r="C184">
        <v>51.4</v>
      </c>
    </row>
    <row r="185" spans="1:3">
      <c r="A185" s="179">
        <v>43074.326388888891</v>
      </c>
      <c r="B185">
        <v>21.2</v>
      </c>
      <c r="C185">
        <v>51.3</v>
      </c>
    </row>
    <row r="186" spans="1:3">
      <c r="A186" s="179">
        <v>43074.329861111109</v>
      </c>
      <c r="B186">
        <v>21.1</v>
      </c>
      <c r="C186">
        <v>51.3</v>
      </c>
    </row>
    <row r="187" spans="1:3">
      <c r="A187" s="179">
        <v>43074.333333333336</v>
      </c>
      <c r="B187">
        <v>21.1</v>
      </c>
      <c r="C187">
        <v>51.4</v>
      </c>
    </row>
    <row r="188" spans="1:3">
      <c r="A188" s="179">
        <v>43074.336805555555</v>
      </c>
      <c r="B188">
        <v>21.1</v>
      </c>
      <c r="C188">
        <v>51.4</v>
      </c>
    </row>
    <row r="189" spans="1:3">
      <c r="A189" s="179">
        <v>43074.340277777781</v>
      </c>
      <c r="B189">
        <v>21.1</v>
      </c>
      <c r="C189">
        <v>51.4</v>
      </c>
    </row>
    <row r="190" spans="1:3">
      <c r="A190" s="179">
        <v>43074.34375</v>
      </c>
      <c r="B190">
        <v>21.2</v>
      </c>
      <c r="C190">
        <v>51.5</v>
      </c>
    </row>
    <row r="191" spans="1:3">
      <c r="A191" s="179">
        <v>43074.347222222219</v>
      </c>
      <c r="B191">
        <v>21.2</v>
      </c>
      <c r="C191">
        <v>51.6</v>
      </c>
    </row>
    <row r="192" spans="1:3">
      <c r="A192" s="179">
        <v>43074.350694444445</v>
      </c>
      <c r="B192">
        <v>21</v>
      </c>
      <c r="C192">
        <v>51.8</v>
      </c>
    </row>
    <row r="193" spans="1:3">
      <c r="A193" s="179">
        <v>43074.354166666664</v>
      </c>
      <c r="B193">
        <v>21</v>
      </c>
      <c r="C193">
        <v>51.8</v>
      </c>
    </row>
    <row r="194" spans="1:3">
      <c r="A194" s="179">
        <v>43074.357638888891</v>
      </c>
      <c r="B194">
        <v>21</v>
      </c>
      <c r="C194">
        <v>51.8</v>
      </c>
    </row>
    <row r="195" spans="1:3">
      <c r="A195" s="179">
        <v>43074.361111111109</v>
      </c>
      <c r="B195">
        <v>21.1</v>
      </c>
      <c r="C195">
        <v>51.6</v>
      </c>
    </row>
    <row r="196" spans="1:3">
      <c r="A196" s="179">
        <v>43074.364583333336</v>
      </c>
      <c r="B196">
        <v>21</v>
      </c>
      <c r="C196">
        <v>51.8</v>
      </c>
    </row>
    <row r="197" spans="1:3">
      <c r="A197" s="179">
        <v>43074.368055555555</v>
      </c>
      <c r="B197">
        <v>21</v>
      </c>
      <c r="C197">
        <v>51.7</v>
      </c>
    </row>
    <row r="198" spans="1:3">
      <c r="A198" s="179">
        <v>43074.371527777781</v>
      </c>
      <c r="B198">
        <v>21</v>
      </c>
      <c r="C198">
        <v>51.9</v>
      </c>
    </row>
    <row r="199" spans="1:3">
      <c r="A199" s="179">
        <v>43074.375</v>
      </c>
      <c r="B199">
        <v>21.1</v>
      </c>
      <c r="C199">
        <v>52.1</v>
      </c>
    </row>
    <row r="200" spans="1:3">
      <c r="A200" s="179">
        <v>43074.378472222219</v>
      </c>
      <c r="B200">
        <v>21</v>
      </c>
      <c r="C200">
        <v>52.2</v>
      </c>
    </row>
    <row r="201" spans="1:3">
      <c r="A201" s="179">
        <v>43074.381944444445</v>
      </c>
      <c r="B201">
        <v>21</v>
      </c>
      <c r="C201">
        <v>52.1</v>
      </c>
    </row>
    <row r="202" spans="1:3">
      <c r="A202" s="179">
        <v>43074.385416666664</v>
      </c>
      <c r="B202">
        <v>21</v>
      </c>
      <c r="C202">
        <v>52</v>
      </c>
    </row>
    <row r="203" spans="1:3">
      <c r="A203" s="179">
        <v>43074.388888888891</v>
      </c>
      <c r="B203">
        <v>21</v>
      </c>
      <c r="C203">
        <v>52</v>
      </c>
    </row>
    <row r="204" spans="1:3">
      <c r="A204" s="179">
        <v>43074.392361111109</v>
      </c>
      <c r="B204">
        <v>21</v>
      </c>
      <c r="C204">
        <v>52.1</v>
      </c>
    </row>
    <row r="205" spans="1:3">
      <c r="A205" s="179">
        <v>43074.395833333336</v>
      </c>
      <c r="B205">
        <v>21</v>
      </c>
      <c r="C205">
        <v>52.1</v>
      </c>
    </row>
    <row r="206" spans="1:3">
      <c r="A206" s="179">
        <v>43074.399305555555</v>
      </c>
      <c r="B206">
        <v>21</v>
      </c>
      <c r="C206">
        <v>52.3</v>
      </c>
    </row>
    <row r="207" spans="1:3">
      <c r="A207" s="179">
        <v>43074.402777777781</v>
      </c>
      <c r="B207">
        <v>20.9</v>
      </c>
      <c r="C207">
        <v>52</v>
      </c>
    </row>
    <row r="208" spans="1:3">
      <c r="A208" s="179">
        <v>43074.40625</v>
      </c>
      <c r="B208">
        <v>21</v>
      </c>
      <c r="C208">
        <v>52</v>
      </c>
    </row>
    <row r="209" spans="1:3">
      <c r="A209" s="179">
        <v>43074.409722222219</v>
      </c>
      <c r="B209">
        <v>20.9</v>
      </c>
      <c r="C209">
        <v>51.8</v>
      </c>
    </row>
    <row r="210" spans="1:3">
      <c r="A210" s="179">
        <v>43074.413194444445</v>
      </c>
      <c r="B210">
        <v>21</v>
      </c>
      <c r="C210">
        <v>51.6</v>
      </c>
    </row>
    <row r="211" spans="1:3">
      <c r="A211" s="179">
        <v>43074.416666666664</v>
      </c>
      <c r="B211">
        <v>20.9</v>
      </c>
      <c r="C211">
        <v>51.7</v>
      </c>
    </row>
    <row r="212" spans="1:3">
      <c r="A212" s="179">
        <v>43074.420138888891</v>
      </c>
      <c r="B212">
        <v>21</v>
      </c>
      <c r="C212">
        <v>51.8</v>
      </c>
    </row>
    <row r="213" spans="1:3">
      <c r="A213" s="179">
        <v>43074.423611111109</v>
      </c>
      <c r="B213">
        <v>21</v>
      </c>
      <c r="C213">
        <v>51.7</v>
      </c>
    </row>
    <row r="214" spans="1:3">
      <c r="A214" s="179">
        <v>43074.427083333336</v>
      </c>
      <c r="B214">
        <v>20.9</v>
      </c>
      <c r="C214">
        <v>51.9</v>
      </c>
    </row>
    <row r="215" spans="1:3">
      <c r="A215" s="179">
        <v>43074.430555555555</v>
      </c>
      <c r="B215">
        <v>20.9</v>
      </c>
      <c r="C215">
        <v>51.9</v>
      </c>
    </row>
    <row r="216" spans="1:3">
      <c r="A216" s="179">
        <v>43074.434027777781</v>
      </c>
      <c r="B216">
        <v>20.9</v>
      </c>
      <c r="C216">
        <v>51.7</v>
      </c>
    </row>
    <row r="217" spans="1:3">
      <c r="A217" s="179">
        <v>43074.4375</v>
      </c>
      <c r="B217">
        <v>20.8</v>
      </c>
      <c r="C217">
        <v>51.9</v>
      </c>
    </row>
    <row r="218" spans="1:3">
      <c r="A218" s="179">
        <v>43074.440972222219</v>
      </c>
      <c r="B218">
        <v>20.9</v>
      </c>
      <c r="C218">
        <v>51.9</v>
      </c>
    </row>
    <row r="219" spans="1:3">
      <c r="A219" s="179">
        <v>43074.444444444445</v>
      </c>
      <c r="B219">
        <v>20.9</v>
      </c>
      <c r="C219">
        <v>52.3</v>
      </c>
    </row>
    <row r="220" spans="1:3">
      <c r="A220" s="179">
        <v>43074.447916666664</v>
      </c>
      <c r="B220">
        <v>20.9</v>
      </c>
      <c r="C220">
        <v>52.2</v>
      </c>
    </row>
    <row r="221" spans="1:3">
      <c r="A221" s="179">
        <v>43074.451388888891</v>
      </c>
      <c r="B221">
        <v>20.8</v>
      </c>
      <c r="C221">
        <v>52.4</v>
      </c>
    </row>
    <row r="222" spans="1:3">
      <c r="A222" s="179">
        <v>43074.454861111109</v>
      </c>
      <c r="B222">
        <v>20.8</v>
      </c>
      <c r="C222">
        <v>52.8</v>
      </c>
    </row>
    <row r="223" spans="1:3">
      <c r="A223" s="179">
        <v>43074.458333333336</v>
      </c>
      <c r="B223">
        <v>20.9</v>
      </c>
      <c r="C223">
        <v>52.4</v>
      </c>
    </row>
    <row r="224" spans="1:3">
      <c r="A224" s="179">
        <v>43074.461805555555</v>
      </c>
      <c r="B224">
        <v>20.8</v>
      </c>
      <c r="C224">
        <v>52.5</v>
      </c>
    </row>
    <row r="225" spans="1:3">
      <c r="A225" s="179">
        <v>43074.465277777781</v>
      </c>
      <c r="B225">
        <v>20.9</v>
      </c>
      <c r="C225">
        <v>52.8</v>
      </c>
    </row>
    <row r="226" spans="1:3">
      <c r="A226" s="179">
        <v>43074.46875</v>
      </c>
      <c r="B226">
        <v>20.8</v>
      </c>
      <c r="C226">
        <v>52.6</v>
      </c>
    </row>
    <row r="227" spans="1:3">
      <c r="A227" s="179">
        <v>43074.472222222219</v>
      </c>
      <c r="B227">
        <v>20.8</v>
      </c>
      <c r="C227">
        <v>52.7</v>
      </c>
    </row>
    <row r="228" spans="1:3">
      <c r="A228" s="179">
        <v>43074.475694444445</v>
      </c>
      <c r="B228">
        <v>20.8</v>
      </c>
      <c r="C228">
        <v>52.2</v>
      </c>
    </row>
    <row r="229" spans="1:3">
      <c r="A229" s="179">
        <v>43074.479166666664</v>
      </c>
      <c r="B229">
        <v>20.8</v>
      </c>
      <c r="C229">
        <v>52.5</v>
      </c>
    </row>
    <row r="230" spans="1:3">
      <c r="A230" s="179">
        <v>43074.482638888891</v>
      </c>
      <c r="B230">
        <v>20.8</v>
      </c>
      <c r="C230">
        <v>52.4</v>
      </c>
    </row>
    <row r="231" spans="1:3">
      <c r="A231" s="179">
        <v>43074.486111111109</v>
      </c>
      <c r="B231">
        <v>20.8</v>
      </c>
      <c r="C231">
        <v>52.4</v>
      </c>
    </row>
    <row r="232" spans="1:3">
      <c r="A232" s="179">
        <v>43074.489583333336</v>
      </c>
      <c r="B232">
        <v>20.8</v>
      </c>
      <c r="C232">
        <v>52.9</v>
      </c>
    </row>
    <row r="233" spans="1:3">
      <c r="A233" s="179">
        <v>43074.493055555555</v>
      </c>
      <c r="B233">
        <v>20.8</v>
      </c>
      <c r="C233">
        <v>52.7</v>
      </c>
    </row>
    <row r="234" spans="1:3">
      <c r="A234" s="179">
        <v>43074.496527777781</v>
      </c>
      <c r="B234">
        <v>20.8</v>
      </c>
      <c r="C234">
        <v>52.7</v>
      </c>
    </row>
    <row r="235" spans="1:3">
      <c r="A235" s="179">
        <v>43074.5</v>
      </c>
      <c r="B235">
        <v>20.8</v>
      </c>
      <c r="C235">
        <v>52.9</v>
      </c>
    </row>
    <row r="236" spans="1:3">
      <c r="A236" s="179">
        <v>43074.503472222219</v>
      </c>
      <c r="B236">
        <v>20.9</v>
      </c>
      <c r="C236">
        <v>52.9</v>
      </c>
    </row>
    <row r="237" spans="1:3">
      <c r="A237" s="179">
        <v>43074.506944444445</v>
      </c>
      <c r="B237">
        <v>20.9</v>
      </c>
      <c r="C237">
        <v>53.1</v>
      </c>
    </row>
    <row r="238" spans="1:3">
      <c r="A238" s="179">
        <v>43074.510416666664</v>
      </c>
      <c r="B238">
        <v>20.9</v>
      </c>
      <c r="C238">
        <v>52.8</v>
      </c>
    </row>
    <row r="239" spans="1:3">
      <c r="A239" s="179">
        <v>43074.513888888891</v>
      </c>
      <c r="B239">
        <v>20.9</v>
      </c>
      <c r="C239">
        <v>52.9</v>
      </c>
    </row>
    <row r="240" spans="1:3">
      <c r="A240" s="179">
        <v>43074.517361111109</v>
      </c>
      <c r="B240">
        <v>20.9</v>
      </c>
      <c r="C240">
        <v>53.5</v>
      </c>
    </row>
    <row r="241" spans="1:3">
      <c r="A241" s="179">
        <v>43074.520833333336</v>
      </c>
      <c r="B241">
        <v>20.9</v>
      </c>
      <c r="C241">
        <v>53.2</v>
      </c>
    </row>
    <row r="242" spans="1:3">
      <c r="A242" s="179">
        <v>43074.524305555555</v>
      </c>
      <c r="B242">
        <v>20.9</v>
      </c>
      <c r="C242">
        <v>53.2</v>
      </c>
    </row>
    <row r="243" spans="1:3">
      <c r="A243" s="179">
        <v>43074.527777777781</v>
      </c>
      <c r="B243">
        <v>20.8</v>
      </c>
      <c r="C243">
        <v>53.4</v>
      </c>
    </row>
    <row r="244" spans="1:3">
      <c r="A244" s="179">
        <v>43074.53125</v>
      </c>
      <c r="B244">
        <v>20.8</v>
      </c>
      <c r="C244">
        <v>53.2</v>
      </c>
    </row>
    <row r="245" spans="1:3">
      <c r="A245" s="179">
        <v>43074.534722222219</v>
      </c>
      <c r="B245">
        <v>20.9</v>
      </c>
      <c r="C245">
        <v>53.7</v>
      </c>
    </row>
    <row r="246" spans="1:3">
      <c r="A246" s="179">
        <v>43074.538194444445</v>
      </c>
      <c r="B246">
        <v>20.9</v>
      </c>
      <c r="C246">
        <v>53.7</v>
      </c>
    </row>
    <row r="247" spans="1:3">
      <c r="A247" s="179">
        <v>43074.541666666664</v>
      </c>
      <c r="B247">
        <v>20.9</v>
      </c>
      <c r="C247">
        <v>53.2</v>
      </c>
    </row>
    <row r="248" spans="1:3">
      <c r="A248" s="179">
        <v>43074.545138888891</v>
      </c>
      <c r="B248">
        <v>21</v>
      </c>
      <c r="C248">
        <v>53.4</v>
      </c>
    </row>
    <row r="249" spans="1:3">
      <c r="A249" s="179">
        <v>43074.548611111109</v>
      </c>
      <c r="B249">
        <v>20.9</v>
      </c>
      <c r="C249">
        <v>53.8</v>
      </c>
    </row>
    <row r="250" spans="1:3">
      <c r="A250" s="179">
        <v>43074.552083333336</v>
      </c>
      <c r="B250">
        <v>20.8</v>
      </c>
      <c r="C250">
        <v>54.1</v>
      </c>
    </row>
    <row r="251" spans="1:3">
      <c r="A251" s="179">
        <v>43074.555555555555</v>
      </c>
      <c r="B251">
        <v>20.8</v>
      </c>
      <c r="C251">
        <v>54</v>
      </c>
    </row>
    <row r="252" spans="1:3">
      <c r="A252" s="179">
        <v>43074.559027777781</v>
      </c>
      <c r="B252">
        <v>20.8</v>
      </c>
      <c r="C252">
        <v>54</v>
      </c>
    </row>
    <row r="253" spans="1:3">
      <c r="A253" s="179">
        <v>43074.5625</v>
      </c>
      <c r="B253">
        <v>20.8</v>
      </c>
      <c r="C253">
        <v>54.2</v>
      </c>
    </row>
    <row r="254" spans="1:3">
      <c r="A254" s="179">
        <v>43074.565972222219</v>
      </c>
      <c r="B254">
        <v>20.8</v>
      </c>
      <c r="C254">
        <v>54.2</v>
      </c>
    </row>
    <row r="255" spans="1:3">
      <c r="A255" s="179">
        <v>43074.569444444445</v>
      </c>
      <c r="B255">
        <v>20.8</v>
      </c>
      <c r="C255">
        <v>54.5</v>
      </c>
    </row>
    <row r="256" spans="1:3">
      <c r="A256" s="179">
        <v>43074.572916666664</v>
      </c>
      <c r="B256">
        <v>20.8</v>
      </c>
      <c r="C256">
        <v>54.5</v>
      </c>
    </row>
    <row r="257" spans="1:3">
      <c r="A257" s="179">
        <v>43074.576388888891</v>
      </c>
      <c r="B257">
        <v>20.8</v>
      </c>
      <c r="C257">
        <v>54.4</v>
      </c>
    </row>
    <row r="258" spans="1:3">
      <c r="A258" s="179">
        <v>43074.579861111109</v>
      </c>
      <c r="B258">
        <v>20.8</v>
      </c>
      <c r="C258">
        <v>54.6</v>
      </c>
    </row>
    <row r="259" spans="1:3">
      <c r="A259" s="179">
        <v>43074.583333333336</v>
      </c>
      <c r="B259">
        <v>20.7</v>
      </c>
      <c r="C259">
        <v>54.7</v>
      </c>
    </row>
    <row r="260" spans="1:3">
      <c r="A260" s="179">
        <v>43074.586805555555</v>
      </c>
      <c r="B260">
        <v>20.8</v>
      </c>
      <c r="C260">
        <v>54.9</v>
      </c>
    </row>
    <row r="261" spans="1:3">
      <c r="A261" s="179">
        <v>43074.590277777781</v>
      </c>
      <c r="B261">
        <v>20.8</v>
      </c>
      <c r="C261">
        <v>54.9</v>
      </c>
    </row>
    <row r="262" spans="1:3">
      <c r="A262" s="179">
        <v>43074.59375</v>
      </c>
      <c r="B262">
        <v>20.7</v>
      </c>
      <c r="C262">
        <v>55.1</v>
      </c>
    </row>
    <row r="263" spans="1:3">
      <c r="A263" s="179">
        <v>43074.597222222219</v>
      </c>
      <c r="B263">
        <v>20.7</v>
      </c>
      <c r="C263">
        <v>55.6</v>
      </c>
    </row>
    <row r="264" spans="1:3">
      <c r="A264" s="179">
        <v>43074.600694444445</v>
      </c>
      <c r="B264">
        <v>20.7</v>
      </c>
      <c r="C264">
        <v>55.2</v>
      </c>
    </row>
    <row r="265" spans="1:3">
      <c r="A265" s="179">
        <v>43074.604166666664</v>
      </c>
      <c r="B265">
        <v>20.8</v>
      </c>
      <c r="C265">
        <v>55.3</v>
      </c>
    </row>
    <row r="266" spans="1:3">
      <c r="A266" s="179">
        <v>43074.607638888891</v>
      </c>
      <c r="B266">
        <v>20.8</v>
      </c>
      <c r="C266">
        <v>54.6</v>
      </c>
    </row>
    <row r="267" spans="1:3">
      <c r="A267" s="179">
        <v>43074.611111111109</v>
      </c>
      <c r="B267">
        <v>20.7</v>
      </c>
      <c r="C267">
        <v>54.8</v>
      </c>
    </row>
    <row r="268" spans="1:3">
      <c r="A268" s="179">
        <v>43074.614583333336</v>
      </c>
      <c r="B268">
        <v>20.7</v>
      </c>
      <c r="C268">
        <v>54.9</v>
      </c>
    </row>
    <row r="269" spans="1:3">
      <c r="A269" s="179">
        <v>43074.618055555555</v>
      </c>
      <c r="B269">
        <v>20.7</v>
      </c>
      <c r="C269">
        <v>54.7</v>
      </c>
    </row>
    <row r="270" spans="1:3">
      <c r="A270" s="179">
        <v>43074.621527777781</v>
      </c>
      <c r="B270">
        <v>20.7</v>
      </c>
      <c r="C270">
        <v>54.8</v>
      </c>
    </row>
    <row r="271" spans="1:3">
      <c r="A271" s="179">
        <v>43074.625</v>
      </c>
      <c r="B271">
        <v>20.8</v>
      </c>
      <c r="C271">
        <v>54.7</v>
      </c>
    </row>
    <row r="272" spans="1:3">
      <c r="A272" s="179">
        <v>43074.628472222219</v>
      </c>
      <c r="B272">
        <v>20.8</v>
      </c>
      <c r="C272">
        <v>54.4</v>
      </c>
    </row>
    <row r="273" spans="1:3">
      <c r="A273" s="179">
        <v>43074.631944444445</v>
      </c>
      <c r="B273">
        <v>20.7</v>
      </c>
      <c r="C273">
        <v>54.5</v>
      </c>
    </row>
    <row r="274" spans="1:3">
      <c r="A274" s="179">
        <v>43074.635416666664</v>
      </c>
      <c r="B274">
        <v>20.8</v>
      </c>
      <c r="C274">
        <v>54.6</v>
      </c>
    </row>
    <row r="275" spans="1:3">
      <c r="A275" s="179">
        <v>43074.638888888891</v>
      </c>
      <c r="B275">
        <v>20.8</v>
      </c>
      <c r="C275">
        <v>54.6</v>
      </c>
    </row>
    <row r="276" spans="1:3">
      <c r="A276" s="179">
        <v>43074.642361111109</v>
      </c>
      <c r="B276">
        <v>20.8</v>
      </c>
      <c r="C276">
        <v>54.2</v>
      </c>
    </row>
    <row r="277" spans="1:3">
      <c r="A277" s="179">
        <v>43074.645833333336</v>
      </c>
      <c r="B277">
        <v>20.8</v>
      </c>
      <c r="C277">
        <v>54.8</v>
      </c>
    </row>
    <row r="278" spans="1:3">
      <c r="A278" s="179">
        <v>43074.649305555555</v>
      </c>
      <c r="B278">
        <v>20.8</v>
      </c>
      <c r="C278">
        <v>54.2</v>
      </c>
    </row>
    <row r="279" spans="1:3">
      <c r="A279" s="179">
        <v>43074.652777777781</v>
      </c>
      <c r="B279">
        <v>20.7</v>
      </c>
      <c r="C279">
        <v>54</v>
      </c>
    </row>
    <row r="280" spans="1:3">
      <c r="A280" s="179">
        <v>43074.65625</v>
      </c>
      <c r="B280">
        <v>20.7</v>
      </c>
      <c r="C280">
        <v>54.8</v>
      </c>
    </row>
    <row r="281" spans="1:3">
      <c r="A281" s="179">
        <v>43074.659722222219</v>
      </c>
      <c r="B281">
        <v>20.7</v>
      </c>
      <c r="C281">
        <v>54.3</v>
      </c>
    </row>
    <row r="282" spans="1:3">
      <c r="A282" s="179">
        <v>43074.663194444445</v>
      </c>
      <c r="B282">
        <v>20.7</v>
      </c>
      <c r="C282">
        <v>53.8</v>
      </c>
    </row>
    <row r="283" spans="1:3">
      <c r="A283" s="179">
        <v>43074.666666666664</v>
      </c>
      <c r="B283">
        <v>20.7</v>
      </c>
      <c r="C283">
        <v>53.8</v>
      </c>
    </row>
    <row r="284" spans="1:3">
      <c r="A284" s="179">
        <v>43074.670138888891</v>
      </c>
      <c r="B284">
        <v>20.6</v>
      </c>
      <c r="C284">
        <v>54.6</v>
      </c>
    </row>
    <row r="285" spans="1:3">
      <c r="A285" s="179">
        <v>43074.673611111109</v>
      </c>
      <c r="B285">
        <v>20.6</v>
      </c>
      <c r="C285">
        <v>54</v>
      </c>
    </row>
    <row r="286" spans="1:3">
      <c r="A286" s="179">
        <v>43074.677083333336</v>
      </c>
      <c r="B286">
        <v>20.7</v>
      </c>
      <c r="C286">
        <v>54.2</v>
      </c>
    </row>
    <row r="287" spans="1:3">
      <c r="A287" s="179">
        <v>43074.680555555555</v>
      </c>
      <c r="B287">
        <v>20.7</v>
      </c>
      <c r="C287">
        <v>54.4</v>
      </c>
    </row>
    <row r="288" spans="1:3">
      <c r="A288" s="179">
        <v>43074.684027777781</v>
      </c>
      <c r="B288">
        <v>20.6</v>
      </c>
      <c r="C288">
        <v>54.3</v>
      </c>
    </row>
    <row r="289" spans="1:3">
      <c r="A289" s="179">
        <v>43074.6875</v>
      </c>
      <c r="B289">
        <v>20.7</v>
      </c>
      <c r="C289">
        <v>54.2</v>
      </c>
    </row>
    <row r="290" spans="1:3">
      <c r="A290" s="179">
        <v>43074.690972222219</v>
      </c>
      <c r="B290">
        <v>20.7</v>
      </c>
      <c r="C290">
        <v>54.1</v>
      </c>
    </row>
    <row r="291" spans="1:3">
      <c r="A291" s="179">
        <v>43074.694444444445</v>
      </c>
      <c r="B291">
        <v>20.7</v>
      </c>
      <c r="C291">
        <v>53.7</v>
      </c>
    </row>
    <row r="292" spans="1:3">
      <c r="A292" s="179">
        <v>43074.697916666664</v>
      </c>
      <c r="B292">
        <v>20.7</v>
      </c>
      <c r="C292">
        <v>53.9</v>
      </c>
    </row>
    <row r="293" spans="1:3">
      <c r="A293" s="179"/>
    </row>
    <row r="294" spans="1:3">
      <c r="A294" s="179"/>
    </row>
    <row r="295" spans="1:3">
      <c r="A295" s="179"/>
    </row>
    <row r="296" spans="1:3">
      <c r="A296" s="179"/>
    </row>
    <row r="297" spans="1:3">
      <c r="A297" s="179"/>
    </row>
    <row r="298" spans="1:3">
      <c r="A298" s="179"/>
    </row>
    <row r="299" spans="1:3">
      <c r="A299" s="179"/>
    </row>
    <row r="300" spans="1:3">
      <c r="A300" s="179"/>
    </row>
    <row r="301" spans="1:3">
      <c r="A301" s="179"/>
    </row>
    <row r="302" spans="1:3">
      <c r="A302" s="179"/>
    </row>
    <row r="303" spans="1:3">
      <c r="A303" s="179"/>
    </row>
    <row r="304" spans="1:3">
      <c r="A304" s="179"/>
    </row>
    <row r="305" spans="1:1">
      <c r="A305" s="179"/>
    </row>
    <row r="306" spans="1:1">
      <c r="A306" s="179"/>
    </row>
    <row r="307" spans="1:1">
      <c r="A307" s="179"/>
    </row>
    <row r="308" spans="1:1">
      <c r="A308" s="179"/>
    </row>
    <row r="309" spans="1:1">
      <c r="A309" s="179"/>
    </row>
    <row r="310" spans="1:1">
      <c r="A310" s="179"/>
    </row>
    <row r="311" spans="1:1">
      <c r="A311" s="179"/>
    </row>
    <row r="312" spans="1:1">
      <c r="A312" s="179"/>
    </row>
    <row r="313" spans="1:1">
      <c r="A313" s="179"/>
    </row>
    <row r="314" spans="1:1">
      <c r="A314" s="179"/>
    </row>
    <row r="315" spans="1:1">
      <c r="A315" s="179"/>
    </row>
    <row r="316" spans="1:1">
      <c r="A316" s="179"/>
    </row>
    <row r="317" spans="1:1">
      <c r="A317" s="179"/>
    </row>
    <row r="318" spans="1:1">
      <c r="A318" s="179"/>
    </row>
    <row r="319" spans="1:1">
      <c r="A319" s="179"/>
    </row>
    <row r="320" spans="1:1">
      <c r="A320" s="179"/>
    </row>
    <row r="321" spans="1:1">
      <c r="A321" s="179"/>
    </row>
    <row r="322" spans="1:1">
      <c r="A322" s="179"/>
    </row>
    <row r="323" spans="1:1">
      <c r="A323" s="179"/>
    </row>
    <row r="324" spans="1:1">
      <c r="A324" s="179"/>
    </row>
    <row r="325" spans="1:1">
      <c r="A325" s="179"/>
    </row>
    <row r="326" spans="1:1">
      <c r="A326" s="179"/>
    </row>
    <row r="327" spans="1:1">
      <c r="A327" s="179"/>
    </row>
    <row r="328" spans="1:1">
      <c r="A328" s="179"/>
    </row>
    <row r="329" spans="1:1">
      <c r="A329" s="179"/>
    </row>
    <row r="330" spans="1:1">
      <c r="A330" s="179"/>
    </row>
    <row r="331" spans="1:1">
      <c r="A331" s="179"/>
    </row>
    <row r="332" spans="1:1">
      <c r="A332" s="179"/>
    </row>
    <row r="333" spans="1:1">
      <c r="A333" s="179"/>
    </row>
    <row r="334" spans="1:1">
      <c r="A334" s="179"/>
    </row>
    <row r="335" spans="1:1">
      <c r="A335" s="179"/>
    </row>
    <row r="336" spans="1:1">
      <c r="A336" s="179"/>
    </row>
    <row r="337" spans="1:1">
      <c r="A337" s="179"/>
    </row>
    <row r="338" spans="1:1">
      <c r="A338" s="179"/>
    </row>
    <row r="339" spans="1:1">
      <c r="A339" s="179"/>
    </row>
    <row r="340" spans="1:1">
      <c r="A340" s="179"/>
    </row>
    <row r="341" spans="1:1">
      <c r="A341" s="179"/>
    </row>
    <row r="342" spans="1:1">
      <c r="A342" s="179"/>
    </row>
    <row r="343" spans="1:1">
      <c r="A343" s="179"/>
    </row>
    <row r="344" spans="1:1">
      <c r="A344" s="179"/>
    </row>
    <row r="345" spans="1:1">
      <c r="A345" s="179"/>
    </row>
    <row r="346" spans="1:1">
      <c r="A346" s="179"/>
    </row>
    <row r="347" spans="1:1">
      <c r="A347" s="179"/>
    </row>
    <row r="348" spans="1:1">
      <c r="A348" s="179"/>
    </row>
    <row r="349" spans="1:1">
      <c r="A349" s="179"/>
    </row>
    <row r="350" spans="1:1">
      <c r="A350" s="179"/>
    </row>
    <row r="351" spans="1:1">
      <c r="A351" s="179"/>
    </row>
    <row r="352" spans="1:1">
      <c r="A352" s="179"/>
    </row>
    <row r="353" spans="1:1">
      <c r="A353" s="179"/>
    </row>
    <row r="354" spans="1:1">
      <c r="A354" s="179"/>
    </row>
    <row r="355" spans="1:1">
      <c r="A355" s="179"/>
    </row>
    <row r="356" spans="1:1">
      <c r="A356" s="179"/>
    </row>
    <row r="357" spans="1:1">
      <c r="A357" s="179"/>
    </row>
    <row r="358" spans="1:1">
      <c r="A358" s="179"/>
    </row>
    <row r="359" spans="1:1">
      <c r="A359" s="179"/>
    </row>
    <row r="360" spans="1:1">
      <c r="A360" s="179"/>
    </row>
    <row r="361" spans="1:1">
      <c r="A361" s="179"/>
    </row>
    <row r="362" spans="1:1">
      <c r="A362" s="179"/>
    </row>
    <row r="363" spans="1:1">
      <c r="A363" s="179"/>
    </row>
    <row r="364" spans="1:1">
      <c r="A364" s="179"/>
    </row>
    <row r="365" spans="1:1">
      <c r="A365" s="179"/>
    </row>
    <row r="366" spans="1:1">
      <c r="A366" s="179"/>
    </row>
    <row r="367" spans="1:1">
      <c r="A367" s="179"/>
    </row>
    <row r="368" spans="1:1">
      <c r="A368" s="179"/>
    </row>
    <row r="369" spans="1:1">
      <c r="A369" s="179"/>
    </row>
    <row r="370" spans="1:1">
      <c r="A370" s="179"/>
    </row>
    <row r="371" spans="1:1">
      <c r="A371" s="179"/>
    </row>
    <row r="372" spans="1:1">
      <c r="A372" s="179"/>
    </row>
    <row r="373" spans="1:1">
      <c r="A373" s="179"/>
    </row>
    <row r="374" spans="1:1">
      <c r="A374" s="179"/>
    </row>
    <row r="375" spans="1:1">
      <c r="A375" s="179"/>
    </row>
    <row r="376" spans="1:1">
      <c r="A376" s="179"/>
    </row>
    <row r="377" spans="1:1">
      <c r="A377" s="179"/>
    </row>
    <row r="378" spans="1:1">
      <c r="A378" s="179"/>
    </row>
    <row r="379" spans="1:1">
      <c r="A379" s="179"/>
    </row>
    <row r="380" spans="1:1">
      <c r="A380" s="179"/>
    </row>
    <row r="381" spans="1:1">
      <c r="A381" s="179"/>
    </row>
    <row r="382" spans="1:1">
      <c r="A382" s="179"/>
    </row>
    <row r="383" spans="1:1">
      <c r="A383" s="179"/>
    </row>
    <row r="384" spans="1:1">
      <c r="A384" s="179"/>
    </row>
    <row r="385" spans="1:1">
      <c r="A385" s="179"/>
    </row>
    <row r="386" spans="1:1">
      <c r="A386" s="179"/>
    </row>
    <row r="387" spans="1:1">
      <c r="A387" s="179"/>
    </row>
    <row r="388" spans="1:1">
      <c r="A388" s="179"/>
    </row>
    <row r="389" spans="1:1">
      <c r="A389" s="179"/>
    </row>
    <row r="390" spans="1:1">
      <c r="A390" s="179"/>
    </row>
    <row r="391" spans="1:1">
      <c r="A391" s="179"/>
    </row>
    <row r="392" spans="1:1">
      <c r="A392" s="179"/>
    </row>
    <row r="393" spans="1:1">
      <c r="A393" s="179"/>
    </row>
    <row r="394" spans="1:1">
      <c r="A394" s="179"/>
    </row>
    <row r="395" spans="1:1">
      <c r="A395" s="179"/>
    </row>
    <row r="396" spans="1:1">
      <c r="A396" s="179"/>
    </row>
    <row r="397" spans="1:1">
      <c r="A397" s="179"/>
    </row>
    <row r="398" spans="1:1">
      <c r="A398" s="179"/>
    </row>
    <row r="399" spans="1:1">
      <c r="A399" s="179"/>
    </row>
    <row r="400" spans="1:1">
      <c r="A400" s="179"/>
    </row>
    <row r="401" spans="1:1">
      <c r="A401" s="179"/>
    </row>
    <row r="402" spans="1:1">
      <c r="A402" s="179"/>
    </row>
    <row r="403" spans="1:1">
      <c r="A403" s="179"/>
    </row>
    <row r="404" spans="1:1">
      <c r="A404" s="179"/>
    </row>
    <row r="405" spans="1:1">
      <c r="A405" s="179"/>
    </row>
    <row r="406" spans="1:1">
      <c r="A406" s="179"/>
    </row>
    <row r="407" spans="1:1">
      <c r="A407" s="179"/>
    </row>
    <row r="408" spans="1:1">
      <c r="A408" s="179"/>
    </row>
    <row r="409" spans="1:1">
      <c r="A409" s="179"/>
    </row>
    <row r="410" spans="1:1">
      <c r="A410" s="179"/>
    </row>
    <row r="411" spans="1:1">
      <c r="A411" s="179"/>
    </row>
    <row r="412" spans="1:1">
      <c r="A412" s="179"/>
    </row>
    <row r="413" spans="1:1">
      <c r="A413" s="179"/>
    </row>
    <row r="414" spans="1:1">
      <c r="A414" s="179"/>
    </row>
    <row r="415" spans="1:1">
      <c r="A415" s="179"/>
    </row>
    <row r="416" spans="1:1">
      <c r="A416" s="179"/>
    </row>
    <row r="417" spans="1:1">
      <c r="A417" s="179"/>
    </row>
    <row r="418" spans="1:1">
      <c r="A418" s="179"/>
    </row>
    <row r="419" spans="1:1">
      <c r="A419" s="179"/>
    </row>
    <row r="420" spans="1:1">
      <c r="A420" s="179"/>
    </row>
    <row r="421" spans="1:1">
      <c r="A421" s="179"/>
    </row>
    <row r="422" spans="1:1">
      <c r="A422" s="179"/>
    </row>
    <row r="423" spans="1:1">
      <c r="A423" s="179"/>
    </row>
    <row r="424" spans="1:1">
      <c r="A424" s="179"/>
    </row>
    <row r="425" spans="1:1">
      <c r="A425" s="179"/>
    </row>
    <row r="426" spans="1:1">
      <c r="A426" s="179"/>
    </row>
    <row r="427" spans="1:1">
      <c r="A427" s="179"/>
    </row>
    <row r="428" spans="1:1">
      <c r="A428" s="179"/>
    </row>
    <row r="429" spans="1:1">
      <c r="A429" s="179"/>
    </row>
    <row r="430" spans="1:1">
      <c r="A430" s="179"/>
    </row>
    <row r="431" spans="1:1">
      <c r="A431" s="179"/>
    </row>
    <row r="432" spans="1:1">
      <c r="A432" s="179"/>
    </row>
    <row r="433" spans="1:1">
      <c r="A433" s="179"/>
    </row>
    <row r="434" spans="1:1">
      <c r="A434" s="179"/>
    </row>
    <row r="435" spans="1:1">
      <c r="A435" s="179"/>
    </row>
    <row r="436" spans="1:1">
      <c r="A436" s="179"/>
    </row>
    <row r="437" spans="1:1">
      <c r="A437" s="179"/>
    </row>
    <row r="438" spans="1:1">
      <c r="A438" s="179"/>
    </row>
    <row r="439" spans="1:1">
      <c r="A439" s="179"/>
    </row>
    <row r="440" spans="1:1">
      <c r="A440" s="179"/>
    </row>
    <row r="441" spans="1:1">
      <c r="A441" s="179"/>
    </row>
    <row r="442" spans="1:1">
      <c r="A442" s="179"/>
    </row>
    <row r="443" spans="1:1">
      <c r="A443" s="179"/>
    </row>
    <row r="444" spans="1:1">
      <c r="A444" s="179"/>
    </row>
    <row r="445" spans="1:1">
      <c r="A445" s="179"/>
    </row>
    <row r="446" spans="1:1">
      <c r="A446" s="179"/>
    </row>
    <row r="447" spans="1:1">
      <c r="A447" s="179"/>
    </row>
    <row r="448" spans="1:1">
      <c r="A448" s="179"/>
    </row>
    <row r="449" spans="1:1">
      <c r="A449" s="179"/>
    </row>
    <row r="450" spans="1:1">
      <c r="A450" s="179"/>
    </row>
    <row r="451" spans="1:1">
      <c r="A451" s="179"/>
    </row>
    <row r="452" spans="1:1">
      <c r="A452" s="179"/>
    </row>
    <row r="453" spans="1:1">
      <c r="A453" s="179"/>
    </row>
    <row r="454" spans="1:1">
      <c r="A454" s="179"/>
    </row>
    <row r="455" spans="1:1">
      <c r="A455" s="179"/>
    </row>
    <row r="456" spans="1:1">
      <c r="A456" s="179"/>
    </row>
    <row r="457" spans="1:1">
      <c r="A457" s="179"/>
    </row>
    <row r="458" spans="1:1">
      <c r="A458" s="179"/>
    </row>
    <row r="459" spans="1:1">
      <c r="A459" s="179"/>
    </row>
    <row r="460" spans="1:1">
      <c r="A460" s="179"/>
    </row>
    <row r="461" spans="1:1">
      <c r="A461" s="179"/>
    </row>
    <row r="462" spans="1:1">
      <c r="A462" s="179"/>
    </row>
    <row r="463" spans="1:1">
      <c r="A463" s="179"/>
    </row>
    <row r="464" spans="1:1">
      <c r="A464" s="179"/>
    </row>
    <row r="465" spans="1:1">
      <c r="A465" s="179"/>
    </row>
    <row r="466" spans="1:1">
      <c r="A466" s="179"/>
    </row>
    <row r="467" spans="1:1">
      <c r="A467" s="179"/>
    </row>
    <row r="468" spans="1:1">
      <c r="A468" s="179"/>
    </row>
    <row r="469" spans="1:1">
      <c r="A469" s="179"/>
    </row>
    <row r="470" spans="1:1">
      <c r="A470" s="179"/>
    </row>
    <row r="471" spans="1:1">
      <c r="A471" s="179"/>
    </row>
    <row r="472" spans="1:1">
      <c r="A472" s="179"/>
    </row>
    <row r="473" spans="1:1">
      <c r="A473" s="179"/>
    </row>
    <row r="474" spans="1:1">
      <c r="A474" s="179"/>
    </row>
    <row r="475" spans="1:1">
      <c r="A475" s="179"/>
    </row>
    <row r="476" spans="1:1">
      <c r="A476" s="179"/>
    </row>
    <row r="477" spans="1:1">
      <c r="A477" s="179"/>
    </row>
    <row r="478" spans="1:1">
      <c r="A478" s="179"/>
    </row>
    <row r="479" spans="1:1">
      <c r="A479" s="179"/>
    </row>
    <row r="480" spans="1:1">
      <c r="A480" s="179"/>
    </row>
    <row r="481" spans="1:1">
      <c r="A481" s="179"/>
    </row>
    <row r="482" spans="1:1">
      <c r="A482" s="179"/>
    </row>
    <row r="483" spans="1:1">
      <c r="A483" s="179"/>
    </row>
    <row r="484" spans="1:1">
      <c r="A484" s="179"/>
    </row>
    <row r="485" spans="1:1">
      <c r="A485" s="179"/>
    </row>
    <row r="486" spans="1:1">
      <c r="A486" s="179"/>
    </row>
    <row r="487" spans="1:1">
      <c r="A487" s="179"/>
    </row>
    <row r="488" spans="1:1">
      <c r="A488" s="179"/>
    </row>
    <row r="489" spans="1:1">
      <c r="A489" s="179"/>
    </row>
    <row r="490" spans="1:1">
      <c r="A490" s="179"/>
    </row>
    <row r="491" spans="1:1">
      <c r="A491" s="179"/>
    </row>
    <row r="492" spans="1:1">
      <c r="A492" s="179"/>
    </row>
    <row r="493" spans="1:1">
      <c r="A493" s="179"/>
    </row>
    <row r="494" spans="1:1">
      <c r="A494" s="179"/>
    </row>
    <row r="495" spans="1:1">
      <c r="A495" s="179"/>
    </row>
    <row r="496" spans="1:1">
      <c r="A496" s="179"/>
    </row>
    <row r="497" spans="1:1">
      <c r="A497" s="179"/>
    </row>
    <row r="498" spans="1:1">
      <c r="A498" s="179"/>
    </row>
    <row r="499" spans="1:1">
      <c r="A499" s="179"/>
    </row>
    <row r="500" spans="1:1">
      <c r="A500" s="179"/>
    </row>
    <row r="501" spans="1:1">
      <c r="A501" s="179"/>
    </row>
    <row r="502" spans="1:1">
      <c r="A502" s="179"/>
    </row>
    <row r="503" spans="1:1">
      <c r="A503" s="179"/>
    </row>
    <row r="504" spans="1:1">
      <c r="A504" s="179"/>
    </row>
    <row r="505" spans="1:1">
      <c r="A505" s="179"/>
    </row>
    <row r="506" spans="1:1">
      <c r="A506" s="179"/>
    </row>
    <row r="507" spans="1:1">
      <c r="A507" s="179"/>
    </row>
    <row r="508" spans="1:1">
      <c r="A508" s="179"/>
    </row>
    <row r="509" spans="1:1">
      <c r="A509" s="179"/>
    </row>
    <row r="510" spans="1:1">
      <c r="A510" s="179"/>
    </row>
    <row r="511" spans="1:1">
      <c r="A511" s="179"/>
    </row>
    <row r="512" spans="1:1">
      <c r="A512" s="179"/>
    </row>
    <row r="513" spans="1:1">
      <c r="A513" s="179"/>
    </row>
    <row r="514" spans="1:1">
      <c r="A514" s="179"/>
    </row>
    <row r="515" spans="1:1">
      <c r="A515" s="179"/>
    </row>
    <row r="516" spans="1:1">
      <c r="A516" s="179"/>
    </row>
    <row r="517" spans="1:1">
      <c r="A517" s="179"/>
    </row>
    <row r="518" spans="1:1">
      <c r="A518" s="179"/>
    </row>
    <row r="519" spans="1:1">
      <c r="A519" s="179"/>
    </row>
    <row r="520" spans="1:1">
      <c r="A520" s="179"/>
    </row>
    <row r="521" spans="1:1">
      <c r="A521" s="179"/>
    </row>
    <row r="522" spans="1:1">
      <c r="A522" s="179"/>
    </row>
    <row r="523" spans="1:1">
      <c r="A523" s="179"/>
    </row>
    <row r="524" spans="1:1">
      <c r="A524" s="179"/>
    </row>
    <row r="525" spans="1:1">
      <c r="A525" s="179"/>
    </row>
    <row r="526" spans="1:1">
      <c r="A526" s="179"/>
    </row>
    <row r="527" spans="1:1">
      <c r="A527" s="179"/>
    </row>
    <row r="528" spans="1:1">
      <c r="A528" s="179"/>
    </row>
    <row r="529" spans="1:1">
      <c r="A529" s="179"/>
    </row>
    <row r="530" spans="1:1">
      <c r="A530" s="179"/>
    </row>
    <row r="531" spans="1:1">
      <c r="A531" s="179"/>
    </row>
    <row r="532" spans="1:1">
      <c r="A532" s="179"/>
    </row>
    <row r="533" spans="1:1">
      <c r="A533" s="179"/>
    </row>
    <row r="534" spans="1:1">
      <c r="A534" s="179"/>
    </row>
    <row r="535" spans="1:1">
      <c r="A535" s="179"/>
    </row>
    <row r="536" spans="1:1">
      <c r="A536" s="179"/>
    </row>
    <row r="537" spans="1:1">
      <c r="A537" s="179"/>
    </row>
    <row r="538" spans="1:1">
      <c r="A538" s="179"/>
    </row>
    <row r="539" spans="1:1">
      <c r="A539" s="179"/>
    </row>
    <row r="540" spans="1:1">
      <c r="A540" s="179"/>
    </row>
    <row r="541" spans="1:1">
      <c r="A541" s="179"/>
    </row>
    <row r="542" spans="1:1">
      <c r="A542" s="179"/>
    </row>
    <row r="543" spans="1:1">
      <c r="A543" s="179"/>
    </row>
    <row r="544" spans="1:1">
      <c r="A544" s="179"/>
    </row>
    <row r="545" spans="1:1">
      <c r="A545" s="179"/>
    </row>
    <row r="546" spans="1:1">
      <c r="A546" s="179"/>
    </row>
    <row r="547" spans="1:1">
      <c r="A547" s="179"/>
    </row>
    <row r="548" spans="1:1">
      <c r="A548" s="179"/>
    </row>
    <row r="549" spans="1:1">
      <c r="A549" s="179"/>
    </row>
    <row r="550" spans="1:1">
      <c r="A550" s="179"/>
    </row>
    <row r="551" spans="1:1">
      <c r="A551" s="179"/>
    </row>
    <row r="552" spans="1:1">
      <c r="A552" s="179"/>
    </row>
    <row r="553" spans="1:1">
      <c r="A553" s="179"/>
    </row>
    <row r="554" spans="1:1">
      <c r="A554" s="179"/>
    </row>
    <row r="555" spans="1:1">
      <c r="A555" s="179"/>
    </row>
    <row r="556" spans="1:1">
      <c r="A556" s="179"/>
    </row>
    <row r="557" spans="1:1">
      <c r="A557" s="179"/>
    </row>
    <row r="558" spans="1:1">
      <c r="A558" s="179"/>
    </row>
    <row r="559" spans="1:1">
      <c r="A559" s="179"/>
    </row>
    <row r="560" spans="1:1">
      <c r="A560" s="179"/>
    </row>
    <row r="561" spans="1:1">
      <c r="A561" s="179"/>
    </row>
    <row r="562" spans="1:1">
      <c r="A562" s="179"/>
    </row>
    <row r="563" spans="1:1">
      <c r="A563" s="179"/>
    </row>
    <row r="564" spans="1:1">
      <c r="A564" s="179"/>
    </row>
    <row r="565" spans="1:1">
      <c r="A565" s="179"/>
    </row>
    <row r="566" spans="1:1">
      <c r="A566" s="179"/>
    </row>
    <row r="567" spans="1:1">
      <c r="A567" s="179"/>
    </row>
    <row r="568" spans="1:1">
      <c r="A568" s="179"/>
    </row>
    <row r="569" spans="1:1">
      <c r="A569" s="179"/>
    </row>
    <row r="570" spans="1:1">
      <c r="A570" s="179"/>
    </row>
    <row r="571" spans="1:1">
      <c r="A571" s="179"/>
    </row>
    <row r="572" spans="1:1">
      <c r="A572" s="179"/>
    </row>
    <row r="573" spans="1:1">
      <c r="A573" s="179"/>
    </row>
    <row r="574" spans="1:1">
      <c r="A574" s="179"/>
    </row>
    <row r="575" spans="1:1">
      <c r="A575" s="179"/>
    </row>
    <row r="576" spans="1:1">
      <c r="A576" s="17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9"/>
  <sheetViews>
    <sheetView topLeftCell="A13" workbookViewId="0">
      <selection activeCell="A50" sqref="A50"/>
    </sheetView>
  </sheetViews>
  <sheetFormatPr defaultRowHeight="12.75"/>
  <sheetData>
    <row r="1" spans="1:1">
      <c r="A1" s="172" t="s">
        <v>250</v>
      </c>
    </row>
    <row r="2" spans="1:1">
      <c r="A2" t="s">
        <v>154</v>
      </c>
    </row>
    <row r="3" spans="1:1">
      <c r="A3" t="s">
        <v>156</v>
      </c>
    </row>
    <row r="4" spans="1:1">
      <c r="A4" t="s">
        <v>155</v>
      </c>
    </row>
    <row r="5" spans="1:1">
      <c r="A5" t="s">
        <v>179</v>
      </c>
    </row>
    <row r="6" spans="1:1">
      <c r="A6" t="s">
        <v>183</v>
      </c>
    </row>
    <row r="7" spans="1:1">
      <c r="A7" t="s">
        <v>235</v>
      </c>
    </row>
    <row r="8" spans="1:1">
      <c r="A8" t="s">
        <v>243</v>
      </c>
    </row>
    <row r="9" spans="1:1">
      <c r="A9" t="s">
        <v>244</v>
      </c>
    </row>
    <row r="11" spans="1:1">
      <c r="A11" s="172" t="s">
        <v>251</v>
      </c>
    </row>
    <row r="12" spans="1:1">
      <c r="A12" s="172" t="s">
        <v>249</v>
      </c>
    </row>
    <row r="13" spans="1:1">
      <c r="A13" s="172" t="s">
        <v>253</v>
      </c>
    </row>
    <row r="14" spans="1:1">
      <c r="A14" s="172" t="s">
        <v>254</v>
      </c>
    </row>
    <row r="15" spans="1:1">
      <c r="A15" s="172" t="s">
        <v>255</v>
      </c>
    </row>
    <row r="16" spans="1:1">
      <c r="A16" s="172" t="s">
        <v>256</v>
      </c>
    </row>
    <row r="17" spans="1:1">
      <c r="A17" s="172" t="s">
        <v>283</v>
      </c>
    </row>
    <row r="18" spans="1:1">
      <c r="A18" s="172" t="s">
        <v>284</v>
      </c>
    </row>
    <row r="20" spans="1:1">
      <c r="A20" s="172" t="s">
        <v>285</v>
      </c>
    </row>
    <row r="21" spans="1:1">
      <c r="A21" s="172" t="s">
        <v>286</v>
      </c>
    </row>
    <row r="22" spans="1:1">
      <c r="A22" s="172" t="s">
        <v>287</v>
      </c>
    </row>
    <row r="23" spans="1:1">
      <c r="A23" s="172" t="s">
        <v>332</v>
      </c>
    </row>
    <row r="24" spans="1:1">
      <c r="A24" s="172" t="s">
        <v>333</v>
      </c>
    </row>
    <row r="25" spans="1:1">
      <c r="A25" s="172" t="s">
        <v>334</v>
      </c>
    </row>
    <row r="26" spans="1:1">
      <c r="A26" s="172" t="s">
        <v>335</v>
      </c>
    </row>
    <row r="27" spans="1:1">
      <c r="A27" s="172" t="s">
        <v>369</v>
      </c>
    </row>
    <row r="28" spans="1:1">
      <c r="A28" s="235" t="s">
        <v>373</v>
      </c>
    </row>
    <row r="29" spans="1:1">
      <c r="A29" s="172" t="s">
        <v>378</v>
      </c>
    </row>
    <row r="30" spans="1:1">
      <c r="A30" s="172" t="s">
        <v>377</v>
      </c>
    </row>
    <row r="31" spans="1:1">
      <c r="A31" s="172" t="s">
        <v>386</v>
      </c>
    </row>
    <row r="32" spans="1:1">
      <c r="A32" s="172" t="s">
        <v>415</v>
      </c>
    </row>
    <row r="33" spans="1:1">
      <c r="A33" s="172" t="s">
        <v>421</v>
      </c>
    </row>
    <row r="34" spans="1:1">
      <c r="A34" s="172" t="s">
        <v>422</v>
      </c>
    </row>
    <row r="35" spans="1:1">
      <c r="A35" s="172" t="s">
        <v>441</v>
      </c>
    </row>
    <row r="36" spans="1:1">
      <c r="A36" s="172" t="s">
        <v>442</v>
      </c>
    </row>
    <row r="38" spans="1:1">
      <c r="A38" t="s">
        <v>466</v>
      </c>
    </row>
    <row r="39" spans="1:1">
      <c r="A39" t="s">
        <v>445</v>
      </c>
    </row>
    <row r="40" spans="1:1">
      <c r="A40" t="s">
        <v>446</v>
      </c>
    </row>
    <row r="41" spans="1:1">
      <c r="A41" t="s">
        <v>448</v>
      </c>
    </row>
    <row r="42" spans="1:1">
      <c r="A42" t="s">
        <v>456</v>
      </c>
    </row>
    <row r="43" spans="1:1">
      <c r="A43" s="235" t="s">
        <v>457</v>
      </c>
    </row>
    <row r="44" spans="1:1">
      <c r="A44" s="172" t="s">
        <v>459</v>
      </c>
    </row>
    <row r="45" spans="1:1">
      <c r="A45" s="172" t="s">
        <v>460</v>
      </c>
    </row>
    <row r="46" spans="1:1">
      <c r="A46" s="172" t="s">
        <v>465</v>
      </c>
    </row>
    <row r="48" spans="1:1">
      <c r="A48" s="172" t="s">
        <v>762</v>
      </c>
    </row>
    <row r="49" spans="1:1">
      <c r="A49" s="172" t="s">
        <v>763</v>
      </c>
    </row>
  </sheetData>
  <phoneticPr fontId="20" type="noConversion"/>
  <pageMargins left="0.75" right="0.75" top="1" bottom="1" header="0.5" footer="0.5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82"/>
  <sheetViews>
    <sheetView workbookViewId="0">
      <selection activeCell="D9" sqref="D9:E63"/>
    </sheetView>
  </sheetViews>
  <sheetFormatPr defaultRowHeight="12.75"/>
  <cols>
    <col min="1" max="1" width="13.85546875" style="2" customWidth="1"/>
    <col min="2" max="2" width="13.42578125" customWidth="1"/>
    <col min="5" max="5" width="11.28515625" customWidth="1"/>
    <col min="6" max="6" width="12.140625" customWidth="1"/>
    <col min="7" max="7" width="11.85546875" customWidth="1"/>
    <col min="8" max="8" width="9.85546875" customWidth="1"/>
    <col min="9" max="9" width="13.5703125" customWidth="1"/>
    <col min="10" max="10" width="11" customWidth="1"/>
    <col min="11" max="12" width="14.42578125" customWidth="1"/>
    <col min="13" max="13" width="10.7109375" customWidth="1"/>
    <col min="14" max="14" width="11" customWidth="1"/>
    <col min="15" max="15" width="12.28515625" customWidth="1"/>
    <col min="16" max="16" width="10.28515625" customWidth="1"/>
    <col min="17" max="17" width="11" customWidth="1"/>
    <col min="18" max="18" width="10.28515625" customWidth="1"/>
    <col min="19" max="19" width="11.28515625" customWidth="1"/>
  </cols>
  <sheetData>
    <row r="1" spans="1:20" ht="15.75">
      <c r="A1" s="82" t="s">
        <v>150</v>
      </c>
      <c r="J1" s="29" t="s">
        <v>151</v>
      </c>
      <c r="K1" s="88"/>
      <c r="L1" s="88"/>
    </row>
    <row r="3" spans="1:20">
      <c r="A3" s="94" t="s">
        <v>499</v>
      </c>
      <c r="B3" s="180" t="s">
        <v>569</v>
      </c>
      <c r="C3" s="93"/>
      <c r="D3" s="88"/>
      <c r="E3" s="29" t="s">
        <v>147</v>
      </c>
      <c r="F3" s="180" t="s">
        <v>447</v>
      </c>
      <c r="G3" s="88"/>
    </row>
    <row r="4" spans="1:20">
      <c r="A4" s="94" t="s">
        <v>45</v>
      </c>
      <c r="B4" s="95">
        <v>43073</v>
      </c>
      <c r="C4" s="93"/>
      <c r="D4" s="88"/>
      <c r="E4" s="29" t="s">
        <v>148</v>
      </c>
      <c r="F4" s="88">
        <v>96330109</v>
      </c>
      <c r="G4" s="88"/>
      <c r="N4" s="65">
        <f>AVERAGE(N12,N13,N14,N18,N19,N20,N21,N22,N23,N27,N28,N29,N33,N34,N35,N39,N40,N41,N45,N46,N47,N51,N52,N53,N55,N57,N61,N62,N63)</f>
        <v>20.16689655172414</v>
      </c>
    </row>
    <row r="5" spans="1:20" ht="13.5" thickBot="1">
      <c r="A5" s="174"/>
      <c r="B5" s="95"/>
      <c r="C5" s="93"/>
      <c r="D5" s="88"/>
      <c r="E5" s="29" t="s">
        <v>149</v>
      </c>
      <c r="F5" s="180" t="s">
        <v>642</v>
      </c>
      <c r="G5" s="88"/>
      <c r="N5" s="65">
        <f>STDEV(N12,N13,N14,N18,N19,N20,N21,N22,N23,N27,N28,N29,N33,N34,N35,N39,N40,N41,N45,N46,N47,N51,N52,N53,N55,N57,N61,N62,N63)</f>
        <v>7.0462930896620424E-2</v>
      </c>
      <c r="P5" s="178"/>
    </row>
    <row r="6" spans="1:20" ht="14.25" thickTop="1" thickBot="1">
      <c r="A6" s="77"/>
      <c r="J6" t="s">
        <v>458</v>
      </c>
      <c r="K6" s="506" t="s">
        <v>766</v>
      </c>
      <c r="N6" s="240" t="s">
        <v>807</v>
      </c>
      <c r="P6" s="172"/>
      <c r="Q6" s="172"/>
      <c r="R6" s="172"/>
    </row>
    <row r="7" spans="1:20" ht="13.5" thickTop="1">
      <c r="A7" s="66" t="s">
        <v>180</v>
      </c>
      <c r="B7" s="69" t="s">
        <v>16</v>
      </c>
      <c r="C7" s="70" t="s">
        <v>33</v>
      </c>
      <c r="D7" s="71" t="s">
        <v>10</v>
      </c>
      <c r="E7" s="71" t="s">
        <v>11</v>
      </c>
      <c r="F7" s="591" t="s">
        <v>751</v>
      </c>
      <c r="G7" s="72"/>
      <c r="H7" s="592" t="s">
        <v>749</v>
      </c>
      <c r="I7" s="73"/>
      <c r="J7" s="97" t="s">
        <v>143</v>
      </c>
      <c r="K7" s="507" t="s">
        <v>767</v>
      </c>
      <c r="L7" t="s">
        <v>450</v>
      </c>
      <c r="N7" s="172" t="s">
        <v>443</v>
      </c>
    </row>
    <row r="8" spans="1:20">
      <c r="A8" s="67"/>
      <c r="B8" s="69"/>
      <c r="C8" s="70"/>
      <c r="D8" s="86"/>
      <c r="E8" s="86"/>
      <c r="F8" s="79"/>
      <c r="G8" s="74"/>
      <c r="H8" s="78"/>
      <c r="I8" s="75"/>
      <c r="J8" s="98" t="s">
        <v>144</v>
      </c>
      <c r="K8" s="508" t="s">
        <v>768</v>
      </c>
    </row>
    <row r="9" spans="1:20">
      <c r="A9" s="173" t="s">
        <v>628</v>
      </c>
      <c r="B9" s="69" t="str">
        <f>J9&amp;"_"&amp;A9</f>
        <v>53_0 ohm</v>
      </c>
      <c r="C9" s="175" t="s">
        <v>85</v>
      </c>
      <c r="D9" s="87">
        <v>100</v>
      </c>
      <c r="E9" s="87">
        <v>38510</v>
      </c>
      <c r="F9" s="79">
        <f t="shared" ref="F9:F40" si="0">(alpha-VLOOKUP(Range&amp;frequency,zeros,2,FALSE))*(1+VLOOKUP(Range,corrections,2,FALSE)*0.000001)*VLOOKUP(Range,multiplier,2,FALSE)</f>
        <v>5.001029458510841E-3</v>
      </c>
      <c r="G9" s="74" t="str">
        <f t="shared" ref="G9:G69" si="1">VLOOKUP(Range,multiplier,3,FALSE)</f>
        <v>microH</v>
      </c>
      <c r="H9" s="78">
        <f t="shared" ref="H9:H40" si="2">(beta-VLOOKUP(Range&amp;frequency,zeros,3,FALSE))*(1+VLOOKUP(Range,corrections,3,FALSE)*0.000001)*VLOOKUP(Range,multiplier,5,FALSE)</f>
        <v>3.8512723182992072</v>
      </c>
      <c r="I9" s="75" t="str">
        <f t="shared" ref="I9:I40" si="3">VLOOKUP(Range,multiplier,6,FALSE)</f>
        <v>milliohm</v>
      </c>
      <c r="J9" s="96">
        <v>53</v>
      </c>
      <c r="K9" s="509"/>
      <c r="L9" s="92"/>
      <c r="M9" s="80"/>
      <c r="N9">
        <v>20.11</v>
      </c>
    </row>
    <row r="10" spans="1:20">
      <c r="A10" s="173" t="s">
        <v>628</v>
      </c>
      <c r="B10" s="69" t="str">
        <f t="shared" ref="B10:B69" si="4">J10&amp;"_"&amp;A10</f>
        <v>400_0 ohm</v>
      </c>
      <c r="C10" s="175" t="s">
        <v>85</v>
      </c>
      <c r="D10" s="87">
        <v>66</v>
      </c>
      <c r="E10" s="87">
        <v>38573</v>
      </c>
      <c r="F10" s="79">
        <f t="shared" si="0"/>
        <v>7.801605955276911E-3</v>
      </c>
      <c r="G10" s="72" t="str">
        <f t="shared" si="1"/>
        <v>microH</v>
      </c>
      <c r="H10" s="78">
        <f t="shared" si="2"/>
        <v>3.8600729405794025</v>
      </c>
      <c r="I10" s="76" t="str">
        <f t="shared" si="3"/>
        <v>milliohm</v>
      </c>
      <c r="J10" s="96">
        <v>400</v>
      </c>
      <c r="K10" s="510"/>
      <c r="L10" s="92"/>
      <c r="M10" s="80"/>
      <c r="N10">
        <v>20.27</v>
      </c>
      <c r="R10" s="80"/>
      <c r="S10" s="83"/>
      <c r="T10" s="91"/>
    </row>
    <row r="11" spans="1:20">
      <c r="A11" s="173" t="s">
        <v>628</v>
      </c>
      <c r="B11" s="69" t="str">
        <f t="shared" si="4"/>
        <v>1000_0 ohm</v>
      </c>
      <c r="C11" s="175" t="s">
        <v>85</v>
      </c>
      <c r="D11" s="87">
        <v>65</v>
      </c>
      <c r="E11" s="87">
        <v>38575</v>
      </c>
      <c r="F11" s="79">
        <f t="shared" si="0"/>
        <v>7.801605955276911E-3</v>
      </c>
      <c r="G11" s="72" t="str">
        <f t="shared" si="1"/>
        <v>microH</v>
      </c>
      <c r="H11" s="78">
        <f t="shared" si="2"/>
        <v>3.8581728062234517</v>
      </c>
      <c r="I11" s="76" t="str">
        <f t="shared" si="3"/>
        <v>milliohm</v>
      </c>
      <c r="J11" s="96">
        <v>1000</v>
      </c>
      <c r="K11" s="510"/>
      <c r="L11" s="92"/>
      <c r="M11" s="80"/>
      <c r="N11">
        <v>20.28</v>
      </c>
    </row>
    <row r="12" spans="1:20">
      <c r="A12" s="173" t="s">
        <v>629</v>
      </c>
      <c r="B12" s="69" t="str">
        <f t="shared" si="4"/>
        <v>53_Short</v>
      </c>
      <c r="C12" s="175" t="s">
        <v>85</v>
      </c>
      <c r="D12" s="181">
        <v>40</v>
      </c>
      <c r="E12" s="87">
        <f>10-100</f>
        <v>-90</v>
      </c>
      <c r="F12" s="79">
        <f t="shared" si="0"/>
        <v>-1.0002058917021682E-3</v>
      </c>
      <c r="G12" s="72" t="str">
        <f t="shared" si="1"/>
        <v>microH</v>
      </c>
      <c r="H12" s="78">
        <f t="shared" si="2"/>
        <v>-9.0006364229272568E-3</v>
      </c>
      <c r="I12" s="76" t="str">
        <f t="shared" si="3"/>
        <v>milliohm</v>
      </c>
      <c r="J12" s="96">
        <v>53</v>
      </c>
      <c r="K12" s="510"/>
      <c r="L12" s="92"/>
      <c r="M12" s="80"/>
      <c r="N12" s="80">
        <v>20.12</v>
      </c>
      <c r="R12" s="80"/>
      <c r="S12" s="83"/>
      <c r="T12" s="91"/>
    </row>
    <row r="13" spans="1:20">
      <c r="A13" s="173" t="s">
        <v>629</v>
      </c>
      <c r="B13" s="69" t="str">
        <f t="shared" si="4"/>
        <v>400_Short</v>
      </c>
      <c r="C13" s="175" t="s">
        <v>85</v>
      </c>
      <c r="D13" s="87">
        <f>87-100</f>
        <v>-13</v>
      </c>
      <c r="E13" s="87">
        <f>63-100</f>
        <v>-37</v>
      </c>
      <c r="F13" s="79">
        <f t="shared" si="0"/>
        <v>-1.0002058917021681E-4</v>
      </c>
      <c r="G13" s="72" t="str">
        <f t="shared" si="1"/>
        <v>microH</v>
      </c>
      <c r="H13" s="78">
        <f t="shared" si="2"/>
        <v>-1.200084856390301E-3</v>
      </c>
      <c r="I13" s="76" t="str">
        <f t="shared" si="3"/>
        <v>milliohm</v>
      </c>
      <c r="J13" s="96">
        <v>400</v>
      </c>
      <c r="K13" s="510"/>
      <c r="L13" s="92"/>
      <c r="M13" s="80"/>
      <c r="N13" s="80">
        <v>20.27</v>
      </c>
    </row>
    <row r="14" spans="1:20">
      <c r="A14" s="173" t="s">
        <v>629</v>
      </c>
      <c r="B14" s="69" t="str">
        <f t="shared" si="4"/>
        <v>1000_Short</v>
      </c>
      <c r="C14" s="175" t="s">
        <v>85</v>
      </c>
      <c r="D14" s="87">
        <f>86-100</f>
        <v>-14</v>
      </c>
      <c r="E14" s="87">
        <f>85-100</f>
        <v>-15</v>
      </c>
      <c r="F14" s="79">
        <f t="shared" si="0"/>
        <v>-1.0002058917021681E-4</v>
      </c>
      <c r="G14" s="72" t="str">
        <f t="shared" si="1"/>
        <v>microH</v>
      </c>
      <c r="H14" s="78">
        <f t="shared" si="2"/>
        <v>-1.1000777850244425E-3</v>
      </c>
      <c r="I14" s="76" t="str">
        <f t="shared" si="3"/>
        <v>milliohm</v>
      </c>
      <c r="J14" s="96">
        <v>1000</v>
      </c>
      <c r="K14" s="510"/>
      <c r="L14" s="92"/>
      <c r="M14" s="80"/>
      <c r="N14" s="80">
        <v>20.260000000000002</v>
      </c>
      <c r="R14" s="80"/>
      <c r="S14" s="83"/>
      <c r="T14" s="91"/>
    </row>
    <row r="15" spans="1:20">
      <c r="A15" s="173" t="s">
        <v>707</v>
      </c>
      <c r="B15" s="69" t="str">
        <f t="shared" si="4"/>
        <v>53_coax 0</v>
      </c>
      <c r="C15" s="175" t="s">
        <v>85</v>
      </c>
      <c r="D15" s="87">
        <v>50</v>
      </c>
      <c r="E15" s="87">
        <v>0</v>
      </c>
      <c r="F15" s="79">
        <f t="shared" si="0"/>
        <v>0</v>
      </c>
      <c r="G15" s="72" t="str">
        <f t="shared" si="1"/>
        <v>microH</v>
      </c>
      <c r="H15" s="78">
        <f t="shared" si="2"/>
        <v>0</v>
      </c>
      <c r="I15" s="76" t="str">
        <f t="shared" si="3"/>
        <v>milliohm</v>
      </c>
      <c r="J15" s="96">
        <v>53</v>
      </c>
      <c r="K15" s="510"/>
      <c r="L15" s="92"/>
      <c r="M15" s="80"/>
      <c r="N15" s="80">
        <v>20.100000000000001</v>
      </c>
    </row>
    <row r="16" spans="1:20">
      <c r="A16" s="173" t="s">
        <v>707</v>
      </c>
      <c r="B16" s="69" t="str">
        <f t="shared" si="4"/>
        <v>400_coax 0</v>
      </c>
      <c r="C16" s="175" t="s">
        <v>85</v>
      </c>
      <c r="D16" s="87">
        <f>88-100</f>
        <v>-12</v>
      </c>
      <c r="E16" s="87">
        <f>75-100</f>
        <v>-25</v>
      </c>
      <c r="F16" s="79">
        <f t="shared" si="0"/>
        <v>0</v>
      </c>
      <c r="G16" s="72" t="str">
        <f t="shared" si="1"/>
        <v>microH</v>
      </c>
      <c r="H16" s="78">
        <f t="shared" si="2"/>
        <v>0</v>
      </c>
      <c r="I16" s="72" t="str">
        <f t="shared" si="3"/>
        <v>milliohm</v>
      </c>
      <c r="J16" s="96">
        <v>400</v>
      </c>
      <c r="K16" s="510"/>
      <c r="L16" s="92"/>
      <c r="M16" s="80"/>
      <c r="N16" s="80">
        <v>20.28</v>
      </c>
      <c r="R16" s="80"/>
      <c r="S16" s="83"/>
      <c r="T16" s="91"/>
    </row>
    <row r="17" spans="1:20">
      <c r="A17" s="173" t="s">
        <v>707</v>
      </c>
      <c r="B17" s="69" t="str">
        <f t="shared" si="4"/>
        <v>1000_coax 0</v>
      </c>
      <c r="C17" s="175" t="s">
        <v>85</v>
      </c>
      <c r="D17" s="87">
        <f>87-100</f>
        <v>-13</v>
      </c>
      <c r="E17" s="87">
        <f>6-10</f>
        <v>-4</v>
      </c>
      <c r="F17" s="79">
        <f t="shared" si="0"/>
        <v>0</v>
      </c>
      <c r="G17" s="72" t="str">
        <f t="shared" si="1"/>
        <v>microH</v>
      </c>
      <c r="H17" s="78">
        <f t="shared" si="2"/>
        <v>0</v>
      </c>
      <c r="I17" s="76" t="str">
        <f t="shared" si="3"/>
        <v>milliohm</v>
      </c>
      <c r="J17" s="96">
        <v>1000</v>
      </c>
      <c r="K17" s="510"/>
      <c r="L17" s="92"/>
      <c r="M17" s="80"/>
      <c r="N17" s="80">
        <v>20.260000000000002</v>
      </c>
    </row>
    <row r="18" spans="1:20" ht="12.2" customHeight="1">
      <c r="A18" s="173" t="s">
        <v>630</v>
      </c>
      <c r="B18" s="69" t="str">
        <f t="shared" si="4"/>
        <v>53_0.1 ohm</v>
      </c>
      <c r="C18" s="175" t="s">
        <v>85</v>
      </c>
      <c r="D18" s="87">
        <v>90</v>
      </c>
      <c r="E18" s="87">
        <v>1057410</v>
      </c>
      <c r="F18" s="79">
        <f t="shared" si="0"/>
        <v>4.0008235668086726E-3</v>
      </c>
      <c r="G18" s="72" t="str">
        <f t="shared" si="1"/>
        <v>microH</v>
      </c>
      <c r="H18" s="78">
        <f t="shared" si="2"/>
        <v>105.74847733297234</v>
      </c>
      <c r="I18" s="76" t="str">
        <f t="shared" si="3"/>
        <v>milliohm</v>
      </c>
      <c r="J18" s="96">
        <v>53</v>
      </c>
      <c r="K18" s="510"/>
      <c r="L18" s="92"/>
      <c r="M18" s="80"/>
      <c r="N18" s="80">
        <v>20.12</v>
      </c>
    </row>
    <row r="19" spans="1:20">
      <c r="A19" s="173" t="s">
        <v>630</v>
      </c>
      <c r="B19" s="69" t="str">
        <f t="shared" si="4"/>
        <v>400_0.1 ohm</v>
      </c>
      <c r="C19" s="175" t="s">
        <v>85</v>
      </c>
      <c r="D19" s="87">
        <v>64</v>
      </c>
      <c r="E19" s="181">
        <v>1057510</v>
      </c>
      <c r="F19" s="79">
        <f t="shared" si="0"/>
        <v>7.6015647769364777E-3</v>
      </c>
      <c r="G19" s="72" t="str">
        <f t="shared" si="1"/>
        <v>microH</v>
      </c>
      <c r="H19" s="78">
        <f t="shared" si="2"/>
        <v>105.76097821689306</v>
      </c>
      <c r="I19" s="76" t="str">
        <f t="shared" si="3"/>
        <v>milliohm</v>
      </c>
      <c r="J19" s="96">
        <v>400</v>
      </c>
      <c r="K19" s="510"/>
      <c r="L19" s="92"/>
      <c r="M19" s="80"/>
      <c r="N19" s="80">
        <v>20.260000000000002</v>
      </c>
    </row>
    <row r="20" spans="1:20">
      <c r="A20" s="173" t="s">
        <v>630</v>
      </c>
      <c r="B20" s="69" t="str">
        <f t="shared" si="4"/>
        <v>1000_0.1 ohm</v>
      </c>
      <c r="C20" s="175" t="s">
        <v>85</v>
      </c>
      <c r="D20" s="87">
        <f>60-1</f>
        <v>59</v>
      </c>
      <c r="E20" s="87">
        <v>1057595</v>
      </c>
      <c r="F20" s="79">
        <f t="shared" si="0"/>
        <v>7.2014824202556102E-3</v>
      </c>
      <c r="G20" s="72" t="str">
        <f t="shared" si="1"/>
        <v>microH</v>
      </c>
      <c r="H20" s="78">
        <f t="shared" si="2"/>
        <v>105.7673786694605</v>
      </c>
      <c r="I20" s="72" t="str">
        <f t="shared" si="3"/>
        <v>milliohm</v>
      </c>
      <c r="J20" s="96">
        <v>1000</v>
      </c>
      <c r="K20" s="510"/>
      <c r="L20" s="92"/>
      <c r="M20" s="80"/>
      <c r="N20" s="80">
        <v>20.28</v>
      </c>
      <c r="R20" s="80"/>
      <c r="S20" s="83"/>
      <c r="T20" s="91"/>
    </row>
    <row r="21" spans="1:20">
      <c r="A21" s="173" t="s">
        <v>631</v>
      </c>
      <c r="B21" s="69" t="str">
        <f t="shared" si="4"/>
        <v>53_1 ohm</v>
      </c>
      <c r="C21" s="175" t="s">
        <v>85</v>
      </c>
      <c r="D21" s="87">
        <v>130</v>
      </c>
      <c r="E21" s="87">
        <v>9880970</v>
      </c>
      <c r="F21" s="79">
        <f t="shared" si="0"/>
        <v>8.0016471336173452E-3</v>
      </c>
      <c r="G21" s="72" t="str">
        <f t="shared" si="1"/>
        <v>microH</v>
      </c>
      <c r="H21" s="78">
        <f t="shared" si="2"/>
        <v>988.16687195390602</v>
      </c>
      <c r="I21" s="76" t="str">
        <f t="shared" si="3"/>
        <v>milliohm</v>
      </c>
      <c r="J21" s="96">
        <v>53</v>
      </c>
      <c r="K21" s="510"/>
      <c r="L21" s="92"/>
      <c r="M21" s="80"/>
      <c r="N21" s="80">
        <v>20.12</v>
      </c>
      <c r="R21" s="80"/>
      <c r="S21" s="83"/>
      <c r="T21" s="91"/>
    </row>
    <row r="22" spans="1:20">
      <c r="A22" s="173" t="s">
        <v>631</v>
      </c>
      <c r="B22" s="69" t="str">
        <f t="shared" si="4"/>
        <v>400_1 ohm</v>
      </c>
      <c r="C22" s="175" t="s">
        <v>85</v>
      </c>
      <c r="D22" s="87">
        <v>46</v>
      </c>
      <c r="E22" s="87">
        <v>9880940</v>
      </c>
      <c r="F22" s="79">
        <f t="shared" si="0"/>
        <v>5.8011941718725752E-3</v>
      </c>
      <c r="G22" s="72" t="str">
        <f t="shared" si="1"/>
        <v>microH</v>
      </c>
      <c r="H22" s="78">
        <f t="shared" si="2"/>
        <v>988.16637191854909</v>
      </c>
      <c r="I22" s="76" t="str">
        <f t="shared" si="3"/>
        <v>milliohm</v>
      </c>
      <c r="J22" s="96">
        <v>400</v>
      </c>
      <c r="K22" s="510"/>
      <c r="L22" s="92"/>
      <c r="M22" s="80"/>
      <c r="N22" s="80">
        <v>20.29</v>
      </c>
      <c r="O22" s="65"/>
      <c r="R22" s="80"/>
      <c r="S22" s="83"/>
      <c r="T22" s="91"/>
    </row>
    <row r="23" spans="1:20">
      <c r="A23" s="173" t="s">
        <v>631</v>
      </c>
      <c r="B23" s="69" t="str">
        <f t="shared" si="4"/>
        <v>1000_1 ohm</v>
      </c>
      <c r="C23" s="175" t="s">
        <v>85</v>
      </c>
      <c r="D23" s="87">
        <v>41</v>
      </c>
      <c r="E23" s="87">
        <f>9881009-100</f>
        <v>9880909</v>
      </c>
      <c r="F23" s="79">
        <f t="shared" si="0"/>
        <v>5.4011118151917085E-3</v>
      </c>
      <c r="G23" s="72" t="str">
        <f t="shared" si="1"/>
        <v>microH</v>
      </c>
      <c r="H23" s="78">
        <f t="shared" si="2"/>
        <v>988.16117155083816</v>
      </c>
      <c r="I23" s="76" t="str">
        <f t="shared" si="3"/>
        <v>milliohm</v>
      </c>
      <c r="J23" s="96">
        <v>1000</v>
      </c>
      <c r="K23" s="510"/>
      <c r="L23" s="92"/>
      <c r="M23" s="80"/>
      <c r="N23" s="80">
        <v>20.25</v>
      </c>
      <c r="O23" s="65"/>
      <c r="R23" s="80"/>
      <c r="S23" s="83"/>
      <c r="T23" s="91"/>
    </row>
    <row r="24" spans="1:20">
      <c r="A24" s="173" t="s">
        <v>707</v>
      </c>
      <c r="B24" s="69" t="str">
        <f t="shared" si="4"/>
        <v>53_coax 0</v>
      </c>
      <c r="C24" s="175" t="s">
        <v>86</v>
      </c>
      <c r="D24" s="87">
        <v>140</v>
      </c>
      <c r="E24" s="87">
        <f>80-100</f>
        <v>-20</v>
      </c>
      <c r="F24" s="79">
        <f t="shared" si="0"/>
        <v>0</v>
      </c>
      <c r="G24" s="72" t="str">
        <f t="shared" si="1"/>
        <v>microH</v>
      </c>
      <c r="H24" s="78">
        <f t="shared" si="2"/>
        <v>0</v>
      </c>
      <c r="I24" s="72" t="str">
        <f t="shared" si="3"/>
        <v>ohm</v>
      </c>
      <c r="J24" s="96">
        <v>53</v>
      </c>
      <c r="K24" s="510"/>
      <c r="L24" s="92"/>
      <c r="M24" s="80"/>
      <c r="N24" s="80">
        <v>20.22</v>
      </c>
      <c r="O24" s="65"/>
      <c r="R24" s="80"/>
      <c r="S24" s="83"/>
      <c r="T24" s="91"/>
    </row>
    <row r="25" spans="1:20">
      <c r="A25" s="173" t="s">
        <v>707</v>
      </c>
      <c r="B25" s="69" t="str">
        <f t="shared" si="4"/>
        <v>400_coax 0</v>
      </c>
      <c r="C25" s="175" t="s">
        <v>86</v>
      </c>
      <c r="D25" s="87">
        <v>1</v>
      </c>
      <c r="E25" s="87">
        <v>3</v>
      </c>
      <c r="F25" s="79">
        <f t="shared" si="0"/>
        <v>0</v>
      </c>
      <c r="G25" s="72" t="str">
        <f t="shared" si="1"/>
        <v>microH</v>
      </c>
      <c r="H25" s="78">
        <f t="shared" si="2"/>
        <v>0</v>
      </c>
      <c r="I25" s="76" t="str">
        <f t="shared" si="3"/>
        <v>ohm</v>
      </c>
      <c r="J25" s="96">
        <v>400</v>
      </c>
      <c r="K25" s="510"/>
      <c r="L25" s="92"/>
      <c r="M25" s="80"/>
      <c r="N25" s="80">
        <v>20.22</v>
      </c>
      <c r="O25" s="65"/>
      <c r="R25" s="80"/>
      <c r="S25" s="83"/>
      <c r="T25" s="91"/>
    </row>
    <row r="26" spans="1:20">
      <c r="A26" s="173" t="s">
        <v>707</v>
      </c>
      <c r="B26" s="69" t="str">
        <f t="shared" si="4"/>
        <v>1000_coax 0</v>
      </c>
      <c r="C26" s="175" t="s">
        <v>86</v>
      </c>
      <c r="D26" s="87">
        <f>8-10</f>
        <v>-2</v>
      </c>
      <c r="E26" s="87">
        <f>87-100</f>
        <v>-13</v>
      </c>
      <c r="F26" s="79">
        <f t="shared" si="0"/>
        <v>0</v>
      </c>
      <c r="G26" s="72" t="str">
        <f t="shared" si="1"/>
        <v>microH</v>
      </c>
      <c r="H26" s="78">
        <f t="shared" si="2"/>
        <v>0</v>
      </c>
      <c r="I26" s="76" t="str">
        <f t="shared" si="3"/>
        <v>ohm</v>
      </c>
      <c r="J26" s="96">
        <v>1000</v>
      </c>
      <c r="K26" s="510"/>
      <c r="L26" s="92"/>
      <c r="M26" s="80"/>
      <c r="N26" s="80">
        <v>20.23</v>
      </c>
      <c r="O26" s="65"/>
      <c r="T26" s="91"/>
    </row>
    <row r="27" spans="1:20">
      <c r="A27" s="173" t="s">
        <v>632</v>
      </c>
      <c r="B27" s="69" t="str">
        <f t="shared" si="4"/>
        <v>53_10 ohm</v>
      </c>
      <c r="C27" s="175" t="s">
        <v>86</v>
      </c>
      <c r="D27" s="87">
        <v>180</v>
      </c>
      <c r="E27" s="87">
        <v>9912310</v>
      </c>
      <c r="F27" s="79">
        <f t="shared" si="0"/>
        <v>4.0008235668086728E-2</v>
      </c>
      <c r="G27" s="72" t="str">
        <f t="shared" si="1"/>
        <v>microH</v>
      </c>
      <c r="H27" s="78">
        <f t="shared" si="2"/>
        <v>9.9130309371193928</v>
      </c>
      <c r="I27" s="76" t="str">
        <f t="shared" si="3"/>
        <v>ohm</v>
      </c>
      <c r="J27" s="96">
        <v>53</v>
      </c>
      <c r="K27" s="510"/>
      <c r="L27" s="92"/>
      <c r="M27" s="80"/>
      <c r="N27" s="80">
        <v>20.22</v>
      </c>
      <c r="O27" s="65"/>
      <c r="T27" s="91"/>
    </row>
    <row r="28" spans="1:20">
      <c r="A28" s="173" t="s">
        <v>632</v>
      </c>
      <c r="B28" s="69" t="str">
        <f t="shared" si="4"/>
        <v>400_10 ohm</v>
      </c>
      <c r="C28" s="175" t="s">
        <v>86</v>
      </c>
      <c r="D28" s="87">
        <v>6</v>
      </c>
      <c r="E28" s="87">
        <v>9912281</v>
      </c>
      <c r="F28" s="79">
        <f t="shared" si="0"/>
        <v>5.001029458510841E-3</v>
      </c>
      <c r="G28" s="72" t="str">
        <f t="shared" si="1"/>
        <v>microH</v>
      </c>
      <c r="H28" s="78">
        <f t="shared" si="2"/>
        <v>9.9129789334422806</v>
      </c>
      <c r="I28" s="72" t="str">
        <f t="shared" si="3"/>
        <v>ohm</v>
      </c>
      <c r="J28" s="96">
        <v>400</v>
      </c>
      <c r="K28" s="510"/>
      <c r="L28" s="92"/>
      <c r="M28" s="80"/>
      <c r="N28" s="80">
        <v>20.23</v>
      </c>
      <c r="O28" s="65"/>
    </row>
    <row r="29" spans="1:20">
      <c r="A29" s="173" t="s">
        <v>632</v>
      </c>
      <c r="B29" s="69" t="str">
        <f t="shared" si="4"/>
        <v>1000_10 ohm</v>
      </c>
      <c r="C29" s="175" t="s">
        <v>86</v>
      </c>
      <c r="D29" s="87">
        <v>2</v>
      </c>
      <c r="E29" s="87">
        <v>9912124</v>
      </c>
      <c r="F29" s="79">
        <f t="shared" si="0"/>
        <v>4.0008235668086726E-3</v>
      </c>
      <c r="G29" s="72" t="str">
        <f t="shared" si="1"/>
        <v>microH</v>
      </c>
      <c r="H29" s="78">
        <f t="shared" si="2"/>
        <v>9.9128379234716544</v>
      </c>
      <c r="I29" s="76" t="str">
        <f t="shared" si="3"/>
        <v>ohm</v>
      </c>
      <c r="J29" s="96">
        <v>1000</v>
      </c>
      <c r="K29" s="510"/>
      <c r="L29" s="92"/>
      <c r="M29" s="80"/>
      <c r="N29" s="80">
        <v>20.239999999999998</v>
      </c>
      <c r="O29" s="65"/>
    </row>
    <row r="30" spans="1:20">
      <c r="A30" s="173" t="s">
        <v>707</v>
      </c>
      <c r="B30" s="69" t="str">
        <f t="shared" si="4"/>
        <v>53_coax 0</v>
      </c>
      <c r="C30" s="175" t="s">
        <v>87</v>
      </c>
      <c r="D30" s="87">
        <v>50</v>
      </c>
      <c r="E30" s="87">
        <f>90-100</f>
        <v>-10</v>
      </c>
      <c r="F30" s="79">
        <f t="shared" si="0"/>
        <v>0</v>
      </c>
      <c r="G30" s="72" t="str">
        <f t="shared" si="1"/>
        <v>milliH</v>
      </c>
      <c r="H30" s="78">
        <f t="shared" si="2"/>
        <v>0</v>
      </c>
      <c r="I30" s="76" t="str">
        <f t="shared" si="3"/>
        <v>ohm</v>
      </c>
      <c r="J30" s="96">
        <v>53</v>
      </c>
      <c r="K30" s="510"/>
      <c r="L30" s="92"/>
      <c r="M30" s="80"/>
      <c r="N30" s="80">
        <v>20.22</v>
      </c>
      <c r="O30" s="65"/>
    </row>
    <row r="31" spans="1:20">
      <c r="A31" s="173" t="s">
        <v>707</v>
      </c>
      <c r="B31" s="69" t="str">
        <f t="shared" si="4"/>
        <v>400_coax 0</v>
      </c>
      <c r="C31" s="175" t="s">
        <v>87</v>
      </c>
      <c r="D31" s="87">
        <v>0</v>
      </c>
      <c r="E31" s="87">
        <v>-10</v>
      </c>
      <c r="F31" s="79">
        <f t="shared" si="0"/>
        <v>0</v>
      </c>
      <c r="G31" s="72" t="str">
        <f t="shared" si="1"/>
        <v>milliH</v>
      </c>
      <c r="H31" s="78">
        <f t="shared" si="2"/>
        <v>0</v>
      </c>
      <c r="I31" s="76" t="str">
        <f t="shared" si="3"/>
        <v>ohm</v>
      </c>
      <c r="J31" s="96">
        <v>400</v>
      </c>
      <c r="K31" s="510"/>
      <c r="L31" s="92"/>
      <c r="M31" s="80"/>
      <c r="N31" s="80">
        <v>20.2</v>
      </c>
      <c r="O31" s="65"/>
    </row>
    <row r="32" spans="1:20">
      <c r="A32" s="173" t="s">
        <v>707</v>
      </c>
      <c r="B32" s="69" t="str">
        <f t="shared" si="4"/>
        <v>1000_coax 0</v>
      </c>
      <c r="C32" s="175" t="s">
        <v>87</v>
      </c>
      <c r="D32" s="87">
        <v>-1</v>
      </c>
      <c r="E32" s="87">
        <f>1-10</f>
        <v>-9</v>
      </c>
      <c r="F32" s="79">
        <f t="shared" si="0"/>
        <v>0</v>
      </c>
      <c r="G32" s="72" t="str">
        <f t="shared" si="1"/>
        <v>milliH</v>
      </c>
      <c r="H32" s="78">
        <f t="shared" si="2"/>
        <v>0</v>
      </c>
      <c r="I32" s="76" t="str">
        <f t="shared" si="3"/>
        <v>ohm</v>
      </c>
      <c r="J32" s="96">
        <v>1000</v>
      </c>
      <c r="K32" s="510"/>
      <c r="L32" s="92"/>
      <c r="M32" s="80"/>
      <c r="N32" s="80">
        <v>20.190000000000001</v>
      </c>
      <c r="O32" s="65"/>
    </row>
    <row r="33" spans="1:16">
      <c r="A33" s="173" t="s">
        <v>633</v>
      </c>
      <c r="B33" s="69" t="str">
        <f t="shared" si="4"/>
        <v>53_100 ohm</v>
      </c>
      <c r="C33" s="175" t="s">
        <v>87</v>
      </c>
      <c r="D33" s="87">
        <v>40</v>
      </c>
      <c r="E33" s="87">
        <v>10003210</v>
      </c>
      <c r="F33" s="79">
        <f t="shared" si="0"/>
        <v>-1.0002058917021683E-4</v>
      </c>
      <c r="G33" s="72" t="str">
        <f t="shared" si="1"/>
        <v>milliH</v>
      </c>
      <c r="H33" s="78">
        <f t="shared" si="2"/>
        <v>100.03927364283821</v>
      </c>
      <c r="I33" s="76" t="str">
        <f t="shared" si="3"/>
        <v>ohm</v>
      </c>
      <c r="J33" s="96">
        <v>53</v>
      </c>
      <c r="K33" s="510"/>
      <c r="L33" s="92"/>
      <c r="M33" s="80"/>
      <c r="N33" s="80">
        <v>20.22</v>
      </c>
      <c r="O33" s="65"/>
    </row>
    <row r="34" spans="1:16">
      <c r="A34" s="173" t="s">
        <v>633</v>
      </c>
      <c r="B34" s="69" t="str">
        <f t="shared" si="4"/>
        <v>400_100 ohm</v>
      </c>
      <c r="C34" s="175" t="s">
        <v>87</v>
      </c>
      <c r="D34" s="87">
        <v>5</v>
      </c>
      <c r="E34" s="87">
        <v>10003205</v>
      </c>
      <c r="F34" s="79">
        <f t="shared" si="0"/>
        <v>5.0010294585108413E-5</v>
      </c>
      <c r="G34" s="72" t="str">
        <f t="shared" si="1"/>
        <v>milliH</v>
      </c>
      <c r="H34" s="78">
        <f t="shared" si="2"/>
        <v>100.03922363930253</v>
      </c>
      <c r="I34" s="76" t="str">
        <f t="shared" si="3"/>
        <v>ohm</v>
      </c>
      <c r="J34" s="96">
        <v>400</v>
      </c>
      <c r="K34" s="510"/>
      <c r="L34" s="92"/>
      <c r="M34" s="80"/>
      <c r="N34" s="243">
        <v>20.190000000000001</v>
      </c>
      <c r="O34" s="65"/>
    </row>
    <row r="35" spans="1:16">
      <c r="A35" s="173" t="s">
        <v>633</v>
      </c>
      <c r="B35" s="69" t="str">
        <f t="shared" si="4"/>
        <v>1000_100 ohm</v>
      </c>
      <c r="C35" s="175" t="s">
        <v>87</v>
      </c>
      <c r="D35" s="87">
        <v>3</v>
      </c>
      <c r="E35" s="87">
        <v>10003167</v>
      </c>
      <c r="F35" s="79">
        <f t="shared" si="0"/>
        <v>4.0008235668086731E-5</v>
      </c>
      <c r="G35" s="72" t="str">
        <f t="shared" si="1"/>
        <v>milliH</v>
      </c>
      <c r="H35" s="78">
        <f t="shared" si="2"/>
        <v>100.0388336117242</v>
      </c>
      <c r="I35" s="76" t="str">
        <f t="shared" si="3"/>
        <v>ohm</v>
      </c>
      <c r="J35" s="96">
        <v>1000</v>
      </c>
      <c r="K35" s="510"/>
      <c r="L35" s="92"/>
      <c r="M35" s="80"/>
      <c r="N35" s="80">
        <v>20.14</v>
      </c>
      <c r="O35" s="65"/>
    </row>
    <row r="36" spans="1:16">
      <c r="A36" s="173" t="s">
        <v>707</v>
      </c>
      <c r="B36" s="69" t="str">
        <f t="shared" si="4"/>
        <v>53_coax 0</v>
      </c>
      <c r="C36" s="175" t="s">
        <v>88</v>
      </c>
      <c r="D36" s="87">
        <v>34</v>
      </c>
      <c r="E36" s="87">
        <v>-10</v>
      </c>
      <c r="F36" s="79">
        <f t="shared" si="0"/>
        <v>0</v>
      </c>
      <c r="G36" s="72" t="str">
        <f t="shared" si="1"/>
        <v>milliH</v>
      </c>
      <c r="H36" s="78">
        <f t="shared" si="2"/>
        <v>0</v>
      </c>
      <c r="I36" s="76" t="str">
        <f t="shared" si="3"/>
        <v>ohm</v>
      </c>
      <c r="J36" s="96">
        <v>53</v>
      </c>
      <c r="K36" s="510"/>
      <c r="L36" s="92"/>
      <c r="M36" s="80"/>
      <c r="N36" s="80">
        <v>20.14</v>
      </c>
      <c r="O36" s="91"/>
    </row>
    <row r="37" spans="1:16">
      <c r="A37" s="173" t="s">
        <v>707</v>
      </c>
      <c r="B37" s="69" t="str">
        <f t="shared" si="4"/>
        <v>400_coax 0</v>
      </c>
      <c r="C37" s="175" t="s">
        <v>88</v>
      </c>
      <c r="D37" s="87">
        <v>1</v>
      </c>
      <c r="E37" s="87">
        <v>-10</v>
      </c>
      <c r="F37" s="79">
        <f t="shared" si="0"/>
        <v>0</v>
      </c>
      <c r="G37" s="72" t="str">
        <f t="shared" si="1"/>
        <v>milliH</v>
      </c>
      <c r="H37" s="78">
        <f t="shared" si="2"/>
        <v>0</v>
      </c>
      <c r="I37" s="76" t="str">
        <f t="shared" si="3"/>
        <v>ohm</v>
      </c>
      <c r="J37" s="96">
        <v>400</v>
      </c>
      <c r="K37" s="510"/>
      <c r="L37" s="92"/>
      <c r="M37" s="80"/>
      <c r="N37" s="80">
        <v>20.14</v>
      </c>
      <c r="O37" s="91"/>
    </row>
    <row r="38" spans="1:16">
      <c r="A38" s="173" t="s">
        <v>707</v>
      </c>
      <c r="B38" s="69" t="str">
        <f t="shared" si="4"/>
        <v>1000_coax 0</v>
      </c>
      <c r="C38" s="175" t="s">
        <v>88</v>
      </c>
      <c r="D38" s="87">
        <v>-1</v>
      </c>
      <c r="E38" s="87">
        <v>-10</v>
      </c>
      <c r="F38" s="79">
        <f t="shared" si="0"/>
        <v>0</v>
      </c>
      <c r="G38" s="72" t="str">
        <f t="shared" si="1"/>
        <v>milliH</v>
      </c>
      <c r="H38" s="78">
        <f t="shared" si="2"/>
        <v>0</v>
      </c>
      <c r="I38" s="76" t="str">
        <f t="shared" si="3"/>
        <v>ohm</v>
      </c>
      <c r="J38" s="96">
        <v>1000</v>
      </c>
      <c r="K38" s="510"/>
      <c r="L38" s="92"/>
      <c r="M38" s="80"/>
      <c r="N38" s="80">
        <v>20.13</v>
      </c>
      <c r="O38" s="91"/>
    </row>
    <row r="39" spans="1:16">
      <c r="A39" s="173" t="s">
        <v>634</v>
      </c>
      <c r="B39" s="69" t="str">
        <f t="shared" si="4"/>
        <v>53_1000 ohm</v>
      </c>
      <c r="C39" s="175" t="s">
        <v>88</v>
      </c>
      <c r="D39" s="87">
        <v>43</v>
      </c>
      <c r="E39" s="87">
        <v>10001861</v>
      </c>
      <c r="F39" s="79">
        <f t="shared" si="0"/>
        <v>9.0018530253195127E-4</v>
      </c>
      <c r="G39" s="72" t="str">
        <f t="shared" si="1"/>
        <v>milliH</v>
      </c>
      <c r="H39" s="78">
        <f t="shared" si="2"/>
        <v>1000.2578268891097</v>
      </c>
      <c r="I39" s="76" t="str">
        <f t="shared" si="3"/>
        <v>ohm</v>
      </c>
      <c r="J39" s="96">
        <v>53</v>
      </c>
      <c r="K39" s="511">
        <f>-F39*VLOOKUP(Range,multiplier,4,FALSE)/(H39*VLOOKUP(Range,multiplier,7,FALSE))^2*1000000000000</f>
        <v>-0.89972129803656686</v>
      </c>
      <c r="L39" s="92"/>
      <c r="M39" s="80"/>
      <c r="N39" s="80">
        <v>20.14</v>
      </c>
      <c r="O39" s="91"/>
    </row>
    <row r="40" spans="1:16">
      <c r="A40" s="173" t="s">
        <v>634</v>
      </c>
      <c r="B40" s="69" t="str">
        <f t="shared" si="4"/>
        <v>400_1000 ohm</v>
      </c>
      <c r="C40" s="175" t="s">
        <v>88</v>
      </c>
      <c r="D40" s="87">
        <v>4</v>
      </c>
      <c r="E40" s="87">
        <v>10001866</v>
      </c>
      <c r="F40" s="79">
        <f t="shared" si="0"/>
        <v>3.0006176751065042E-4</v>
      </c>
      <c r="G40" s="72" t="str">
        <f t="shared" si="1"/>
        <v>milliH</v>
      </c>
      <c r="H40" s="78">
        <f t="shared" si="2"/>
        <v>1000.2583269244664</v>
      </c>
      <c r="I40" s="76" t="str">
        <f t="shared" si="3"/>
        <v>ohm</v>
      </c>
      <c r="J40" s="96">
        <v>400</v>
      </c>
      <c r="K40" s="511">
        <f>-F40*VLOOKUP(Range,multiplier,4,FALSE)/(H40*VLOOKUP(Range,multiplier,7,FALSE))^2*1000000000000</f>
        <v>-0.29990679949474996</v>
      </c>
      <c r="L40" s="92"/>
      <c r="M40" s="80"/>
      <c r="N40" s="80">
        <v>20.14</v>
      </c>
      <c r="O40" s="91"/>
    </row>
    <row r="41" spans="1:16">
      <c r="A41" s="173" t="s">
        <v>634</v>
      </c>
      <c r="B41" s="69" t="str">
        <f t="shared" si="4"/>
        <v>1000_1000 ohm</v>
      </c>
      <c r="C41" s="175" t="s">
        <v>88</v>
      </c>
      <c r="D41" s="87">
        <v>3</v>
      </c>
      <c r="E41" s="87">
        <v>10001835</v>
      </c>
      <c r="F41" s="79">
        <f t="shared" ref="F41:F69" si="5">(alpha-VLOOKUP(Range&amp;frequency,zeros,2,FALSE))*(1+VLOOKUP(Range,corrections,2,FALSE)*0.000001)*VLOOKUP(Range,multiplier,2,FALSE)</f>
        <v>4.0008235668086725E-4</v>
      </c>
      <c r="G41" s="72" t="str">
        <f t="shared" si="1"/>
        <v>milliH</v>
      </c>
      <c r="H41" s="78">
        <f t="shared" ref="H41:H69" si="6">(beta-VLOOKUP(Range&amp;frequency,zeros,3,FALSE))*(1+VLOOKUP(Range,corrections,3,FALSE)*0.000001)*VLOOKUP(Range,multiplier,5,FALSE)</f>
        <v>1000.2552267052541</v>
      </c>
      <c r="I41" s="76" t="str">
        <f t="shared" ref="I41:I69" si="7">VLOOKUP(Range,multiplier,6,FALSE)</f>
        <v>ohm</v>
      </c>
      <c r="J41" s="96">
        <v>1000</v>
      </c>
      <c r="K41" s="511">
        <f>-F41*VLOOKUP(Range,multiplier,4,FALSE)/(H41*VLOOKUP(Range,multiplier,7,FALSE))^2*1000000000000</f>
        <v>-0.39987821143571689</v>
      </c>
      <c r="L41" s="92"/>
      <c r="M41" s="80"/>
      <c r="N41" s="80">
        <v>20.13</v>
      </c>
      <c r="O41" s="91"/>
    </row>
    <row r="42" spans="1:16">
      <c r="A42" s="173" t="s">
        <v>707</v>
      </c>
      <c r="B42" s="69" t="str">
        <f t="shared" si="4"/>
        <v>53_coax 0</v>
      </c>
      <c r="C42" s="175" t="s">
        <v>89</v>
      </c>
      <c r="D42" s="87">
        <v>7</v>
      </c>
      <c r="E42" s="87">
        <f>70-100</f>
        <v>-30</v>
      </c>
      <c r="F42" s="79">
        <f t="shared" si="5"/>
        <v>0</v>
      </c>
      <c r="G42" s="72" t="str">
        <f t="shared" si="1"/>
        <v>milliH</v>
      </c>
      <c r="H42" s="78">
        <f t="shared" si="6"/>
        <v>0</v>
      </c>
      <c r="I42" s="76" t="str">
        <f t="shared" si="7"/>
        <v>ohm</v>
      </c>
      <c r="J42" s="96">
        <v>53</v>
      </c>
      <c r="K42" s="512"/>
      <c r="L42" s="92"/>
      <c r="M42" s="80"/>
      <c r="N42" s="80">
        <v>20.149999999999999</v>
      </c>
    </row>
    <row r="43" spans="1:16">
      <c r="A43" s="173" t="s">
        <v>707</v>
      </c>
      <c r="B43" s="69" t="str">
        <f t="shared" si="4"/>
        <v>400_coax 0</v>
      </c>
      <c r="C43" s="175" t="s">
        <v>89</v>
      </c>
      <c r="D43" s="87">
        <v>0</v>
      </c>
      <c r="E43" s="87">
        <f>72-100</f>
        <v>-28</v>
      </c>
      <c r="F43" s="79">
        <f t="shared" si="5"/>
        <v>0</v>
      </c>
      <c r="G43" s="72" t="str">
        <f t="shared" si="1"/>
        <v>milliH</v>
      </c>
      <c r="H43" s="78">
        <f t="shared" si="6"/>
        <v>0</v>
      </c>
      <c r="I43" s="76" t="str">
        <f t="shared" si="7"/>
        <v>ohm</v>
      </c>
      <c r="J43" s="96">
        <v>400</v>
      </c>
      <c r="K43" s="512"/>
      <c r="L43" s="92"/>
      <c r="M43" s="80"/>
      <c r="N43" s="80">
        <v>20.14</v>
      </c>
    </row>
    <row r="44" spans="1:16">
      <c r="A44" s="173" t="s">
        <v>707</v>
      </c>
      <c r="B44" s="69" t="str">
        <f t="shared" si="4"/>
        <v>1000_coax 0</v>
      </c>
      <c r="C44" s="175" t="s">
        <v>89</v>
      </c>
      <c r="D44" s="87">
        <v>0</v>
      </c>
      <c r="E44" s="87">
        <f>74-100</f>
        <v>-26</v>
      </c>
      <c r="F44" s="79">
        <f t="shared" si="5"/>
        <v>0</v>
      </c>
      <c r="G44" s="72" t="str">
        <f t="shared" si="1"/>
        <v>milliH</v>
      </c>
      <c r="H44" s="78">
        <f t="shared" si="6"/>
        <v>0</v>
      </c>
      <c r="I44" s="72" t="str">
        <f t="shared" si="7"/>
        <v>ohm</v>
      </c>
      <c r="J44" s="96">
        <v>1000</v>
      </c>
      <c r="K44" s="512"/>
      <c r="L44" s="92"/>
      <c r="M44" s="80"/>
      <c r="N44" s="80">
        <v>20.14</v>
      </c>
    </row>
    <row r="45" spans="1:16">
      <c r="A45" s="173" t="s">
        <v>635</v>
      </c>
      <c r="B45" s="69" t="str">
        <f t="shared" si="4"/>
        <v>53_10 k ohm</v>
      </c>
      <c r="C45" s="175" t="s">
        <v>89</v>
      </c>
      <c r="D45" s="87">
        <f>37-100</f>
        <v>-63</v>
      </c>
      <c r="E45" s="87">
        <f>10001664</f>
        <v>10001664</v>
      </c>
      <c r="F45" s="79">
        <f t="shared" si="5"/>
        <v>-7.0014412419151767E-2</v>
      </c>
      <c r="G45" s="72" t="str">
        <f t="shared" si="1"/>
        <v>milliH</v>
      </c>
      <c r="H45" s="78">
        <f t="shared" si="6"/>
        <v>10002.401256374778</v>
      </c>
      <c r="I45" s="76" t="str">
        <f t="shared" si="7"/>
        <v>ohm</v>
      </c>
      <c r="J45" s="96">
        <v>53</v>
      </c>
      <c r="K45" s="511">
        <f>-F45*VLOOKUP(Range,multiplier,4,FALSE)/(H45*VLOOKUP(Range,multiplier,7,FALSE))^2*1000000000000</f>
        <v>0.69980800015606404</v>
      </c>
      <c r="L45" s="92"/>
      <c r="M45" s="80"/>
      <c r="N45" s="80">
        <v>20.14</v>
      </c>
    </row>
    <row r="46" spans="1:16">
      <c r="A46" s="173" t="s">
        <v>635</v>
      </c>
      <c r="B46" s="69" t="str">
        <f t="shared" si="4"/>
        <v>400_10 k ohm</v>
      </c>
      <c r="C46" s="175" t="s">
        <v>89</v>
      </c>
      <c r="D46" s="87">
        <f>35-100</f>
        <v>-65</v>
      </c>
      <c r="E46" s="87">
        <v>10001668</v>
      </c>
      <c r="F46" s="79">
        <f t="shared" si="5"/>
        <v>-6.5013382960640922E-2</v>
      </c>
      <c r="G46" s="72" t="str">
        <f t="shared" si="1"/>
        <v>milliH</v>
      </c>
      <c r="H46" s="78">
        <f t="shared" si="6"/>
        <v>10002.403256516205</v>
      </c>
      <c r="I46" s="76" t="str">
        <f t="shared" si="7"/>
        <v>ohm</v>
      </c>
      <c r="J46" s="96">
        <v>400</v>
      </c>
      <c r="K46" s="511">
        <f>-F46*VLOOKUP(Range,multiplier,4,FALSE)/(H46*VLOOKUP(Range,multiplier,7,FALSE))^2*1000000000000</f>
        <v>0.64982145454604756</v>
      </c>
      <c r="L46" s="92"/>
      <c r="M46" s="80"/>
      <c r="N46" s="80">
        <v>20.14</v>
      </c>
      <c r="O46" s="172"/>
    </row>
    <row r="47" spans="1:16">
      <c r="A47" s="173" t="s">
        <v>635</v>
      </c>
      <c r="B47" s="69" t="str">
        <f t="shared" si="4"/>
        <v>1000_10 k ohm</v>
      </c>
      <c r="C47" s="175" t="s">
        <v>89</v>
      </c>
      <c r="D47" s="87">
        <f>35-100</f>
        <v>-65</v>
      </c>
      <c r="E47" s="87">
        <v>10001648</v>
      </c>
      <c r="F47" s="79">
        <f t="shared" si="5"/>
        <v>-6.5013382960640922E-2</v>
      </c>
      <c r="G47" s="72" t="str">
        <f t="shared" si="1"/>
        <v>milliH</v>
      </c>
      <c r="H47" s="78">
        <f t="shared" si="6"/>
        <v>10002.381254960506</v>
      </c>
      <c r="I47" s="76" t="str">
        <f t="shared" si="7"/>
        <v>ohm</v>
      </c>
      <c r="J47" s="96">
        <v>1000</v>
      </c>
      <c r="K47" s="511">
        <f>-F47*VLOOKUP(Range,multiplier,4,FALSE)/(H47*VLOOKUP(Range,multiplier,7,FALSE))^2*1000000000000</f>
        <v>0.6498243132850392</v>
      </c>
      <c r="L47" s="92"/>
      <c r="M47" s="80"/>
      <c r="N47" s="80">
        <v>20.14</v>
      </c>
      <c r="O47" s="162"/>
      <c r="P47" s="172"/>
    </row>
    <row r="48" spans="1:16">
      <c r="A48" s="173" t="s">
        <v>707</v>
      </c>
      <c r="B48" s="69" t="str">
        <f t="shared" si="4"/>
        <v>53_coax 0</v>
      </c>
      <c r="C48" s="175" t="s">
        <v>90</v>
      </c>
      <c r="D48" s="87">
        <v>5</v>
      </c>
      <c r="E48" s="87">
        <v>-10</v>
      </c>
      <c r="F48" s="79">
        <f t="shared" si="5"/>
        <v>0</v>
      </c>
      <c r="G48" s="72" t="str">
        <f t="shared" si="1"/>
        <v>H</v>
      </c>
      <c r="H48" s="78">
        <f t="shared" si="6"/>
        <v>0</v>
      </c>
      <c r="I48" s="72" t="str">
        <f t="shared" si="7"/>
        <v>kilohm</v>
      </c>
      <c r="J48" s="96">
        <v>53</v>
      </c>
      <c r="K48" s="513"/>
      <c r="L48" s="92"/>
      <c r="M48" s="80"/>
      <c r="N48" s="80">
        <v>20.14</v>
      </c>
      <c r="O48" s="172"/>
    </row>
    <row r="49" spans="1:16">
      <c r="A49" s="173" t="s">
        <v>707</v>
      </c>
      <c r="B49" s="69" t="str">
        <f t="shared" si="4"/>
        <v>400_coax 0</v>
      </c>
      <c r="C49" s="175" t="s">
        <v>90</v>
      </c>
      <c r="D49" s="87">
        <f>8-10</f>
        <v>-2</v>
      </c>
      <c r="E49" s="87">
        <v>-10</v>
      </c>
      <c r="F49" s="79">
        <f t="shared" si="5"/>
        <v>0</v>
      </c>
      <c r="G49" s="72" t="str">
        <f t="shared" si="1"/>
        <v>H</v>
      </c>
      <c r="H49" s="78">
        <f t="shared" si="6"/>
        <v>0</v>
      </c>
      <c r="I49" s="76" t="str">
        <f t="shared" si="7"/>
        <v>kilohm</v>
      </c>
      <c r="J49" s="96">
        <v>400</v>
      </c>
      <c r="K49" s="512"/>
      <c r="L49" s="92"/>
      <c r="M49" s="80"/>
      <c r="N49" s="80">
        <v>20.149999999999999</v>
      </c>
      <c r="O49" s="163"/>
      <c r="P49" s="172"/>
    </row>
    <row r="50" spans="1:16">
      <c r="A50" s="173" t="s">
        <v>707</v>
      </c>
      <c r="B50" s="69" t="str">
        <f t="shared" si="4"/>
        <v>1000_coax 0</v>
      </c>
      <c r="C50" s="175" t="s">
        <v>90</v>
      </c>
      <c r="D50" s="87">
        <v>-1</v>
      </c>
      <c r="E50" s="87">
        <f>90-100</f>
        <v>-10</v>
      </c>
      <c r="F50" s="79">
        <f t="shared" si="5"/>
        <v>0</v>
      </c>
      <c r="G50" s="72" t="str">
        <f t="shared" si="1"/>
        <v>H</v>
      </c>
      <c r="H50" s="78">
        <f t="shared" si="6"/>
        <v>0</v>
      </c>
      <c r="I50" s="76" t="str">
        <f t="shared" si="7"/>
        <v>kilohm</v>
      </c>
      <c r="J50" s="96">
        <v>1000</v>
      </c>
      <c r="K50" s="512"/>
      <c r="L50" s="92"/>
      <c r="M50" s="80"/>
      <c r="N50" s="80">
        <v>20.16</v>
      </c>
      <c r="O50" s="163"/>
      <c r="P50" s="172"/>
    </row>
    <row r="51" spans="1:16">
      <c r="A51" s="173" t="s">
        <v>636</v>
      </c>
      <c r="B51" s="69" t="str">
        <f t="shared" si="4"/>
        <v>53_100 k ohm</v>
      </c>
      <c r="C51" s="175" t="s">
        <v>90</v>
      </c>
      <c r="D51" s="87">
        <f>172-1000</f>
        <v>-828</v>
      </c>
      <c r="E51" s="87">
        <v>10002996</v>
      </c>
      <c r="F51" s="79">
        <f t="shared" si="5"/>
        <v>-8.331193516795312E-3</v>
      </c>
      <c r="G51" s="72" t="str">
        <f t="shared" si="1"/>
        <v>H</v>
      </c>
      <c r="H51" s="78">
        <f t="shared" si="6"/>
        <v>100.03087037188301</v>
      </c>
      <c r="I51" s="76" t="str">
        <f t="shared" si="7"/>
        <v>kilohm</v>
      </c>
      <c r="J51" s="96">
        <v>53</v>
      </c>
      <c r="K51" s="511">
        <f>-F51*VLOOKUP(Range,multiplier,4,FALSE)/(H51*VLOOKUP(Range,multiplier,7,FALSE))^2*1000000000000</f>
        <v>0.83260521568113477</v>
      </c>
      <c r="L51" s="92"/>
      <c r="M51" s="80"/>
      <c r="N51" s="80">
        <v>20.14</v>
      </c>
    </row>
    <row r="52" spans="1:16">
      <c r="A52" s="173" t="s">
        <v>636</v>
      </c>
      <c r="B52" s="69" t="str">
        <f t="shared" si="4"/>
        <v>400_100 k ohm</v>
      </c>
      <c r="C52" s="175" t="s">
        <v>90</v>
      </c>
      <c r="D52" s="87">
        <f>208-1000</f>
        <v>-792</v>
      </c>
      <c r="E52" s="87">
        <f>10003057-100</f>
        <v>10002957</v>
      </c>
      <c r="F52" s="79">
        <f t="shared" si="5"/>
        <v>-7.9011319066846306E-3</v>
      </c>
      <c r="G52" s="72" t="str">
        <f t="shared" si="1"/>
        <v>H</v>
      </c>
      <c r="H52" s="78">
        <f t="shared" si="6"/>
        <v>100.0304803687235</v>
      </c>
      <c r="I52" s="76" t="str">
        <f t="shared" si="7"/>
        <v>kilohm</v>
      </c>
      <c r="J52" s="96">
        <v>400</v>
      </c>
      <c r="K52" s="511">
        <f>-F52*VLOOKUP(Range,multiplier,4,FALSE)/(H52*VLOOKUP(Range,multiplier,7,FALSE))^2*1000000000000</f>
        <v>0.78963175196838242</v>
      </c>
      <c r="L52" s="92"/>
      <c r="M52" s="80"/>
      <c r="N52" s="80">
        <v>20.149999999999999</v>
      </c>
    </row>
    <row r="53" spans="1:16">
      <c r="A53" s="173" t="s">
        <v>636</v>
      </c>
      <c r="B53" s="69" t="str">
        <f t="shared" si="4"/>
        <v>1000_100 k ohm</v>
      </c>
      <c r="C53" s="175" t="s">
        <v>90</v>
      </c>
      <c r="D53" s="87">
        <f>216-1000</f>
        <v>-784</v>
      </c>
      <c r="E53" s="87">
        <f>10002857</f>
        <v>10002857</v>
      </c>
      <c r="F53" s="79">
        <f t="shared" si="5"/>
        <v>-7.8311218771317283E-3</v>
      </c>
      <c r="G53" s="72" t="str">
        <f t="shared" si="1"/>
        <v>H</v>
      </c>
      <c r="H53" s="78">
        <f t="shared" si="6"/>
        <v>100.02948036062223</v>
      </c>
      <c r="I53" s="76" t="str">
        <f t="shared" si="7"/>
        <v>kilohm</v>
      </c>
      <c r="J53" s="96">
        <v>1000</v>
      </c>
      <c r="K53" s="511">
        <f>-F53*VLOOKUP(Range,multiplier,4,FALSE)/(H53*VLOOKUP(Range,multiplier,7,FALSE))^2*1000000000000</f>
        <v>0.78265066321779853</v>
      </c>
      <c r="L53" s="92"/>
      <c r="M53" s="80"/>
      <c r="N53" s="80">
        <v>20.16</v>
      </c>
    </row>
    <row r="54" spans="1:16">
      <c r="A54" s="68" t="s">
        <v>707</v>
      </c>
      <c r="B54" s="69" t="str">
        <f t="shared" si="4"/>
        <v>1600_coax 0</v>
      </c>
      <c r="C54" s="70" t="s">
        <v>88</v>
      </c>
      <c r="D54" s="87">
        <f>9-10</f>
        <v>-1</v>
      </c>
      <c r="E54" s="87">
        <f>1-10</f>
        <v>-9</v>
      </c>
      <c r="F54" s="79">
        <f t="shared" si="5"/>
        <v>0</v>
      </c>
      <c r="G54" s="72" t="str">
        <f t="shared" si="1"/>
        <v>milliH</v>
      </c>
      <c r="H54" s="78">
        <f t="shared" si="6"/>
        <v>0</v>
      </c>
      <c r="I54" s="76" t="str">
        <f t="shared" si="7"/>
        <v>ohm</v>
      </c>
      <c r="J54" s="96">
        <v>1600</v>
      </c>
      <c r="K54" s="510"/>
      <c r="L54" s="92"/>
      <c r="M54" s="80"/>
      <c r="N54" s="80">
        <v>20.05</v>
      </c>
    </row>
    <row r="55" spans="1:16">
      <c r="A55" s="173" t="s">
        <v>637</v>
      </c>
      <c r="B55" s="69" t="str">
        <f t="shared" si="4"/>
        <v>1600_100 micro</v>
      </c>
      <c r="C55" s="175" t="s">
        <v>88</v>
      </c>
      <c r="D55" s="87">
        <v>1000</v>
      </c>
      <c r="E55" s="87">
        <v>6324591</v>
      </c>
      <c r="F55" s="79">
        <f t="shared" si="5"/>
        <v>0.10012060975938702</v>
      </c>
      <c r="G55" s="72" t="str">
        <f t="shared" si="1"/>
        <v>milliH</v>
      </c>
      <c r="H55" s="78">
        <f t="shared" si="6"/>
        <v>632.50472356050807</v>
      </c>
      <c r="I55" s="76" t="str">
        <f t="shared" si="7"/>
        <v>ohm</v>
      </c>
      <c r="J55" s="234">
        <v>1600</v>
      </c>
      <c r="K55" s="510"/>
      <c r="L55" s="92"/>
      <c r="M55" s="80"/>
      <c r="N55" s="80">
        <v>20.059999999999999</v>
      </c>
    </row>
    <row r="56" spans="1:16">
      <c r="A56" s="173" t="s">
        <v>707</v>
      </c>
      <c r="B56" s="69" t="str">
        <f t="shared" si="4"/>
        <v>1600_coax 0</v>
      </c>
      <c r="C56" s="175" t="s">
        <v>89</v>
      </c>
      <c r="D56" s="87">
        <v>0</v>
      </c>
      <c r="E56" s="87">
        <f>78-100</f>
        <v>-22</v>
      </c>
      <c r="F56" s="79">
        <f t="shared" si="5"/>
        <v>0</v>
      </c>
      <c r="G56" s="72" t="str">
        <f t="shared" si="1"/>
        <v>milliH</v>
      </c>
      <c r="H56" s="78">
        <f t="shared" si="6"/>
        <v>0</v>
      </c>
      <c r="I56" s="76" t="str">
        <f t="shared" si="7"/>
        <v>ohm</v>
      </c>
      <c r="J56" s="236">
        <v>1600</v>
      </c>
      <c r="K56" s="510"/>
      <c r="L56" s="92"/>
      <c r="M56" s="80"/>
      <c r="N56" s="80">
        <v>20.059999999999999</v>
      </c>
    </row>
    <row r="57" spans="1:16">
      <c r="A57" s="173" t="s">
        <v>638</v>
      </c>
      <c r="B57" s="69" t="str">
        <f t="shared" si="4"/>
        <v>1600_100 milli</v>
      </c>
      <c r="C57" s="175" t="s">
        <v>89</v>
      </c>
      <c r="D57" s="87">
        <v>99864</v>
      </c>
      <c r="E57" s="87">
        <v>2000407</v>
      </c>
      <c r="F57" s="79">
        <f t="shared" si="5"/>
        <v>99.884561168945325</v>
      </c>
      <c r="G57" s="72" t="str">
        <f t="shared" si="1"/>
        <v>milliH</v>
      </c>
      <c r="H57" s="78">
        <f t="shared" si="6"/>
        <v>2000.5704576533276</v>
      </c>
      <c r="I57" s="76" t="str">
        <f t="shared" si="7"/>
        <v>ohm</v>
      </c>
      <c r="J57" s="236">
        <v>1600</v>
      </c>
      <c r="K57" s="510"/>
      <c r="L57" s="92"/>
      <c r="M57" s="80"/>
      <c r="N57" s="80">
        <v>20.059999999999999</v>
      </c>
    </row>
    <row r="58" spans="1:16">
      <c r="A58" s="173" t="s">
        <v>708</v>
      </c>
      <c r="B58" s="69" t="str">
        <f t="shared" si="4"/>
        <v>53_coax open</v>
      </c>
      <c r="C58" s="175" t="s">
        <v>43</v>
      </c>
      <c r="D58" s="87">
        <v>29</v>
      </c>
      <c r="E58" s="87">
        <v>12</v>
      </c>
      <c r="F58" s="79">
        <f t="shared" si="5"/>
        <v>0</v>
      </c>
      <c r="G58" s="72" t="str">
        <f t="shared" si="1"/>
        <v>pF</v>
      </c>
      <c r="H58" s="78">
        <f t="shared" si="6"/>
        <v>0</v>
      </c>
      <c r="I58" s="76" t="str">
        <f t="shared" si="7"/>
        <v>nS</v>
      </c>
      <c r="J58" s="236">
        <v>53</v>
      </c>
      <c r="K58" s="510"/>
      <c r="L58" s="92"/>
      <c r="M58" s="80"/>
      <c r="N58" s="80">
        <v>20.079999999999998</v>
      </c>
    </row>
    <row r="59" spans="1:16">
      <c r="A59" s="173" t="s">
        <v>708</v>
      </c>
      <c r="B59" s="69" t="str">
        <f t="shared" si="4"/>
        <v>400_coax open</v>
      </c>
      <c r="C59" s="175" t="s">
        <v>43</v>
      </c>
      <c r="D59" s="87">
        <v>6</v>
      </c>
      <c r="E59" s="87">
        <v>17</v>
      </c>
      <c r="F59" s="79">
        <f t="shared" si="5"/>
        <v>0</v>
      </c>
      <c r="G59" s="72" t="str">
        <f t="shared" si="1"/>
        <v>pF</v>
      </c>
      <c r="H59" s="78">
        <f t="shared" si="6"/>
        <v>0</v>
      </c>
      <c r="I59" s="76" t="str">
        <f t="shared" si="7"/>
        <v>nS</v>
      </c>
      <c r="J59" s="233">
        <v>400</v>
      </c>
      <c r="K59" s="510"/>
      <c r="L59" s="92"/>
      <c r="M59" s="80"/>
      <c r="N59" s="80">
        <v>20.079999999999998</v>
      </c>
    </row>
    <row r="60" spans="1:16">
      <c r="A60" s="173" t="s">
        <v>708</v>
      </c>
      <c r="B60" s="69" t="str">
        <f t="shared" si="4"/>
        <v>1000_coax open</v>
      </c>
      <c r="C60" s="175" t="s">
        <v>43</v>
      </c>
      <c r="D60" s="87">
        <v>6</v>
      </c>
      <c r="E60" s="87">
        <v>17</v>
      </c>
      <c r="F60" s="79">
        <f t="shared" si="5"/>
        <v>0</v>
      </c>
      <c r="G60" s="72" t="str">
        <f t="shared" si="1"/>
        <v>pF</v>
      </c>
      <c r="H60" s="78">
        <f t="shared" si="6"/>
        <v>0</v>
      </c>
      <c r="I60" s="76" t="str">
        <f t="shared" si="7"/>
        <v>nS</v>
      </c>
      <c r="J60" s="233">
        <v>1000</v>
      </c>
      <c r="K60" s="510"/>
      <c r="L60" s="92"/>
      <c r="M60" s="80"/>
      <c r="N60" s="80">
        <v>20.07</v>
      </c>
    </row>
    <row r="61" spans="1:16">
      <c r="A61" s="173" t="s">
        <v>639</v>
      </c>
      <c r="B61" s="69" t="str">
        <f t="shared" si="4"/>
        <v>53_Open</v>
      </c>
      <c r="C61" s="175" t="s">
        <v>43</v>
      </c>
      <c r="D61" s="87">
        <v>21</v>
      </c>
      <c r="E61" s="87">
        <v>8</v>
      </c>
      <c r="F61" s="79">
        <f t="shared" si="5"/>
        <v>-8.00050284796E-4</v>
      </c>
      <c r="G61" s="72" t="str">
        <f t="shared" si="1"/>
        <v>pF</v>
      </c>
      <c r="H61" s="78">
        <f t="shared" si="6"/>
        <v>-3.9997107118056627E-4</v>
      </c>
      <c r="I61" s="76" t="str">
        <f t="shared" si="7"/>
        <v>nS</v>
      </c>
      <c r="J61" s="233">
        <v>53</v>
      </c>
      <c r="K61" s="510"/>
      <c r="L61" s="92"/>
      <c r="M61" s="80"/>
      <c r="N61" s="80">
        <v>20.07</v>
      </c>
    </row>
    <row r="62" spans="1:16">
      <c r="A62" s="173" t="s">
        <v>639</v>
      </c>
      <c r="B62" s="69" t="str">
        <f t="shared" si="4"/>
        <v>400_Open</v>
      </c>
      <c r="C62" s="175" t="s">
        <v>43</v>
      </c>
      <c r="D62" s="87">
        <v>6</v>
      </c>
      <c r="E62" s="87">
        <v>17</v>
      </c>
      <c r="F62" s="79">
        <f t="shared" si="5"/>
        <v>0</v>
      </c>
      <c r="G62" s="72" t="str">
        <f t="shared" si="1"/>
        <v>pF</v>
      </c>
      <c r="H62" s="78">
        <f t="shared" si="6"/>
        <v>0</v>
      </c>
      <c r="I62" s="76" t="str">
        <f t="shared" si="7"/>
        <v>nS</v>
      </c>
      <c r="J62" s="233">
        <v>400</v>
      </c>
      <c r="K62" s="510"/>
      <c r="L62" s="92"/>
      <c r="M62" s="80"/>
      <c r="N62" s="80">
        <v>20.079999999999998</v>
      </c>
    </row>
    <row r="63" spans="1:16">
      <c r="A63" s="173" t="s">
        <v>639</v>
      </c>
      <c r="B63" s="69" t="str">
        <f t="shared" si="4"/>
        <v>1000_Open</v>
      </c>
      <c r="C63" s="175" t="s">
        <v>43</v>
      </c>
      <c r="D63" s="87">
        <v>6</v>
      </c>
      <c r="E63" s="87">
        <v>20</v>
      </c>
      <c r="F63" s="79">
        <f t="shared" si="5"/>
        <v>0</v>
      </c>
      <c r="G63" s="72" t="str">
        <f t="shared" si="1"/>
        <v>pF</v>
      </c>
      <c r="H63" s="78">
        <f t="shared" si="6"/>
        <v>2.9997830338542475E-4</v>
      </c>
      <c r="I63" s="76" t="str">
        <f t="shared" si="7"/>
        <v>nS</v>
      </c>
      <c r="J63" s="233">
        <v>1000</v>
      </c>
      <c r="K63" s="514"/>
      <c r="L63" s="92"/>
      <c r="M63" s="80"/>
      <c r="N63" s="80">
        <v>20.079999999999998</v>
      </c>
    </row>
    <row r="64" spans="1:16">
      <c r="A64" s="173"/>
      <c r="B64" s="69" t="str">
        <f t="shared" si="4"/>
        <v>1591.7_</v>
      </c>
      <c r="C64" s="175"/>
      <c r="D64" s="87"/>
      <c r="E64" s="87"/>
      <c r="F64" s="79" t="e">
        <f t="shared" si="5"/>
        <v>#N/A</v>
      </c>
      <c r="G64" s="72" t="e">
        <f t="shared" si="1"/>
        <v>#N/A</v>
      </c>
      <c r="H64" s="78" t="e">
        <f t="shared" si="6"/>
        <v>#N/A</v>
      </c>
      <c r="I64" s="76" t="e">
        <f t="shared" si="7"/>
        <v>#N/A</v>
      </c>
      <c r="J64" s="233">
        <v>1591.7</v>
      </c>
      <c r="K64" s="92" t="e">
        <f t="shared" ref="K64:K68" si="8">1000*H64*VLOOKUP(C64,multiplier,7,FALSE)/(2*PI()*J64*F64*VLOOKUP(C64,multiplier,4,FALSE))</f>
        <v>#N/A</v>
      </c>
      <c r="L64" s="92"/>
      <c r="M64" s="80"/>
      <c r="N64" s="80"/>
    </row>
    <row r="65" spans="1:14">
      <c r="A65" s="173"/>
      <c r="B65" s="69" t="str">
        <f t="shared" si="4"/>
        <v>1591.7_</v>
      </c>
      <c r="C65" s="175"/>
      <c r="D65" s="87"/>
      <c r="E65" s="87"/>
      <c r="F65" s="79" t="e">
        <f t="shared" si="5"/>
        <v>#N/A</v>
      </c>
      <c r="G65" s="72" t="e">
        <f t="shared" si="1"/>
        <v>#N/A</v>
      </c>
      <c r="H65" s="78" t="e">
        <f t="shared" si="6"/>
        <v>#N/A</v>
      </c>
      <c r="I65" s="76" t="e">
        <f t="shared" si="7"/>
        <v>#N/A</v>
      </c>
      <c r="J65" s="233">
        <v>1591.7</v>
      </c>
      <c r="K65" s="92" t="e">
        <f t="shared" si="8"/>
        <v>#N/A</v>
      </c>
      <c r="L65" s="92"/>
      <c r="M65" s="80"/>
      <c r="N65" s="80"/>
    </row>
    <row r="66" spans="1:14">
      <c r="A66" s="173"/>
      <c r="B66" s="69" t="str">
        <f t="shared" si="4"/>
        <v>1591.7_</v>
      </c>
      <c r="C66" s="175"/>
      <c r="D66" s="87"/>
      <c r="E66" s="87"/>
      <c r="F66" s="79" t="e">
        <f t="shared" si="5"/>
        <v>#N/A</v>
      </c>
      <c r="G66" s="74" t="e">
        <f t="shared" si="1"/>
        <v>#N/A</v>
      </c>
      <c r="H66" s="78" t="e">
        <f t="shared" si="6"/>
        <v>#N/A</v>
      </c>
      <c r="I66" s="75" t="e">
        <f t="shared" si="7"/>
        <v>#N/A</v>
      </c>
      <c r="J66" s="233">
        <v>1591.7</v>
      </c>
      <c r="K66" s="92" t="e">
        <f t="shared" si="8"/>
        <v>#N/A</v>
      </c>
      <c r="L66" s="92"/>
      <c r="M66" s="80"/>
      <c r="N66" s="80"/>
    </row>
    <row r="67" spans="1:14">
      <c r="A67" s="173"/>
      <c r="B67" s="69" t="str">
        <f t="shared" si="4"/>
        <v>1591.7_</v>
      </c>
      <c r="C67" s="175"/>
      <c r="D67" s="87"/>
      <c r="E67" s="87"/>
      <c r="F67" s="79" t="e">
        <f t="shared" si="5"/>
        <v>#N/A</v>
      </c>
      <c r="G67" s="74" t="e">
        <f t="shared" si="1"/>
        <v>#N/A</v>
      </c>
      <c r="H67" s="78" t="e">
        <f t="shared" si="6"/>
        <v>#N/A</v>
      </c>
      <c r="I67" s="75" t="e">
        <f t="shared" si="7"/>
        <v>#N/A</v>
      </c>
      <c r="J67" s="233">
        <v>1591.7</v>
      </c>
      <c r="K67" s="92" t="e">
        <f t="shared" si="8"/>
        <v>#N/A</v>
      </c>
      <c r="L67" s="92"/>
      <c r="M67" s="80"/>
      <c r="N67" s="80"/>
    </row>
    <row r="68" spans="1:14">
      <c r="A68" s="173"/>
      <c r="B68" s="69" t="str">
        <f t="shared" si="4"/>
        <v>1591.7_</v>
      </c>
      <c r="C68" s="175"/>
      <c r="D68" s="87"/>
      <c r="E68" s="87"/>
      <c r="F68" s="79" t="e">
        <f t="shared" si="5"/>
        <v>#N/A</v>
      </c>
      <c r="G68" s="74" t="e">
        <f t="shared" si="1"/>
        <v>#N/A</v>
      </c>
      <c r="H68" s="78" t="e">
        <f t="shared" si="6"/>
        <v>#N/A</v>
      </c>
      <c r="I68" s="75" t="e">
        <f t="shared" si="7"/>
        <v>#N/A</v>
      </c>
      <c r="J68" s="233">
        <v>1591.7</v>
      </c>
      <c r="K68" s="92" t="e">
        <f t="shared" si="8"/>
        <v>#N/A</v>
      </c>
      <c r="L68" s="92"/>
      <c r="M68" s="80"/>
      <c r="N68" s="80"/>
    </row>
    <row r="69" spans="1:14">
      <c r="A69" s="173"/>
      <c r="B69" s="69" t="str">
        <f t="shared" si="4"/>
        <v>1591.6_</v>
      </c>
      <c r="C69" s="175"/>
      <c r="D69" s="87"/>
      <c r="E69" s="87"/>
      <c r="F69" s="79" t="e">
        <f t="shared" si="5"/>
        <v>#N/A</v>
      </c>
      <c r="G69" s="74" t="e">
        <f t="shared" si="1"/>
        <v>#N/A</v>
      </c>
      <c r="H69" s="78" t="e">
        <f t="shared" si="6"/>
        <v>#N/A</v>
      </c>
      <c r="I69" s="75" t="e">
        <f t="shared" si="7"/>
        <v>#N/A</v>
      </c>
      <c r="J69" s="234">
        <v>1591.6</v>
      </c>
      <c r="K69" s="92" t="e">
        <f t="shared" ref="K69" si="9">1000*H69*VLOOKUP(C69,multiplier,7,FALSE)/(2*PI()*J69*F69*VLOOKUP(C69,multiplier,4,FALSE))</f>
        <v>#N/A</v>
      </c>
      <c r="L69" s="92"/>
      <c r="N69" s="80"/>
    </row>
    <row r="70" spans="1:14">
      <c r="K70" s="92"/>
      <c r="L70" s="92"/>
    </row>
    <row r="71" spans="1:14">
      <c r="A71"/>
    </row>
    <row r="72" spans="1:14">
      <c r="A72"/>
    </row>
    <row r="73" spans="1:14">
      <c r="A73"/>
    </row>
    <row r="74" spans="1:14">
      <c r="A74"/>
    </row>
    <row r="75" spans="1:14">
      <c r="A75"/>
    </row>
    <row r="77" spans="1:14">
      <c r="A77"/>
    </row>
    <row r="78" spans="1:14">
      <c r="A78"/>
      <c r="F78" s="83"/>
      <c r="K78" s="91"/>
      <c r="L78" s="91"/>
      <c r="M78" s="80"/>
    </row>
    <row r="79" spans="1:14">
      <c r="A79"/>
      <c r="F79" s="83"/>
      <c r="K79" s="91"/>
      <c r="L79" s="91"/>
      <c r="M79" s="80"/>
    </row>
    <row r="80" spans="1:14">
      <c r="A80"/>
      <c r="F80" s="83"/>
      <c r="K80" s="91"/>
      <c r="L80" s="91"/>
      <c r="M80" s="80"/>
    </row>
    <row r="81" spans="1:13">
      <c r="A81"/>
      <c r="F81" s="83"/>
      <c r="K81" s="91"/>
      <c r="L81" s="91"/>
      <c r="M81" s="80"/>
    </row>
    <row r="82" spans="1:13">
      <c r="A82"/>
    </row>
  </sheetData>
  <phoneticPr fontId="0" type="noConversion"/>
  <pageMargins left="0.75" right="0.75" top="1" bottom="1" header="0.5" footer="0.5"/>
  <pageSetup paperSize="9" orientation="landscape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6"/>
  <sheetViews>
    <sheetView topLeftCell="J7" workbookViewId="0">
      <selection activeCell="S45" sqref="S45"/>
    </sheetView>
  </sheetViews>
  <sheetFormatPr defaultRowHeight="12.75"/>
  <cols>
    <col min="1" max="1" width="10.140625" bestFit="1" customWidth="1"/>
    <col min="4" max="4" width="77" customWidth="1"/>
    <col min="5" max="5" width="12.28515625" customWidth="1"/>
    <col min="6" max="6" width="13.7109375" customWidth="1"/>
    <col min="7" max="7" width="12.7109375" customWidth="1"/>
    <col min="8" max="8" width="18.5703125" customWidth="1"/>
    <col min="10" max="10" width="13.7109375" customWidth="1"/>
    <col min="11" max="11" width="16.5703125" customWidth="1"/>
    <col min="12" max="12" width="12.28515625" bestFit="1" customWidth="1"/>
    <col min="17" max="17" width="11.5703125" customWidth="1"/>
  </cols>
  <sheetData>
    <row r="1" spans="1:31" ht="13.5" thickBot="1">
      <c r="A1" s="100" t="s">
        <v>157</v>
      </c>
      <c r="E1" t="s">
        <v>44</v>
      </c>
      <c r="L1" t="s">
        <v>45</v>
      </c>
      <c r="M1" s="3" t="s">
        <v>40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4" t="s">
        <v>13</v>
      </c>
      <c r="T1" s="4" t="s">
        <v>15</v>
      </c>
    </row>
    <row r="2" spans="1:31" ht="13.5" thickTop="1">
      <c r="E2" s="5" t="s">
        <v>51</v>
      </c>
      <c r="F2" s="6" t="s">
        <v>52</v>
      </c>
      <c r="G2" s="7" t="s">
        <v>45</v>
      </c>
      <c r="H2" s="8"/>
      <c r="K2" t="s">
        <v>53</v>
      </c>
      <c r="L2" s="101">
        <v>31092</v>
      </c>
      <c r="M2" s="89">
        <f>IMREAL(COMPLEX(32,0))</f>
        <v>32</v>
      </c>
      <c r="N2" s="89">
        <f>IMREAL(COMPLEX(30.1,3.9))</f>
        <v>30.1</v>
      </c>
      <c r="O2" s="89">
        <f>IMREAL(COMPLEX(-12,-5.9))</f>
        <v>-12</v>
      </c>
      <c r="P2" s="89">
        <f>IMREAL(COMPLEX(53,0))</f>
        <v>53</v>
      </c>
      <c r="Q2" s="89">
        <f>IMREAL(COMPLEX(13,-0.4))</f>
        <v>13</v>
      </c>
      <c r="R2" s="89">
        <f>IMREAL(COMPLEX(8.7,1.8))</f>
        <v>8.6999999999999993</v>
      </c>
      <c r="S2" s="89" t="s">
        <v>158</v>
      </c>
      <c r="T2" s="89" t="s">
        <v>158</v>
      </c>
      <c r="U2" t="s">
        <v>159</v>
      </c>
      <c r="Y2">
        <f>M2-M$3</f>
        <v>-91.32</v>
      </c>
      <c r="Z2">
        <f t="shared" ref="Z2:AD12" si="0">N2-N$2</f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</row>
    <row r="3" spans="1:31">
      <c r="E3" s="9"/>
      <c r="F3" s="10" t="s">
        <v>54</v>
      </c>
      <c r="G3" s="102">
        <v>43049</v>
      </c>
      <c r="H3" s="11"/>
      <c r="K3" t="s">
        <v>55</v>
      </c>
      <c r="L3" s="101">
        <v>32477</v>
      </c>
      <c r="M3" s="89">
        <v>123.32</v>
      </c>
      <c r="N3" s="89">
        <v>35</v>
      </c>
      <c r="O3" s="89">
        <v>-12</v>
      </c>
      <c r="P3" s="89" t="e">
        <f>NA()</f>
        <v>#N/A</v>
      </c>
      <c r="Q3" s="89">
        <v>9</v>
      </c>
      <c r="R3" s="89">
        <v>4</v>
      </c>
      <c r="S3" s="89">
        <v>0</v>
      </c>
      <c r="T3" s="89">
        <v>0</v>
      </c>
      <c r="Y3">
        <f t="shared" ref="Y3:Y13" si="1">M3-M$3</f>
        <v>0</v>
      </c>
      <c r="Z3">
        <f t="shared" si="0"/>
        <v>4.8999999999999986</v>
      </c>
      <c r="AA3">
        <f t="shared" si="0"/>
        <v>0</v>
      </c>
      <c r="AB3" t="e">
        <f t="shared" si="0"/>
        <v>#N/A</v>
      </c>
      <c r="AC3">
        <f t="shared" si="0"/>
        <v>-4</v>
      </c>
      <c r="AD3">
        <f t="shared" si="0"/>
        <v>-4.6999999999999993</v>
      </c>
      <c r="AE3">
        <f t="shared" ref="AE3:AE12" si="2">S3-S$3</f>
        <v>0</v>
      </c>
    </row>
    <row r="4" spans="1:31">
      <c r="A4" s="12" t="s">
        <v>45</v>
      </c>
      <c r="B4" s="12" t="s">
        <v>56</v>
      </c>
      <c r="C4" s="12" t="s">
        <v>57</v>
      </c>
      <c r="E4" s="9" t="s">
        <v>58</v>
      </c>
      <c r="F4" s="103">
        <f>IMREAL(VLOOKUP($G$3,Data,2,FALSE))</f>
        <v>149</v>
      </c>
      <c r="G4" s="13" t="str">
        <f t="shared" ref="G4:G9" si="3">VLOOKUP($G$3,Record,2,FALSE)</f>
        <v>UBIII</v>
      </c>
      <c r="H4" s="11"/>
      <c r="K4" t="s">
        <v>55</v>
      </c>
      <c r="L4" s="101">
        <v>33309</v>
      </c>
      <c r="M4" s="89">
        <v>133</v>
      </c>
      <c r="N4" s="89">
        <v>37</v>
      </c>
      <c r="O4" s="89">
        <v>-14</v>
      </c>
      <c r="P4" s="89">
        <v>61</v>
      </c>
      <c r="Q4" s="89">
        <v>10</v>
      </c>
      <c r="R4" s="89">
        <v>6</v>
      </c>
      <c r="S4" s="89">
        <v>0</v>
      </c>
      <c r="T4" s="89">
        <v>0</v>
      </c>
      <c r="Y4">
        <f t="shared" si="1"/>
        <v>9.6800000000000068</v>
      </c>
      <c r="Z4">
        <f t="shared" si="0"/>
        <v>6.8999999999999986</v>
      </c>
      <c r="AA4">
        <f t="shared" si="0"/>
        <v>-2</v>
      </c>
      <c r="AB4">
        <f t="shared" si="0"/>
        <v>8</v>
      </c>
      <c r="AC4">
        <f t="shared" si="0"/>
        <v>-3</v>
      </c>
      <c r="AD4">
        <f t="shared" si="0"/>
        <v>-2.6999999999999993</v>
      </c>
      <c r="AE4">
        <f t="shared" si="2"/>
        <v>0</v>
      </c>
    </row>
    <row r="5" spans="1:31">
      <c r="A5" s="1">
        <v>29728</v>
      </c>
      <c r="B5" t="s">
        <v>59</v>
      </c>
      <c r="C5" t="s">
        <v>60</v>
      </c>
      <c r="E5" s="9" t="s">
        <v>61</v>
      </c>
      <c r="F5" s="103">
        <f>IMREAL(VLOOKUP($G$3,Data,3,FALSE))</f>
        <v>54.348903584022779</v>
      </c>
      <c r="G5" s="13" t="str">
        <f t="shared" si="3"/>
        <v>UBIII</v>
      </c>
      <c r="H5" s="11"/>
      <c r="K5" t="s">
        <v>55</v>
      </c>
      <c r="L5" s="101">
        <v>34933</v>
      </c>
      <c r="M5" s="89">
        <v>127.40600000000001</v>
      </c>
      <c r="N5" s="89">
        <v>40.340000000000003</v>
      </c>
      <c r="O5" s="104">
        <v>-17.21</v>
      </c>
      <c r="P5" s="89">
        <v>52</v>
      </c>
      <c r="Q5" s="104">
        <v>11.21</v>
      </c>
      <c r="R5" s="104">
        <v>6.21</v>
      </c>
      <c r="S5" s="89">
        <v>0</v>
      </c>
      <c r="T5" s="89">
        <v>0</v>
      </c>
      <c r="Y5">
        <f t="shared" si="1"/>
        <v>4.0860000000000127</v>
      </c>
      <c r="Z5">
        <f t="shared" si="0"/>
        <v>10.240000000000002</v>
      </c>
      <c r="AA5">
        <f t="shared" si="0"/>
        <v>-5.2100000000000009</v>
      </c>
      <c r="AB5">
        <f t="shared" si="0"/>
        <v>-1</v>
      </c>
      <c r="AC5">
        <f t="shared" si="0"/>
        <v>-1.7899999999999991</v>
      </c>
      <c r="AD5">
        <f t="shared" si="0"/>
        <v>-2.4899999999999993</v>
      </c>
      <c r="AE5">
        <f t="shared" si="2"/>
        <v>0</v>
      </c>
    </row>
    <row r="6" spans="1:31">
      <c r="A6" s="1">
        <v>30665</v>
      </c>
      <c r="B6" t="s">
        <v>62</v>
      </c>
      <c r="C6" t="s">
        <v>63</v>
      </c>
      <c r="E6" s="9" t="s">
        <v>64</v>
      </c>
      <c r="F6" s="103">
        <f>IMREAL(VLOOKUP($G$3,Data,4,FALSE))</f>
        <v>-8.263471415803636</v>
      </c>
      <c r="G6" s="13" t="str">
        <f t="shared" si="3"/>
        <v>UBIII</v>
      </c>
      <c r="H6" s="11"/>
      <c r="K6" t="s">
        <v>55</v>
      </c>
      <c r="L6" s="101">
        <v>36102</v>
      </c>
      <c r="M6" s="89">
        <v>135.27000000000001</v>
      </c>
      <c r="N6" s="105">
        <v>43.374148761358811</v>
      </c>
      <c r="O6" s="104">
        <v>-16.35231834356091</v>
      </c>
      <c r="P6" s="105">
        <v>67.003866063780151</v>
      </c>
      <c r="Q6" s="104">
        <v>11.184371676790761</v>
      </c>
      <c r="R6" s="104">
        <v>6.6891116768238135</v>
      </c>
      <c r="S6" s="89">
        <v>0</v>
      </c>
      <c r="T6" s="89">
        <v>0</v>
      </c>
      <c r="Y6">
        <f t="shared" si="1"/>
        <v>11.950000000000017</v>
      </c>
      <c r="Z6">
        <f t="shared" si="0"/>
        <v>13.274148761358809</v>
      </c>
      <c r="AA6">
        <f t="shared" si="0"/>
        <v>-4.3523183435609099</v>
      </c>
      <c r="AB6">
        <f t="shared" si="0"/>
        <v>14.003866063780151</v>
      </c>
      <c r="AC6">
        <f t="shared" si="0"/>
        <v>-1.8156283232092392</v>
      </c>
      <c r="AD6">
        <f t="shared" si="0"/>
        <v>-2.0108883231761858</v>
      </c>
      <c r="AE6">
        <f t="shared" si="2"/>
        <v>0</v>
      </c>
    </row>
    <row r="7" spans="1:31">
      <c r="A7" s="1">
        <v>30722</v>
      </c>
      <c r="C7" t="s">
        <v>65</v>
      </c>
      <c r="E7" s="9" t="s">
        <v>66</v>
      </c>
      <c r="F7" s="103">
        <f>IMREAL(VLOOKUP($G$3,Data,5,FALSE))</f>
        <v>66.746803584205594</v>
      </c>
      <c r="G7" s="13" t="str">
        <f t="shared" si="3"/>
        <v>UBIII</v>
      </c>
      <c r="H7" s="11"/>
      <c r="K7" t="s">
        <v>55</v>
      </c>
      <c r="L7" s="101">
        <v>37142</v>
      </c>
      <c r="M7" s="104">
        <v>124.15653400852065</v>
      </c>
      <c r="N7" s="104">
        <v>46.005999473575088</v>
      </c>
      <c r="O7" s="104">
        <v>-17.319750828058801</v>
      </c>
      <c r="P7" s="104">
        <v>64.090992469401087</v>
      </c>
      <c r="Q7" s="104">
        <v>12.022750828099106</v>
      </c>
      <c r="R7" s="104">
        <v>7.47625082806357</v>
      </c>
      <c r="S7" s="89">
        <v>0</v>
      </c>
      <c r="T7" s="89">
        <v>0</v>
      </c>
      <c r="Y7">
        <f t="shared" si="1"/>
        <v>0.83653400852065829</v>
      </c>
      <c r="Z7">
        <f t="shared" si="0"/>
        <v>15.905999473575086</v>
      </c>
      <c r="AA7">
        <f t="shared" si="0"/>
        <v>-5.3197508280588011</v>
      </c>
      <c r="AB7">
        <f t="shared" si="0"/>
        <v>11.090992469401087</v>
      </c>
      <c r="AC7">
        <f t="shared" si="0"/>
        <v>-0.977249171900894</v>
      </c>
      <c r="AD7">
        <f t="shared" si="0"/>
        <v>-1.2237491719364293</v>
      </c>
      <c r="AE7">
        <f t="shared" si="2"/>
        <v>0</v>
      </c>
    </row>
    <row r="8" spans="1:31">
      <c r="A8" s="1">
        <v>32477</v>
      </c>
      <c r="B8" t="s">
        <v>67</v>
      </c>
      <c r="C8" t="s">
        <v>68</v>
      </c>
      <c r="E8" s="9" t="s">
        <v>69</v>
      </c>
      <c r="F8" s="103">
        <f>IMREAL(VLOOKUP($G$3,Data,6,FALSE))</f>
        <v>13.821956415749348</v>
      </c>
      <c r="G8" s="13" t="str">
        <f t="shared" si="3"/>
        <v>UBIII</v>
      </c>
      <c r="H8" s="11"/>
      <c r="K8" t="s">
        <v>55</v>
      </c>
      <c r="L8" s="101">
        <v>38008</v>
      </c>
      <c r="M8" s="104">
        <v>131.71484972722556</v>
      </c>
      <c r="N8" s="104">
        <v>47.52000000007861</v>
      </c>
      <c r="O8" s="104">
        <v>-16.235999999891781</v>
      </c>
      <c r="P8" s="104">
        <v>63.740000000089836</v>
      </c>
      <c r="Q8" s="104">
        <v>12.615999999798788</v>
      </c>
      <c r="R8" s="104">
        <v>7.5959999999986039</v>
      </c>
      <c r="S8" s="89">
        <v>0</v>
      </c>
      <c r="T8" s="89">
        <v>0</v>
      </c>
      <c r="Y8">
        <f t="shared" si="1"/>
        <v>8.3948497272255622</v>
      </c>
      <c r="Z8">
        <f t="shared" si="0"/>
        <v>17.420000000078609</v>
      </c>
      <c r="AA8">
        <f t="shared" si="0"/>
        <v>-4.2359999998917814</v>
      </c>
      <c r="AB8">
        <f t="shared" si="0"/>
        <v>10.740000000089836</v>
      </c>
      <c r="AC8">
        <f t="shared" si="0"/>
        <v>-0.38400000020121183</v>
      </c>
      <c r="AD8">
        <f t="shared" si="0"/>
        <v>-1.1040000000013954</v>
      </c>
      <c r="AE8">
        <f t="shared" si="2"/>
        <v>0</v>
      </c>
    </row>
    <row r="9" spans="1:31">
      <c r="A9" s="1">
        <v>33309</v>
      </c>
      <c r="B9" t="s">
        <v>67</v>
      </c>
      <c r="C9" t="s">
        <v>68</v>
      </c>
      <c r="E9" s="9" t="s">
        <v>70</v>
      </c>
      <c r="F9" s="103">
        <f>IMREAL(VLOOKUP($G$3,Data,7,FALSE))</f>
        <v>8.427201415805996</v>
      </c>
      <c r="G9" s="13" t="str">
        <f t="shared" si="3"/>
        <v>UBIII</v>
      </c>
      <c r="H9" s="11"/>
      <c r="K9" t="s">
        <v>55</v>
      </c>
      <c r="L9" s="101">
        <v>38035</v>
      </c>
      <c r="M9" s="104">
        <v>123.9</v>
      </c>
      <c r="N9" s="104">
        <v>47.52000000007861</v>
      </c>
      <c r="O9" s="104">
        <v>-16.235999999891781</v>
      </c>
      <c r="P9" s="104">
        <v>63.740000000089836</v>
      </c>
      <c r="Q9" s="104">
        <v>12.615999999798788</v>
      </c>
      <c r="R9" s="104">
        <v>7.5959999999986039</v>
      </c>
      <c r="S9" s="89">
        <v>5.2</v>
      </c>
      <c r="T9" s="89">
        <v>0</v>
      </c>
      <c r="Y9">
        <f t="shared" si="1"/>
        <v>0.58000000000001251</v>
      </c>
      <c r="Z9">
        <f t="shared" si="0"/>
        <v>17.420000000078609</v>
      </c>
      <c r="AA9">
        <f t="shared" si="0"/>
        <v>-4.2359999998917814</v>
      </c>
      <c r="AB9">
        <f t="shared" si="0"/>
        <v>10.740000000089836</v>
      </c>
      <c r="AC9">
        <f t="shared" si="0"/>
        <v>-0.38400000020121183</v>
      </c>
      <c r="AD9">
        <f t="shared" si="0"/>
        <v>-1.1040000000013954</v>
      </c>
      <c r="AE9">
        <f t="shared" si="2"/>
        <v>5.2</v>
      </c>
    </row>
    <row r="10" spans="1:31">
      <c r="A10" s="1">
        <v>33374</v>
      </c>
      <c r="B10" t="s">
        <v>67</v>
      </c>
      <c r="C10" t="s">
        <v>72</v>
      </c>
      <c r="E10" s="14"/>
      <c r="F10" s="15"/>
      <c r="G10" s="15"/>
      <c r="H10" s="11"/>
      <c r="K10" t="s">
        <v>55</v>
      </c>
      <c r="L10" s="101">
        <v>38401</v>
      </c>
      <c r="M10" s="106">
        <v>129.44934972722558</v>
      </c>
      <c r="N10" s="89">
        <v>46.540000000261372</v>
      </c>
      <c r="O10" s="89">
        <v>-16.960000000287856</v>
      </c>
      <c r="P10" s="89">
        <v>61.50000000015865</v>
      </c>
      <c r="Q10" s="89">
        <v>13.840000000375774</v>
      </c>
      <c r="R10" s="89">
        <v>9.0000000000367564</v>
      </c>
      <c r="S10" s="89">
        <v>5.7</v>
      </c>
      <c r="T10" s="89">
        <v>0</v>
      </c>
      <c r="Y10">
        <f t="shared" si="1"/>
        <v>6.1293497272255877</v>
      </c>
      <c r="Z10">
        <f t="shared" si="0"/>
        <v>16.440000000261371</v>
      </c>
      <c r="AA10">
        <f t="shared" si="0"/>
        <v>-4.9600000002878559</v>
      </c>
      <c r="AB10">
        <f t="shared" si="0"/>
        <v>8.50000000015865</v>
      </c>
      <c r="AC10">
        <f t="shared" si="0"/>
        <v>0.84000000037577394</v>
      </c>
      <c r="AD10">
        <f t="shared" si="0"/>
        <v>0.30000000003675709</v>
      </c>
      <c r="AE10">
        <f t="shared" si="2"/>
        <v>5.7</v>
      </c>
    </row>
    <row r="11" spans="1:31">
      <c r="A11" s="1">
        <v>33407</v>
      </c>
      <c r="B11" t="s">
        <v>73</v>
      </c>
      <c r="C11" t="s">
        <v>74</v>
      </c>
      <c r="E11" s="14" t="s">
        <v>75</v>
      </c>
      <c r="F11" s="15"/>
      <c r="G11" s="15"/>
      <c r="H11" s="11" t="s">
        <v>160</v>
      </c>
      <c r="K11" t="s">
        <v>55</v>
      </c>
      <c r="L11" s="101">
        <v>40038</v>
      </c>
      <c r="M11" s="89">
        <v>130.29869400282834</v>
      </c>
      <c r="N11" s="89">
        <v>50.874703493297702</v>
      </c>
      <c r="O11" s="89">
        <v>-14.104296506833869</v>
      </c>
      <c r="P11" s="89">
        <v>64.524703493384905</v>
      </c>
      <c r="Q11" s="89">
        <v>12.507296506814036</v>
      </c>
      <c r="R11" s="89">
        <v>7.4752965067981236</v>
      </c>
      <c r="S11" s="89">
        <v>2</v>
      </c>
      <c r="T11" s="89">
        <v>0</v>
      </c>
      <c r="Y11">
        <f t="shared" si="1"/>
        <v>6.9786940028283482</v>
      </c>
      <c r="Z11">
        <f t="shared" si="0"/>
        <v>20.7747034932977</v>
      </c>
      <c r="AA11">
        <f t="shared" si="0"/>
        <v>-2.1042965068338688</v>
      </c>
      <c r="AB11">
        <f t="shared" si="0"/>
        <v>11.524703493384905</v>
      </c>
      <c r="AC11">
        <f t="shared" si="0"/>
        <v>-0.49270349318596374</v>
      </c>
      <c r="AD11">
        <f t="shared" si="0"/>
        <v>-1.2247034932018757</v>
      </c>
      <c r="AE11">
        <f t="shared" si="2"/>
        <v>2</v>
      </c>
    </row>
    <row r="12" spans="1:31">
      <c r="A12" s="1">
        <v>34933</v>
      </c>
      <c r="B12" t="s">
        <v>67</v>
      </c>
      <c r="C12" t="s">
        <v>76</v>
      </c>
      <c r="E12" s="14" t="s">
        <v>77</v>
      </c>
      <c r="F12" s="3" t="s">
        <v>139</v>
      </c>
      <c r="G12" s="360">
        <f>IMREAL(VLOOKUP($G$3,Data,8,FALSE))</f>
        <v>10.97</v>
      </c>
      <c r="H12" s="11"/>
      <c r="K12" s="172" t="s">
        <v>55</v>
      </c>
      <c r="L12" s="101">
        <v>41827</v>
      </c>
      <c r="M12" s="89">
        <v>143.10000000006261</v>
      </c>
      <c r="N12" s="89">
        <v>54.126077194238675</v>
      </c>
      <c r="O12" s="89">
        <v>-9.8547183057240417</v>
      </c>
      <c r="P12" s="89">
        <v>67.19327719428847</v>
      </c>
      <c r="Q12" s="89">
        <v>12.948503305687531</v>
      </c>
      <c r="R12" s="89">
        <v>7.496058305744846</v>
      </c>
      <c r="S12" s="89">
        <v>10.97</v>
      </c>
      <c r="T12" s="89">
        <v>0</v>
      </c>
      <c r="Y12">
        <f t="shared" si="1"/>
        <v>19.780000000062614</v>
      </c>
      <c r="Z12">
        <f t="shared" si="0"/>
        <v>24.026077194238674</v>
      </c>
      <c r="AA12">
        <f t="shared" si="0"/>
        <v>2.1452816942759583</v>
      </c>
      <c r="AB12">
        <f t="shared" si="0"/>
        <v>14.19327719428847</v>
      </c>
      <c r="AC12">
        <f t="shared" si="0"/>
        <v>-5.149669431246906E-2</v>
      </c>
      <c r="AD12">
        <f t="shared" si="0"/>
        <v>-1.2039416942551533</v>
      </c>
      <c r="AE12">
        <f t="shared" si="2"/>
        <v>10.97</v>
      </c>
    </row>
    <row r="13" spans="1:31">
      <c r="A13" s="1">
        <v>36102</v>
      </c>
      <c r="B13" t="s">
        <v>67</v>
      </c>
      <c r="C13" t="s">
        <v>132</v>
      </c>
      <c r="E13" s="14" t="s">
        <v>78</v>
      </c>
      <c r="F13" s="15"/>
      <c r="G13" s="15"/>
      <c r="H13" s="11" t="s">
        <v>161</v>
      </c>
      <c r="K13" s="172" t="s">
        <v>452</v>
      </c>
      <c r="L13" s="101">
        <v>42125</v>
      </c>
      <c r="M13" s="104">
        <f>M12+L19</f>
        <v>162.99711690792583</v>
      </c>
      <c r="N13" s="89">
        <f>N12</f>
        <v>54.126077194238675</v>
      </c>
      <c r="O13" s="89">
        <f t="shared" ref="O13:T14" si="4">O12</f>
        <v>-9.8547183057240417</v>
      </c>
      <c r="P13" s="89">
        <f t="shared" si="4"/>
        <v>67.19327719428847</v>
      </c>
      <c r="Q13" s="89">
        <f t="shared" si="4"/>
        <v>12.948503305687531</v>
      </c>
      <c r="R13" s="89">
        <f t="shared" si="4"/>
        <v>7.496058305744846</v>
      </c>
      <c r="S13" s="89">
        <f t="shared" si="4"/>
        <v>10.97</v>
      </c>
      <c r="T13" s="89">
        <f t="shared" si="4"/>
        <v>0</v>
      </c>
      <c r="Y13">
        <f t="shared" si="1"/>
        <v>39.677116907925836</v>
      </c>
    </row>
    <row r="14" spans="1:31">
      <c r="A14" s="1">
        <v>37142</v>
      </c>
      <c r="B14" t="s">
        <v>135</v>
      </c>
      <c r="C14" t="s">
        <v>136</v>
      </c>
      <c r="E14" s="14" t="s">
        <v>79</v>
      </c>
      <c r="F14" s="15"/>
      <c r="G14" s="15"/>
      <c r="H14" s="11"/>
      <c r="K14" s="172" t="s">
        <v>453</v>
      </c>
      <c r="L14" s="101">
        <v>42614</v>
      </c>
      <c r="M14" s="89">
        <v>140.1</v>
      </c>
      <c r="N14" s="89">
        <f>N13</f>
        <v>54.126077194238675</v>
      </c>
      <c r="O14" s="89">
        <f t="shared" si="4"/>
        <v>-9.8547183057240417</v>
      </c>
      <c r="P14" s="89">
        <f t="shared" si="4"/>
        <v>67.19327719428847</v>
      </c>
      <c r="Q14" s="89">
        <f t="shared" si="4"/>
        <v>12.948503305687531</v>
      </c>
      <c r="R14" s="89">
        <f t="shared" si="4"/>
        <v>7.496058305744846</v>
      </c>
      <c r="S14" s="89">
        <f t="shared" si="4"/>
        <v>10.97</v>
      </c>
      <c r="T14" s="89">
        <f t="shared" si="4"/>
        <v>0</v>
      </c>
    </row>
    <row r="15" spans="1:31">
      <c r="A15" s="1">
        <v>38008</v>
      </c>
      <c r="B15" t="s">
        <v>135</v>
      </c>
      <c r="C15" t="s">
        <v>137</v>
      </c>
      <c r="E15" s="14"/>
      <c r="F15" s="15"/>
      <c r="G15" s="15"/>
      <c r="H15" s="11"/>
      <c r="K15" s="172" t="s">
        <v>497</v>
      </c>
      <c r="L15" s="101">
        <v>43049</v>
      </c>
      <c r="M15" s="89">
        <v>149</v>
      </c>
      <c r="N15" s="89">
        <v>54.348903584022779</v>
      </c>
      <c r="O15" s="89">
        <v>-8.263471415803636</v>
      </c>
      <c r="P15" s="89">
        <v>66.746803584205594</v>
      </c>
      <c r="Q15" s="89">
        <v>13.821956415749348</v>
      </c>
      <c r="R15" s="89">
        <v>8.427201415805996</v>
      </c>
      <c r="S15" s="89">
        <v>10.97</v>
      </c>
      <c r="T15" s="89">
        <v>0</v>
      </c>
    </row>
    <row r="16" spans="1:31">
      <c r="A16" s="1">
        <v>38035</v>
      </c>
      <c r="B16" t="s">
        <v>135</v>
      </c>
      <c r="C16" t="s">
        <v>138</v>
      </c>
      <c r="E16" s="14" t="s">
        <v>80</v>
      </c>
      <c r="F16" s="15"/>
      <c r="G16" s="15"/>
      <c r="H16" s="11"/>
      <c r="K16" s="172" t="s">
        <v>370</v>
      </c>
      <c r="L16" s="172" t="s">
        <v>371</v>
      </c>
    </row>
    <row r="17" spans="1:24">
      <c r="A17" s="1">
        <v>38401</v>
      </c>
      <c r="B17" t="s">
        <v>135</v>
      </c>
      <c r="C17" t="s">
        <v>146</v>
      </c>
      <c r="E17" s="14" t="s">
        <v>81</v>
      </c>
      <c r="F17" s="15"/>
      <c r="G17" s="15"/>
      <c r="H17" s="11"/>
      <c r="K17" s="1">
        <v>41828</v>
      </c>
      <c r="L17">
        <v>1000.1449</v>
      </c>
    </row>
    <row r="18" spans="1:24" ht="13.5" thickBot="1">
      <c r="A18" s="113">
        <v>40038</v>
      </c>
      <c r="B18" s="114" t="s">
        <v>162</v>
      </c>
      <c r="C18" s="114" t="s">
        <v>163</v>
      </c>
      <c r="E18" s="16" t="s">
        <v>82</v>
      </c>
      <c r="F18" s="17"/>
      <c r="G18" s="17"/>
      <c r="H18" s="18"/>
      <c r="K18" s="1">
        <v>42125</v>
      </c>
      <c r="L18">
        <v>1000.1648</v>
      </c>
      <c r="V18" t="s">
        <v>237</v>
      </c>
      <c r="W18" t="s">
        <v>238</v>
      </c>
      <c r="X18" t="s">
        <v>242</v>
      </c>
    </row>
    <row r="19" spans="1:24" ht="16.5" thickTop="1">
      <c r="A19" s="1">
        <v>41827</v>
      </c>
      <c r="B19" s="114" t="s">
        <v>162</v>
      </c>
      <c r="C19" s="114" t="s">
        <v>252</v>
      </c>
      <c r="K19" s="172" t="s">
        <v>372</v>
      </c>
      <c r="L19" s="83">
        <f>(L18/L17-1)*1000000</f>
        <v>19.897116907863222</v>
      </c>
      <c r="M19" s="172" t="s">
        <v>238</v>
      </c>
      <c r="N19" s="25" t="s">
        <v>71</v>
      </c>
      <c r="O19" s="107" t="s">
        <v>33</v>
      </c>
      <c r="P19" s="278" t="s">
        <v>451</v>
      </c>
      <c r="Q19" s="108" t="s">
        <v>449</v>
      </c>
      <c r="R19" s="109" t="s">
        <v>10</v>
      </c>
      <c r="S19" s="110" t="s">
        <v>11</v>
      </c>
      <c r="V19" t="s">
        <v>66</v>
      </c>
      <c r="W19" s="84">
        <f>(1/0.000000999985/1000000-1)*1000000</f>
        <v>15.000225003447554</v>
      </c>
      <c r="X19">
        <f>10000*0.0000000000000096/0.000001*1000</f>
        <v>9.6000000000000002E-2</v>
      </c>
    </row>
    <row r="20" spans="1:24">
      <c r="A20" s="1">
        <v>42125</v>
      </c>
      <c r="B20" s="114" t="s">
        <v>162</v>
      </c>
      <c r="C20" s="114" t="s">
        <v>374</v>
      </c>
      <c r="O20" s="111" t="s">
        <v>85</v>
      </c>
      <c r="P20" s="112">
        <v>53</v>
      </c>
      <c r="Q20" s="112" t="str">
        <f t="shared" ref="Q20:Q42" si="5">O20&amp;P20</f>
        <v>1Z53</v>
      </c>
      <c r="R20" s="437">
        <f>Results!D15</f>
        <v>50</v>
      </c>
      <c r="S20" s="438">
        <f>Results!E15</f>
        <v>0</v>
      </c>
      <c r="T20" s="172" t="s">
        <v>375</v>
      </c>
    </row>
    <row r="21" spans="1:24">
      <c r="A21" s="1">
        <v>42614</v>
      </c>
      <c r="B21" s="114" t="s">
        <v>454</v>
      </c>
      <c r="C21" s="114" t="s">
        <v>455</v>
      </c>
      <c r="O21" s="111" t="s">
        <v>85</v>
      </c>
      <c r="P21" s="112">
        <v>400</v>
      </c>
      <c r="Q21" s="112" t="str">
        <f t="shared" si="5"/>
        <v>1Z400</v>
      </c>
      <c r="R21" s="437">
        <f>Results!D16</f>
        <v>-12</v>
      </c>
      <c r="S21" s="438">
        <f>Results!E16</f>
        <v>-25</v>
      </c>
      <c r="T21" s="172" t="s">
        <v>375</v>
      </c>
      <c r="U21" s="114"/>
    </row>
    <row r="22" spans="1:24">
      <c r="A22" s="1">
        <v>43049</v>
      </c>
      <c r="B22" s="114" t="s">
        <v>162</v>
      </c>
      <c r="C22" s="114" t="s">
        <v>498</v>
      </c>
      <c r="O22" s="111" t="s">
        <v>85</v>
      </c>
      <c r="P22" s="112">
        <v>1000</v>
      </c>
      <c r="Q22" s="112" t="str">
        <f t="shared" si="5"/>
        <v>1Z1000</v>
      </c>
      <c r="R22" s="437">
        <f>Results!D17</f>
        <v>-13</v>
      </c>
      <c r="S22" s="438">
        <f>Results!E17</f>
        <v>-4</v>
      </c>
      <c r="T22" s="172" t="s">
        <v>375</v>
      </c>
    </row>
    <row r="23" spans="1:24">
      <c r="O23" s="111" t="s">
        <v>86</v>
      </c>
      <c r="P23" s="112">
        <v>53</v>
      </c>
      <c r="Q23" s="112" t="str">
        <f t="shared" si="5"/>
        <v>2Z53</v>
      </c>
      <c r="R23" s="437">
        <f>Results!D24</f>
        <v>140</v>
      </c>
      <c r="S23" s="438">
        <f>Results!E24</f>
        <v>-20</v>
      </c>
      <c r="T23" s="172" t="s">
        <v>375</v>
      </c>
    </row>
    <row r="24" spans="1:24">
      <c r="F24" s="19" t="s">
        <v>33</v>
      </c>
      <c r="G24" s="20" t="s">
        <v>83</v>
      </c>
      <c r="H24" s="20" t="s">
        <v>84</v>
      </c>
      <c r="O24" s="111" t="s">
        <v>86</v>
      </c>
      <c r="P24" s="112">
        <v>400</v>
      </c>
      <c r="Q24" s="112" t="str">
        <f t="shared" si="5"/>
        <v>2Z400</v>
      </c>
      <c r="R24" s="437">
        <f>Results!D25</f>
        <v>1</v>
      </c>
      <c r="S24" s="438">
        <f>Results!E25</f>
        <v>3</v>
      </c>
      <c r="T24" s="172" t="s">
        <v>375</v>
      </c>
    </row>
    <row r="25" spans="1:24">
      <c r="F25" s="19"/>
      <c r="G25" s="19" t="s">
        <v>54</v>
      </c>
      <c r="H25" s="19" t="s">
        <v>54</v>
      </c>
      <c r="O25" s="111" t="s">
        <v>86</v>
      </c>
      <c r="P25" s="112">
        <v>1000</v>
      </c>
      <c r="Q25" s="112" t="str">
        <f t="shared" si="5"/>
        <v>2Z1000</v>
      </c>
      <c r="R25" s="437">
        <f>Results!D26</f>
        <v>-2</v>
      </c>
      <c r="S25" s="438">
        <f>Results!E26</f>
        <v>-13</v>
      </c>
    </row>
    <row r="26" spans="1:24">
      <c r="F26" s="2" t="s">
        <v>85</v>
      </c>
      <c r="G26" s="21">
        <f>R_4A-G_2+C_1+correction_c</f>
        <v>205.89170216821677</v>
      </c>
      <c r="H26" s="21">
        <f>R_4A-G_2+G_1+correction_c</f>
        <v>70.713658583966136</v>
      </c>
      <c r="O26" s="111" t="s">
        <v>87</v>
      </c>
      <c r="P26" s="112">
        <v>53</v>
      </c>
      <c r="Q26" s="112" t="str">
        <f t="shared" si="5"/>
        <v>3Z53</v>
      </c>
      <c r="R26" s="437">
        <f>Results!D30</f>
        <v>50</v>
      </c>
      <c r="S26" s="438">
        <f>Results!E30</f>
        <v>-10</v>
      </c>
    </row>
    <row r="27" spans="1:24">
      <c r="F27" s="2" t="s">
        <v>86</v>
      </c>
      <c r="G27" s="21">
        <f>R_4A-G_2+C_1+correction_c</f>
        <v>205.89170216821677</v>
      </c>
      <c r="H27" s="21">
        <f>R_4A-G_2+G_1+correction_c</f>
        <v>70.713658583966136</v>
      </c>
      <c r="O27" s="111" t="s">
        <v>87</v>
      </c>
      <c r="P27" s="112">
        <v>400</v>
      </c>
      <c r="Q27" s="112" t="str">
        <f t="shared" si="5"/>
        <v>3Z400</v>
      </c>
      <c r="R27" s="437">
        <f>Results!D31</f>
        <v>0</v>
      </c>
      <c r="S27" s="438">
        <f>Results!E31</f>
        <v>-10</v>
      </c>
    </row>
    <row r="28" spans="1:24">
      <c r="F28" s="2" t="s">
        <v>87</v>
      </c>
      <c r="G28" s="21">
        <f>R_4A-G_2+C_1+correction_c</f>
        <v>205.89170216821677</v>
      </c>
      <c r="H28" s="21">
        <f>R_4A-G_2+G_1+correction_c</f>
        <v>70.713658583966136</v>
      </c>
      <c r="O28" s="111" t="s">
        <v>87</v>
      </c>
      <c r="P28" s="112">
        <v>1000</v>
      </c>
      <c r="Q28" s="112" t="str">
        <f t="shared" si="5"/>
        <v>3Z1000</v>
      </c>
      <c r="R28" s="437">
        <f>Results!D32</f>
        <v>-1</v>
      </c>
      <c r="S28" s="438">
        <f>Results!E32</f>
        <v>-9</v>
      </c>
    </row>
    <row r="29" spans="1:24">
      <c r="F29" s="2" t="s">
        <v>88</v>
      </c>
      <c r="G29" s="21">
        <f>R_4A-G_2+C_1+correction_c</f>
        <v>205.89170216821677</v>
      </c>
      <c r="H29" s="21">
        <f>R_4A-G_2+G_1+correction_c</f>
        <v>70.713658583966136</v>
      </c>
      <c r="O29" s="111" t="s">
        <v>88</v>
      </c>
      <c r="P29" s="112">
        <v>53</v>
      </c>
      <c r="Q29" s="112" t="str">
        <f t="shared" si="5"/>
        <v>4Z53</v>
      </c>
      <c r="R29" s="437">
        <f>Results!D36</f>
        <v>34</v>
      </c>
      <c r="S29" s="438">
        <f>Results!E36</f>
        <v>-10</v>
      </c>
    </row>
    <row r="30" spans="1:24">
      <c r="F30" s="2" t="s">
        <v>89</v>
      </c>
      <c r="G30" s="21">
        <f>R_4A-G_2+C_1+correction_c</f>
        <v>205.89170216821677</v>
      </c>
      <c r="H30" s="21">
        <f>R_4A-G_2+G_1+correction_c</f>
        <v>70.713658583966136</v>
      </c>
      <c r="O30" s="111" t="s">
        <v>88</v>
      </c>
      <c r="P30" s="112">
        <v>400</v>
      </c>
      <c r="Q30" s="112" t="str">
        <f t="shared" si="5"/>
        <v>4Z400</v>
      </c>
      <c r="R30" s="437">
        <f>Results!D37</f>
        <v>1</v>
      </c>
      <c r="S30" s="438">
        <f>Results!E37</f>
        <v>-10</v>
      </c>
    </row>
    <row r="31" spans="1:24">
      <c r="F31" s="2" t="s">
        <v>90</v>
      </c>
      <c r="G31" s="21">
        <f>R_4B-G_2+C_1+correction_c</f>
        <v>143.27932716839038</v>
      </c>
      <c r="H31" s="21">
        <f>R_4B-G_2+G_1+correction_c</f>
        <v>8.1012835841397166</v>
      </c>
      <c r="O31" s="111" t="s">
        <v>88</v>
      </c>
      <c r="P31" s="112">
        <v>1000</v>
      </c>
      <c r="Q31" s="112" t="str">
        <f t="shared" si="5"/>
        <v>4Z1000</v>
      </c>
      <c r="R31" s="437">
        <f>Results!D38</f>
        <v>-1</v>
      </c>
      <c r="S31" s="438">
        <f>Results!E38</f>
        <v>-10</v>
      </c>
    </row>
    <row r="32" spans="1:24">
      <c r="F32" s="2" t="s">
        <v>91</v>
      </c>
      <c r="G32" s="21">
        <f>R_4C-G_2+C_1+correction_c</f>
        <v>218.2896021683996</v>
      </c>
      <c r="H32" s="21">
        <f>R_4C-G_2+G_1+correction_c</f>
        <v>83.111558584148952</v>
      </c>
      <c r="O32" s="111" t="s">
        <v>88</v>
      </c>
      <c r="P32" s="112">
        <v>1600</v>
      </c>
      <c r="Q32" s="112" t="str">
        <f t="shared" si="5"/>
        <v>4Z1600</v>
      </c>
      <c r="R32" s="437">
        <f>Results!D54</f>
        <v>-1</v>
      </c>
      <c r="S32" s="438">
        <f>Results!E54</f>
        <v>-9</v>
      </c>
    </row>
    <row r="33" spans="6:24">
      <c r="F33" s="2" t="s">
        <v>92</v>
      </c>
      <c r="G33" s="21">
        <f>-R_4A-G_2+C_1-correction_c</f>
        <v>75.253895000171227</v>
      </c>
      <c r="H33" s="21">
        <f>-R_4A-G_2+G_1-correction_c</f>
        <v>-59.924148584079425</v>
      </c>
      <c r="O33" s="111" t="s">
        <v>89</v>
      </c>
      <c r="P33" s="112">
        <v>53</v>
      </c>
      <c r="Q33" s="112" t="str">
        <f t="shared" si="5"/>
        <v>5Z53</v>
      </c>
      <c r="R33" s="437">
        <f>Results!D42</f>
        <v>7</v>
      </c>
      <c r="S33" s="438">
        <f>Results!E42</f>
        <v>-30</v>
      </c>
    </row>
    <row r="34" spans="6:24">
      <c r="F34" s="2" t="s">
        <v>93</v>
      </c>
      <c r="G34" s="21">
        <f>-R_4A-G_2+C_1-correction_c</f>
        <v>75.253895000171227</v>
      </c>
      <c r="H34" s="21">
        <f>-R_4A-G_2+G_1-correction_c</f>
        <v>-59.924148584079425</v>
      </c>
      <c r="O34" s="111" t="s">
        <v>89</v>
      </c>
      <c r="P34" s="112">
        <v>400</v>
      </c>
      <c r="Q34" s="112" t="str">
        <f t="shared" si="5"/>
        <v>5Z400</v>
      </c>
      <c r="R34" s="437">
        <f>Results!D43</f>
        <v>0</v>
      </c>
      <c r="S34" s="438">
        <f>Results!E43</f>
        <v>-28</v>
      </c>
    </row>
    <row r="35" spans="6:24">
      <c r="F35" s="2" t="s">
        <v>37</v>
      </c>
      <c r="G35" s="21">
        <f>-R_4A-G_2+C_1-correction_c</f>
        <v>75.253895000171227</v>
      </c>
      <c r="H35" s="21">
        <f>-R_4A-G_2+G_1-correction_c</f>
        <v>-59.924148584079425</v>
      </c>
      <c r="O35" s="111" t="s">
        <v>89</v>
      </c>
      <c r="P35" s="112">
        <v>1000</v>
      </c>
      <c r="Q35" s="112" t="str">
        <f t="shared" si="5"/>
        <v>5Z1000</v>
      </c>
      <c r="R35" s="437">
        <f>Results!D44</f>
        <v>0</v>
      </c>
      <c r="S35" s="438">
        <f>Results!E44</f>
        <v>-26</v>
      </c>
    </row>
    <row r="36" spans="6:24">
      <c r="F36" s="2" t="s">
        <v>94</v>
      </c>
      <c r="G36" s="21">
        <f>-R_4A-G_2+C_1-correction_c</f>
        <v>75.253895000171227</v>
      </c>
      <c r="H36" s="21">
        <f>-R_4A-G_2+G_1-correction_c</f>
        <v>-59.924148584079425</v>
      </c>
      <c r="O36" s="111" t="s">
        <v>89</v>
      </c>
      <c r="P36" s="112">
        <v>1600</v>
      </c>
      <c r="Q36" s="112" t="str">
        <f t="shared" si="5"/>
        <v>5Z1600</v>
      </c>
      <c r="R36" s="437">
        <f>Results!D56</f>
        <v>0</v>
      </c>
      <c r="S36" s="438">
        <f>Results!E56</f>
        <v>-22</v>
      </c>
    </row>
    <row r="37" spans="6:24">
      <c r="F37" s="2" t="s">
        <v>41</v>
      </c>
      <c r="G37" s="21">
        <f>-R_4A-G_2+C_1-correction_c</f>
        <v>75.253895000171227</v>
      </c>
      <c r="H37" s="21">
        <f>-R_4A-G_2+G_1-correction_c</f>
        <v>-59.924148584079425</v>
      </c>
      <c r="O37" s="111" t="s">
        <v>90</v>
      </c>
      <c r="P37" s="112">
        <v>53</v>
      </c>
      <c r="Q37" s="112" t="str">
        <f t="shared" si="5"/>
        <v>6Z53</v>
      </c>
      <c r="R37" s="437">
        <f>Results!D48</f>
        <v>5</v>
      </c>
      <c r="S37" s="438">
        <f>Results!E48</f>
        <v>-10</v>
      </c>
    </row>
    <row r="38" spans="6:24">
      <c r="F38" s="2" t="s">
        <v>36</v>
      </c>
      <c r="G38" s="21">
        <f>-R_4B-G_2+C_1-correction_c</f>
        <v>137.86626999999763</v>
      </c>
      <c r="H38" s="21">
        <f>-R_4B-G_2+G_1-correction_c</f>
        <v>2.6882264157469873</v>
      </c>
      <c r="O38" s="111" t="s">
        <v>90</v>
      </c>
      <c r="P38" s="112">
        <v>400</v>
      </c>
      <c r="Q38" s="112" t="str">
        <f t="shared" si="5"/>
        <v>6Z400</v>
      </c>
      <c r="R38" s="437">
        <f>Results!D49</f>
        <v>-2</v>
      </c>
      <c r="S38" s="438">
        <f>Results!E49</f>
        <v>-10</v>
      </c>
    </row>
    <row r="39" spans="6:24">
      <c r="F39" s="2" t="s">
        <v>43</v>
      </c>
      <c r="G39" s="21">
        <f>-R_4C-G_2+C_1-correction_c</f>
        <v>62.855994999988411</v>
      </c>
      <c r="H39" s="21">
        <f>-R_4C-G_2+G_1-correction_c</f>
        <v>-72.322048584262248</v>
      </c>
      <c r="O39" s="111" t="s">
        <v>90</v>
      </c>
      <c r="P39" s="112">
        <v>1000</v>
      </c>
      <c r="Q39" s="112" t="str">
        <f t="shared" si="5"/>
        <v>6Z1000</v>
      </c>
      <c r="R39" s="437">
        <f>Results!D50</f>
        <v>-1</v>
      </c>
      <c r="S39" s="438">
        <f>Results!E50</f>
        <v>-10</v>
      </c>
    </row>
    <row r="40" spans="6:24">
      <c r="F40" s="2"/>
      <c r="G40" s="21"/>
      <c r="H40" s="21"/>
      <c r="O40" s="439" t="s">
        <v>43</v>
      </c>
      <c r="P40" s="112">
        <v>53</v>
      </c>
      <c r="Q40" s="112" t="str">
        <f t="shared" si="5"/>
        <v>7Y53</v>
      </c>
      <c r="R40" s="437">
        <f>Results!D58</f>
        <v>29</v>
      </c>
      <c r="S40" s="438">
        <f>Results!E58</f>
        <v>12</v>
      </c>
      <c r="U40" t="s">
        <v>164</v>
      </c>
      <c r="W40" t="s">
        <v>165</v>
      </c>
    </row>
    <row r="41" spans="6:24">
      <c r="G41" s="2" t="s">
        <v>96</v>
      </c>
      <c r="H41" s="2" t="s">
        <v>97</v>
      </c>
      <c r="I41" t="s">
        <v>95</v>
      </c>
      <c r="J41" t="s">
        <v>98</v>
      </c>
      <c r="K41" s="2" t="s">
        <v>97</v>
      </c>
      <c r="L41" t="s">
        <v>95</v>
      </c>
      <c r="M41" t="s">
        <v>166</v>
      </c>
      <c r="N41" t="s">
        <v>167</v>
      </c>
      <c r="O41" s="439" t="s">
        <v>43</v>
      </c>
      <c r="P41" s="112">
        <v>400</v>
      </c>
      <c r="Q41" s="112" t="str">
        <f t="shared" si="5"/>
        <v>7Y400</v>
      </c>
      <c r="R41" s="437">
        <f>Results!D59</f>
        <v>6</v>
      </c>
      <c r="S41" s="438">
        <f>Results!E59</f>
        <v>17</v>
      </c>
      <c r="U41" s="2" t="s">
        <v>97</v>
      </c>
      <c r="V41" s="2" t="s">
        <v>97</v>
      </c>
      <c r="W41" t="s">
        <v>97</v>
      </c>
      <c r="X41" t="s">
        <v>97</v>
      </c>
    </row>
    <row r="42" spans="6:24" ht="16.5" thickBot="1">
      <c r="F42" s="2" t="s">
        <v>85</v>
      </c>
      <c r="G42" s="22">
        <v>1E-4</v>
      </c>
      <c r="H42" t="s">
        <v>168</v>
      </c>
      <c r="I42" s="22">
        <v>9.9999999999999995E-7</v>
      </c>
      <c r="J42" s="22">
        <v>1E-4</v>
      </c>
      <c r="K42" t="s">
        <v>169</v>
      </c>
      <c r="L42" s="22">
        <v>1E-3</v>
      </c>
      <c r="M42" s="22">
        <v>0.2</v>
      </c>
      <c r="N42" s="22">
        <v>2E-3</v>
      </c>
      <c r="O42" s="440" t="s">
        <v>43</v>
      </c>
      <c r="P42" s="115">
        <v>1000</v>
      </c>
      <c r="Q42" s="115" t="str">
        <f t="shared" si="5"/>
        <v>7Y1000</v>
      </c>
      <c r="R42" s="441">
        <f>Results!D60</f>
        <v>6</v>
      </c>
      <c r="S42" s="442">
        <f>Results!E60</f>
        <v>17</v>
      </c>
      <c r="U42" s="23" t="s">
        <v>170</v>
      </c>
      <c r="V42" s="24" t="s">
        <v>99</v>
      </c>
      <c r="W42" t="s">
        <v>168</v>
      </c>
      <c r="X42" t="s">
        <v>169</v>
      </c>
    </row>
    <row r="43" spans="6:24" ht="16.5" thickTop="1">
      <c r="F43" s="2" t="s">
        <v>86</v>
      </c>
      <c r="G43" s="22">
        <v>1E-3</v>
      </c>
      <c r="H43" t="s">
        <v>168</v>
      </c>
      <c r="I43" s="22">
        <v>9.9999999999999995E-7</v>
      </c>
      <c r="J43" s="22">
        <v>9.9999999999999995E-7</v>
      </c>
      <c r="K43" t="s">
        <v>101</v>
      </c>
      <c r="L43" s="22">
        <v>1</v>
      </c>
      <c r="M43" s="22">
        <v>2</v>
      </c>
      <c r="N43" s="22">
        <v>0.02</v>
      </c>
      <c r="U43" s="23" t="s">
        <v>170</v>
      </c>
      <c r="V43" s="23" t="s">
        <v>100</v>
      </c>
      <c r="W43" t="s">
        <v>168</v>
      </c>
      <c r="X43" t="s">
        <v>101</v>
      </c>
    </row>
    <row r="44" spans="6:24" ht="15.75">
      <c r="F44" s="2" t="s">
        <v>87</v>
      </c>
      <c r="G44" s="22">
        <v>1.0000000000000001E-5</v>
      </c>
      <c r="H44" t="s">
        <v>171</v>
      </c>
      <c r="I44" s="22">
        <v>1E-3</v>
      </c>
      <c r="J44" s="22">
        <v>1.0000000000000001E-5</v>
      </c>
      <c r="K44" t="s">
        <v>101</v>
      </c>
      <c r="L44" s="22">
        <v>1</v>
      </c>
      <c r="M44" s="22">
        <v>20</v>
      </c>
      <c r="N44" s="22">
        <v>0.2</v>
      </c>
      <c r="U44" s="24" t="s">
        <v>172</v>
      </c>
      <c r="V44" s="23" t="s">
        <v>100</v>
      </c>
      <c r="W44" t="s">
        <v>171</v>
      </c>
      <c r="X44" t="s">
        <v>101</v>
      </c>
    </row>
    <row r="45" spans="6:24" ht="15.75">
      <c r="F45" s="2" t="s">
        <v>88</v>
      </c>
      <c r="G45" s="22">
        <v>1E-4</v>
      </c>
      <c r="H45" t="s">
        <v>171</v>
      </c>
      <c r="I45" s="22">
        <v>1E-3</v>
      </c>
      <c r="J45" s="22">
        <v>1E-4</v>
      </c>
      <c r="K45" t="s">
        <v>101</v>
      </c>
      <c r="L45" s="22">
        <v>1</v>
      </c>
      <c r="M45" s="22">
        <v>200</v>
      </c>
      <c r="N45" s="116">
        <v>2</v>
      </c>
      <c r="U45" s="24" t="s">
        <v>172</v>
      </c>
      <c r="V45" s="24" t="s">
        <v>101</v>
      </c>
      <c r="W45" t="s">
        <v>171</v>
      </c>
      <c r="X45" t="s">
        <v>101</v>
      </c>
    </row>
    <row r="46" spans="6:24" ht="15.75">
      <c r="F46" s="2" t="s">
        <v>89</v>
      </c>
      <c r="G46" s="22">
        <v>1E-3</v>
      </c>
      <c r="H46" t="s">
        <v>171</v>
      </c>
      <c r="I46" s="22">
        <v>1E-3</v>
      </c>
      <c r="J46" s="22">
        <v>1E-3</v>
      </c>
      <c r="K46" t="s">
        <v>101</v>
      </c>
      <c r="L46" s="22">
        <v>1</v>
      </c>
      <c r="M46" s="22">
        <v>2000</v>
      </c>
      <c r="N46" s="116">
        <v>20</v>
      </c>
      <c r="U46" s="24" t="s">
        <v>172</v>
      </c>
      <c r="V46" s="24" t="s">
        <v>101</v>
      </c>
      <c r="W46" t="s">
        <v>171</v>
      </c>
      <c r="X46" t="s">
        <v>101</v>
      </c>
    </row>
    <row r="47" spans="6:24" ht="15.75">
      <c r="F47" s="2" t="s">
        <v>90</v>
      </c>
      <c r="G47" s="22">
        <v>1.0000000000000001E-5</v>
      </c>
      <c r="H47" t="s">
        <v>102</v>
      </c>
      <c r="I47" s="22">
        <v>1</v>
      </c>
      <c r="J47" s="22">
        <v>1.0000000000000001E-5</v>
      </c>
      <c r="K47" t="s">
        <v>173</v>
      </c>
      <c r="L47" s="117">
        <v>1000</v>
      </c>
      <c r="M47" s="22">
        <v>20000</v>
      </c>
      <c r="N47" s="116">
        <v>200</v>
      </c>
      <c r="U47" s="24" t="s">
        <v>102</v>
      </c>
      <c r="V47" s="24" t="s">
        <v>103</v>
      </c>
      <c r="W47" t="s">
        <v>102</v>
      </c>
      <c r="X47" t="s">
        <v>173</v>
      </c>
    </row>
    <row r="48" spans="6:24" ht="15.75">
      <c r="F48" s="2" t="s">
        <v>91</v>
      </c>
      <c r="G48" s="22">
        <v>1E-4</v>
      </c>
      <c r="H48" t="s">
        <v>102</v>
      </c>
      <c r="I48" s="22">
        <v>1</v>
      </c>
      <c r="J48" s="22">
        <v>1E-4</v>
      </c>
      <c r="K48" t="s">
        <v>173</v>
      </c>
      <c r="L48" s="117">
        <v>1000</v>
      </c>
      <c r="M48" s="22">
        <v>200000</v>
      </c>
      <c r="N48" s="116">
        <v>2000</v>
      </c>
      <c r="U48" s="24" t="s">
        <v>102</v>
      </c>
      <c r="V48" s="24" t="s">
        <v>103</v>
      </c>
      <c r="W48" t="s">
        <v>102</v>
      </c>
      <c r="X48" t="s">
        <v>173</v>
      </c>
    </row>
    <row r="49" spans="6:24" ht="15.75">
      <c r="F49" s="2" t="s">
        <v>92</v>
      </c>
      <c r="G49" s="22">
        <v>1E-4</v>
      </c>
      <c r="H49" t="s">
        <v>174</v>
      </c>
      <c r="I49" s="22">
        <v>9.9999999999999995E-7</v>
      </c>
      <c r="J49" s="22">
        <v>1E-4</v>
      </c>
      <c r="K49" t="s">
        <v>175</v>
      </c>
      <c r="L49" s="22">
        <v>1E-3</v>
      </c>
      <c r="U49" s="23" t="s">
        <v>176</v>
      </c>
      <c r="V49" s="24" t="s">
        <v>104</v>
      </c>
      <c r="W49" t="s">
        <v>174</v>
      </c>
      <c r="X49" t="s">
        <v>175</v>
      </c>
    </row>
    <row r="50" spans="6:24" ht="15.75">
      <c r="F50" s="2" t="s">
        <v>93</v>
      </c>
      <c r="G50" s="22">
        <v>1.0000000000000001E-5</v>
      </c>
      <c r="H50" t="s">
        <v>174</v>
      </c>
      <c r="I50" s="22">
        <v>9.9999999999999995E-7</v>
      </c>
      <c r="J50" s="22">
        <v>1.0000000000000001E-5</v>
      </c>
      <c r="K50" t="s">
        <v>175</v>
      </c>
      <c r="L50" s="22">
        <v>1E-3</v>
      </c>
      <c r="U50" s="23" t="s">
        <v>176</v>
      </c>
      <c r="V50" s="24" t="s">
        <v>104</v>
      </c>
      <c r="W50" t="s">
        <v>174</v>
      </c>
      <c r="X50" t="s">
        <v>175</v>
      </c>
    </row>
    <row r="51" spans="6:24" ht="15.75">
      <c r="F51" s="2" t="s">
        <v>37</v>
      </c>
      <c r="G51" s="22">
        <v>9.9999999999999995E-7</v>
      </c>
      <c r="H51" t="s">
        <v>174</v>
      </c>
      <c r="I51" s="22">
        <v>9.9999999999999995E-7</v>
      </c>
      <c r="J51" s="22">
        <v>9.9999999999999995E-7</v>
      </c>
      <c r="K51" t="s">
        <v>175</v>
      </c>
      <c r="L51" s="22">
        <v>1E-3</v>
      </c>
      <c r="U51" s="23" t="s">
        <v>176</v>
      </c>
      <c r="V51" s="24" t="s">
        <v>104</v>
      </c>
      <c r="W51" t="s">
        <v>174</v>
      </c>
      <c r="X51" t="s">
        <v>175</v>
      </c>
    </row>
    <row r="52" spans="6:24" ht="15.75">
      <c r="F52" s="2" t="s">
        <v>94</v>
      </c>
      <c r="G52" s="22">
        <v>1E-4</v>
      </c>
      <c r="H52" t="s">
        <v>105</v>
      </c>
      <c r="I52" s="22">
        <v>1.0000000000000001E-9</v>
      </c>
      <c r="J52" s="22">
        <v>1E-4</v>
      </c>
      <c r="K52" t="s">
        <v>177</v>
      </c>
      <c r="L52" s="22">
        <v>9.9999999999999995E-7</v>
      </c>
      <c r="U52" s="24" t="s">
        <v>105</v>
      </c>
      <c r="V52" s="23" t="s">
        <v>178</v>
      </c>
      <c r="W52" t="s">
        <v>105</v>
      </c>
      <c r="X52" t="s">
        <v>177</v>
      </c>
    </row>
    <row r="53" spans="6:24" ht="15.75">
      <c r="F53" s="2" t="s">
        <v>41</v>
      </c>
      <c r="G53" s="22">
        <v>1.0000000000000001E-5</v>
      </c>
      <c r="H53" t="s">
        <v>105</v>
      </c>
      <c r="I53" s="22">
        <v>1.0000000000000001E-9</v>
      </c>
      <c r="J53" s="22">
        <v>1.0000000000000001E-5</v>
      </c>
      <c r="K53" t="s">
        <v>177</v>
      </c>
      <c r="L53" s="22">
        <v>9.9999999999999995E-7</v>
      </c>
      <c r="U53" s="24" t="s">
        <v>105</v>
      </c>
      <c r="V53" s="23" t="s">
        <v>178</v>
      </c>
      <c r="W53" t="s">
        <v>105</v>
      </c>
      <c r="X53" t="s">
        <v>177</v>
      </c>
    </row>
    <row r="54" spans="6:24" ht="15.75">
      <c r="F54" s="2" t="s">
        <v>36</v>
      </c>
      <c r="G54" s="22">
        <v>1E-3</v>
      </c>
      <c r="H54" t="s">
        <v>106</v>
      </c>
      <c r="I54" s="22">
        <v>9.9999999999999998E-13</v>
      </c>
      <c r="J54" s="22">
        <v>1E-3</v>
      </c>
      <c r="K54" t="s">
        <v>1</v>
      </c>
      <c r="L54" s="22">
        <v>1.0000000000000001E-9</v>
      </c>
      <c r="U54" s="24" t="s">
        <v>106</v>
      </c>
      <c r="V54" s="24" t="s">
        <v>1</v>
      </c>
      <c r="W54" t="s">
        <v>106</v>
      </c>
      <c r="X54" t="s">
        <v>1</v>
      </c>
    </row>
    <row r="55" spans="6:24" ht="15.75">
      <c r="F55" s="2" t="s">
        <v>43</v>
      </c>
      <c r="G55" s="22">
        <v>1E-4</v>
      </c>
      <c r="H55" t="s">
        <v>106</v>
      </c>
      <c r="I55" s="22">
        <v>9.9999999999999998E-13</v>
      </c>
      <c r="J55" s="22">
        <v>1E-4</v>
      </c>
      <c r="K55" t="s">
        <v>1</v>
      </c>
      <c r="L55" s="22">
        <v>1.0000000000000001E-9</v>
      </c>
      <c r="U55" s="24" t="s">
        <v>106</v>
      </c>
      <c r="V55" s="24" t="s">
        <v>1</v>
      </c>
      <c r="W55" t="s">
        <v>106</v>
      </c>
      <c r="X55" t="s">
        <v>1</v>
      </c>
    </row>
    <row r="56" spans="6:24" ht="15.75">
      <c r="G56" s="22"/>
      <c r="H56" s="24"/>
      <c r="I56" s="22"/>
      <c r="J56" s="22"/>
      <c r="K56" s="23"/>
      <c r="L56" s="22"/>
    </row>
  </sheetData>
  <phoneticPr fontId="0" type="noConversion"/>
  <pageMargins left="0.75" right="0.75" top="1" bottom="1" header="0.5" footer="0.5"/>
  <pageSetup paperSize="9" scale="95" orientation="portrait" r:id="rId1"/>
  <headerFooter alignWithMargins="0">
    <oddHeader>&amp;A</oddHeader>
    <oddFooter>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X88"/>
  <sheetViews>
    <sheetView topLeftCell="V15" workbookViewId="0">
      <selection activeCell="AB5" sqref="AB5:AF59"/>
    </sheetView>
  </sheetViews>
  <sheetFormatPr defaultRowHeight="12.75"/>
  <cols>
    <col min="1" max="1" width="47.5703125" customWidth="1"/>
    <col min="2" max="2" width="20.140625" customWidth="1"/>
    <col min="3" max="3" width="10.5703125" customWidth="1"/>
    <col min="4" max="4" width="11.85546875" customWidth="1"/>
    <col min="5" max="5" width="19.28515625" customWidth="1"/>
    <col min="18" max="18" width="13" customWidth="1"/>
    <col min="19" max="19" width="13.5703125" customWidth="1"/>
    <col min="20" max="21" width="10.7109375" customWidth="1"/>
    <col min="28" max="28" width="13.140625" customWidth="1"/>
    <col min="29" max="29" width="13.28515625" customWidth="1"/>
    <col min="31" max="31" width="12" customWidth="1"/>
    <col min="33" max="33" width="7.85546875" customWidth="1"/>
    <col min="34" max="34" width="7.7109375" customWidth="1"/>
    <col min="36" max="36" width="7.42578125" customWidth="1"/>
    <col min="37" max="37" width="8.140625" customWidth="1"/>
    <col min="39" max="39" width="7.28515625" customWidth="1"/>
    <col min="40" max="40" width="6.85546875" customWidth="1"/>
    <col min="41" max="41" width="6.5703125" customWidth="1"/>
    <col min="43" max="43" width="23.5703125" customWidth="1"/>
    <col min="44" max="44" width="7.7109375" customWidth="1"/>
    <col min="45" max="45" width="28.7109375" customWidth="1"/>
    <col min="47" max="47" width="11.42578125" bestFit="1" customWidth="1"/>
    <col min="48" max="48" width="11.42578125" customWidth="1"/>
    <col min="49" max="49" width="9.5703125" customWidth="1"/>
  </cols>
  <sheetData>
    <row r="1" spans="1:50" ht="15.75">
      <c r="A1" s="26" t="s">
        <v>6</v>
      </c>
      <c r="F1" s="27" t="s">
        <v>7</v>
      </c>
      <c r="S1" t="s">
        <v>184</v>
      </c>
      <c r="AB1" s="12" t="s">
        <v>185</v>
      </c>
      <c r="AQ1" s="12" t="s">
        <v>186</v>
      </c>
      <c r="AR1" s="12"/>
      <c r="AU1" s="12" t="s">
        <v>187</v>
      </c>
      <c r="AV1" s="12"/>
    </row>
    <row r="2" spans="1:50">
      <c r="A2" s="28" t="s">
        <v>8</v>
      </c>
      <c r="F2" s="28" t="s">
        <v>9</v>
      </c>
      <c r="AB2" t="s">
        <v>188</v>
      </c>
      <c r="AP2" s="118"/>
      <c r="AQ2" s="28" t="s">
        <v>246</v>
      </c>
      <c r="AS2" s="28" t="s">
        <v>245</v>
      </c>
    </row>
    <row r="3" spans="1:50">
      <c r="A3" s="29" t="s">
        <v>189</v>
      </c>
      <c r="C3" s="30"/>
      <c r="F3" s="28" t="s">
        <v>10</v>
      </c>
      <c r="G3">
        <v>1.96</v>
      </c>
      <c r="L3" t="s">
        <v>107</v>
      </c>
      <c r="S3" s="2" t="s">
        <v>16</v>
      </c>
      <c r="T3" t="s">
        <v>190</v>
      </c>
      <c r="U3" t="s">
        <v>191</v>
      </c>
      <c r="V3" t="s">
        <v>192</v>
      </c>
      <c r="W3" t="s">
        <v>193</v>
      </c>
      <c r="X3" t="s">
        <v>194</v>
      </c>
      <c r="Y3" t="s">
        <v>195</v>
      </c>
      <c r="AB3" s="2" t="s">
        <v>16</v>
      </c>
      <c r="AC3" s="2" t="s">
        <v>196</v>
      </c>
      <c r="AD3" s="2" t="s">
        <v>17</v>
      </c>
      <c r="AE3" s="2" t="s">
        <v>236</v>
      </c>
      <c r="AF3" s="2" t="s">
        <v>17</v>
      </c>
      <c r="AG3" s="2" t="s">
        <v>767</v>
      </c>
      <c r="AH3" s="2" t="s">
        <v>33</v>
      </c>
      <c r="AI3" s="2" t="s">
        <v>197</v>
      </c>
      <c r="AJ3" s="2" t="s">
        <v>198</v>
      </c>
      <c r="AK3" s="2" t="s">
        <v>199</v>
      </c>
      <c r="AL3" s="2" t="s">
        <v>200</v>
      </c>
      <c r="AM3" s="2" t="s">
        <v>198</v>
      </c>
      <c r="AN3" s="2" t="s">
        <v>201</v>
      </c>
      <c r="AO3" s="2" t="s">
        <v>202</v>
      </c>
      <c r="AP3" s="119"/>
      <c r="AQ3" s="28" t="s">
        <v>106</v>
      </c>
      <c r="AR3" s="2" t="s">
        <v>203</v>
      </c>
      <c r="AS3" s="28"/>
      <c r="AT3" s="2" t="s">
        <v>203</v>
      </c>
      <c r="AU3" t="s">
        <v>0</v>
      </c>
      <c r="AW3" t="s">
        <v>153</v>
      </c>
    </row>
    <row r="4" spans="1:50">
      <c r="F4" s="28" t="s">
        <v>11</v>
      </c>
      <c r="G4">
        <v>2.3719999999999999</v>
      </c>
      <c r="L4" t="s">
        <v>109</v>
      </c>
      <c r="S4" s="85"/>
      <c r="AB4" s="85"/>
      <c r="AC4" s="120">
        <f>F80</f>
        <v>3.4675856893084722E-4</v>
      </c>
      <c r="AD4" s="121">
        <f>F78</f>
        <v>2.1457151255937377</v>
      </c>
      <c r="AE4" s="120">
        <f>F66</f>
        <v>4.2082492578949526E-3</v>
      </c>
      <c r="AF4" s="121">
        <f>F64</f>
        <v>2.3951823360281952</v>
      </c>
      <c r="AG4" s="121"/>
    </row>
    <row r="5" spans="1:50">
      <c r="A5" s="28" t="s">
        <v>12</v>
      </c>
      <c r="B5" s="33"/>
      <c r="F5" s="28" t="s">
        <v>13</v>
      </c>
      <c r="G5">
        <v>1.2737000000000001</v>
      </c>
      <c r="S5" s="85" t="s">
        <v>709</v>
      </c>
      <c r="T5">
        <v>0</v>
      </c>
      <c r="U5">
        <v>0</v>
      </c>
      <c r="V5">
        <v>0</v>
      </c>
      <c r="W5">
        <v>0</v>
      </c>
      <c r="X5">
        <v>5</v>
      </c>
      <c r="Y5">
        <v>40</v>
      </c>
      <c r="AB5" s="85" t="s">
        <v>709</v>
      </c>
      <c r="AC5" s="120">
        <f t="dataTable" ref="AC5:AF59" dt2D="0" dtr="0" r1="B9"/>
        <v>1.6402539591026777E-2</v>
      </c>
      <c r="AD5" s="121">
        <v>4.3451417762294264</v>
      </c>
      <c r="AE5" s="120">
        <v>9.3192117469873686E-2</v>
      </c>
      <c r="AF5" s="121">
        <v>2.4687205363792324</v>
      </c>
      <c r="AG5" s="121"/>
      <c r="AH5" t="str">
        <f t="shared" ref="AH5:AH36" si="0">VLOOKUP(AB5, Results,2,FALSE)</f>
        <v>1Z</v>
      </c>
      <c r="AI5">
        <f>VLOOKUP(AB5,Results,5,FALSE)</f>
        <v>5.001029458510841E-3</v>
      </c>
      <c r="AJ5" s="122">
        <f t="shared" ref="AJ5:AJ36" si="1">VLOOKUP(AH5,multiplier,4,FALSE)</f>
        <v>9.9999999999999995E-7</v>
      </c>
      <c r="AK5" s="122">
        <f t="shared" ref="AK5:AK36" si="2">VLOOKUP(AH5,multiplier,8,FALSE)</f>
        <v>0.2</v>
      </c>
      <c r="AL5">
        <f>VLOOKUP(AB5,Results,7,FALSE)</f>
        <v>3.8512723182992072</v>
      </c>
      <c r="AM5" s="122">
        <f t="shared" ref="AM5:AM36" si="3">VLOOKUP(AH5,multiplier,7,FALSE)</f>
        <v>1E-3</v>
      </c>
      <c r="AN5" s="122">
        <f t="shared" ref="AN5:AN36" si="4">VLOOKUP(AH5,multiplier,9,FALSE)</f>
        <v>2E-3</v>
      </c>
      <c r="AO5">
        <f t="shared" ref="AO5:AO36" si="5">VLOOKUP(AB5,Results,9,FALSE)</f>
        <v>53</v>
      </c>
      <c r="AQ5" s="122">
        <f>0.2/AO5+22*AI5*AJ5*1000000</f>
        <v>0.11379623299289887</v>
      </c>
      <c r="AR5" s="80">
        <f>AQ5*0.000000000001/(AC5*AJ5)</f>
        <v>6.9377203671041643E-6</v>
      </c>
      <c r="AS5" s="164">
        <f>0.000027+0.00027/(AI5*AJ5*1000000000000)</f>
        <v>2.7053988884136747E-5</v>
      </c>
      <c r="AT5" s="83" t="e">
        <f>AS5*1000/AG5</f>
        <v>#DIV/0!</v>
      </c>
      <c r="AU5" s="123">
        <f>AQ5</f>
        <v>0.11379623299289887</v>
      </c>
      <c r="AV5" s="80">
        <f>AU5*0.000000000001/(AC5*AJ5)</f>
        <v>6.9377203671041643E-6</v>
      </c>
      <c r="AW5" s="123">
        <f>0.00003*1000</f>
        <v>3.0000000000000002E-2</v>
      </c>
      <c r="AX5" s="83" t="e">
        <f>AW5/AG5</f>
        <v>#DIV/0!</v>
      </c>
    </row>
    <row r="6" spans="1:50">
      <c r="A6" s="28" t="s">
        <v>14</v>
      </c>
      <c r="B6" s="33"/>
      <c r="F6" s="28" t="s">
        <v>15</v>
      </c>
      <c r="G6">
        <v>7.0961999999999996</v>
      </c>
      <c r="S6" s="85" t="s">
        <v>710</v>
      </c>
      <c r="T6">
        <v>0</v>
      </c>
      <c r="U6">
        <v>0</v>
      </c>
      <c r="V6">
        <v>0</v>
      </c>
      <c r="W6">
        <v>0</v>
      </c>
      <c r="X6">
        <v>5</v>
      </c>
      <c r="Y6">
        <v>40</v>
      </c>
      <c r="AB6" s="85" t="s">
        <v>710</v>
      </c>
      <c r="AC6" s="120">
        <v>2.0554646101675358E-3</v>
      </c>
      <c r="AD6" s="121">
        <v>4.0308024001525888</v>
      </c>
      <c r="AE6" s="120">
        <v>1.2358227616153681E-2</v>
      </c>
      <c r="AF6" s="121">
        <v>2.4234375152857237</v>
      </c>
      <c r="AG6" s="121"/>
      <c r="AH6" t="str">
        <f t="shared" si="0"/>
        <v>1Z</v>
      </c>
      <c r="AI6">
        <f t="shared" ref="AI6:AI59" si="6">VLOOKUP(AB6,Results,5,FALSE)</f>
        <v>7.801605955276911E-3</v>
      </c>
      <c r="AJ6" s="122">
        <f t="shared" si="1"/>
        <v>9.9999999999999995E-7</v>
      </c>
      <c r="AK6" s="122">
        <f t="shared" si="2"/>
        <v>0.2</v>
      </c>
      <c r="AL6">
        <f t="shared" ref="AL6:AL59" si="7">VLOOKUP(AB6,Results,7,FALSE)</f>
        <v>3.8600729405794025</v>
      </c>
      <c r="AM6" s="122">
        <f t="shared" si="3"/>
        <v>1E-3</v>
      </c>
      <c r="AN6" s="122">
        <f t="shared" si="4"/>
        <v>2E-3</v>
      </c>
      <c r="AO6">
        <f t="shared" si="5"/>
        <v>400</v>
      </c>
      <c r="AQ6" s="122">
        <f t="shared" ref="AQ6:AQ11" si="8">0.2/AO6+22*AI6*AJ6*1000000</f>
        <v>0.17213533101609205</v>
      </c>
      <c r="AR6" s="80">
        <f t="shared" ref="AR6:AR11" si="9">AQ6*0.000000000001/(AC6*AJ6)</f>
        <v>8.3745217584681126E-5</v>
      </c>
      <c r="AS6" s="164">
        <f t="shared" ref="AS6:AS11" si="10">0.000027+0.00027/(AI6*AJ6*1000000000000)</f>
        <v>2.7034608259062017E-5</v>
      </c>
      <c r="AT6" s="83" t="e">
        <f t="shared" ref="AT6:AT11" si="11">AS6*1000/AG6</f>
        <v>#DIV/0!</v>
      </c>
      <c r="AU6" s="123">
        <f t="shared" ref="AU6:AU11" si="12">AQ6</f>
        <v>0.17213533101609205</v>
      </c>
      <c r="AV6" s="80">
        <f t="shared" ref="AV6:AV11" si="13">AU6*0.000000000001/(AC6*AJ6)</f>
        <v>8.3745217584681126E-5</v>
      </c>
      <c r="AW6" s="123">
        <f t="shared" ref="AW6:AW55" si="14">0.00003*1000</f>
        <v>3.0000000000000002E-2</v>
      </c>
      <c r="AX6" s="83" t="e">
        <f t="shared" ref="AX6:AX11" si="15">AW6/AG6</f>
        <v>#DIV/0!</v>
      </c>
    </row>
    <row r="7" spans="1:50">
      <c r="A7" s="28" t="s">
        <v>18</v>
      </c>
      <c r="B7" s="33"/>
      <c r="O7" s="2"/>
      <c r="P7" s="2"/>
      <c r="Q7" s="2"/>
      <c r="R7" s="2"/>
      <c r="S7" s="85" t="s">
        <v>711</v>
      </c>
      <c r="T7">
        <v>0</v>
      </c>
      <c r="U7">
        <v>0</v>
      </c>
      <c r="V7">
        <v>0</v>
      </c>
      <c r="W7">
        <v>0</v>
      </c>
      <c r="X7">
        <v>5</v>
      </c>
      <c r="Y7">
        <v>40</v>
      </c>
      <c r="Z7" s="2"/>
      <c r="AA7" s="2"/>
      <c r="AB7" s="85" t="s">
        <v>711</v>
      </c>
      <c r="AC7" s="120">
        <v>6.9754549518748438E-4</v>
      </c>
      <c r="AD7" s="121">
        <v>3.1183302033562024</v>
      </c>
      <c r="AE7" s="120">
        <v>5.1044857608389229E-3</v>
      </c>
      <c r="AF7" s="121">
        <v>2.2817657797488478</v>
      </c>
      <c r="AG7" s="121"/>
      <c r="AH7" t="str">
        <f t="shared" si="0"/>
        <v>1Z</v>
      </c>
      <c r="AI7">
        <f t="shared" si="6"/>
        <v>7.801605955276911E-3</v>
      </c>
      <c r="AJ7" s="122">
        <f t="shared" si="1"/>
        <v>9.9999999999999995E-7</v>
      </c>
      <c r="AK7" s="122">
        <f t="shared" si="2"/>
        <v>0.2</v>
      </c>
      <c r="AL7">
        <f t="shared" si="7"/>
        <v>3.8581728062234517</v>
      </c>
      <c r="AM7" s="122">
        <f t="shared" si="3"/>
        <v>1E-3</v>
      </c>
      <c r="AN7" s="122">
        <f t="shared" si="4"/>
        <v>2E-3</v>
      </c>
      <c r="AO7">
        <f t="shared" si="5"/>
        <v>1000</v>
      </c>
      <c r="AQ7" s="122">
        <f t="shared" si="8"/>
        <v>0.17183533101609205</v>
      </c>
      <c r="AR7" s="80">
        <f t="shared" si="9"/>
        <v>2.4634282953817462E-4</v>
      </c>
      <c r="AS7" s="164">
        <f t="shared" si="10"/>
        <v>2.7034608259062017E-5</v>
      </c>
      <c r="AT7" s="83" t="e">
        <f t="shared" si="11"/>
        <v>#DIV/0!</v>
      </c>
      <c r="AU7" s="123">
        <f t="shared" si="12"/>
        <v>0.17183533101609205</v>
      </c>
      <c r="AV7" s="80">
        <f t="shared" si="13"/>
        <v>2.4634282953817462E-4</v>
      </c>
      <c r="AW7" s="123">
        <f t="shared" si="14"/>
        <v>3.0000000000000002E-2</v>
      </c>
      <c r="AX7" s="83" t="e">
        <f t="shared" si="15"/>
        <v>#DIV/0!</v>
      </c>
    </row>
    <row r="8" spans="1:50">
      <c r="A8" s="28" t="s">
        <v>19</v>
      </c>
      <c r="B8" s="33"/>
      <c r="O8" s="2"/>
      <c r="P8" s="34"/>
      <c r="Q8" s="35"/>
      <c r="R8" s="36"/>
      <c r="S8" s="85" t="s">
        <v>712</v>
      </c>
      <c r="T8">
        <v>0</v>
      </c>
      <c r="U8">
        <v>0</v>
      </c>
      <c r="V8">
        <v>0</v>
      </c>
      <c r="W8">
        <v>0</v>
      </c>
      <c r="X8">
        <v>5</v>
      </c>
      <c r="Y8">
        <v>40</v>
      </c>
      <c r="Z8" s="36"/>
      <c r="AA8" s="35"/>
      <c r="AB8" s="85" t="s">
        <v>712</v>
      </c>
      <c r="AC8" s="120">
        <v>1.6402607686617325E-2</v>
      </c>
      <c r="AD8" s="121">
        <v>4.34516560761534</v>
      </c>
      <c r="AE8" s="120">
        <v>9.3192121072910403E-2</v>
      </c>
      <c r="AF8" s="121">
        <v>2.4687245292851547</v>
      </c>
      <c r="AG8" s="121"/>
      <c r="AH8" t="str">
        <f t="shared" si="0"/>
        <v>1Z</v>
      </c>
      <c r="AI8">
        <f t="shared" si="6"/>
        <v>-1.0002058917021682E-3</v>
      </c>
      <c r="AJ8" s="122">
        <f t="shared" si="1"/>
        <v>9.9999999999999995E-7</v>
      </c>
      <c r="AK8" s="122">
        <f t="shared" si="2"/>
        <v>0.2</v>
      </c>
      <c r="AL8">
        <f t="shared" si="7"/>
        <v>-9.0006364229272568E-3</v>
      </c>
      <c r="AM8" s="122">
        <f t="shared" si="3"/>
        <v>1E-3</v>
      </c>
      <c r="AN8" s="122">
        <f t="shared" si="4"/>
        <v>2E-3</v>
      </c>
      <c r="AO8">
        <f t="shared" si="5"/>
        <v>53</v>
      </c>
      <c r="AQ8" s="122">
        <f t="shared" si="8"/>
        <v>-1.8230944711787322E-2</v>
      </c>
      <c r="AR8" s="80">
        <f t="shared" si="9"/>
        <v>-1.111466241228321E-6</v>
      </c>
      <c r="AS8" s="164">
        <f t="shared" si="10"/>
        <v>2.6730055579316265E-5</v>
      </c>
      <c r="AT8" s="83" t="e">
        <f t="shared" si="11"/>
        <v>#DIV/0!</v>
      </c>
      <c r="AU8" s="123">
        <f t="shared" si="12"/>
        <v>-1.8230944711787322E-2</v>
      </c>
      <c r="AV8" s="80">
        <f t="shared" si="13"/>
        <v>-1.111466241228321E-6</v>
      </c>
      <c r="AW8" s="123">
        <f t="shared" si="14"/>
        <v>3.0000000000000002E-2</v>
      </c>
      <c r="AX8" s="83" t="e">
        <f t="shared" si="15"/>
        <v>#DIV/0!</v>
      </c>
    </row>
    <row r="9" spans="1:50">
      <c r="A9" s="37" t="s">
        <v>204</v>
      </c>
      <c r="B9" s="38" t="s">
        <v>729</v>
      </c>
      <c r="O9" s="2"/>
      <c r="P9" s="31"/>
      <c r="Q9" s="32"/>
      <c r="R9" s="31"/>
      <c r="S9" s="85" t="s">
        <v>713</v>
      </c>
      <c r="T9">
        <v>0</v>
      </c>
      <c r="U9">
        <v>0</v>
      </c>
      <c r="V9">
        <v>0</v>
      </c>
      <c r="W9">
        <v>0</v>
      </c>
      <c r="X9">
        <v>5</v>
      </c>
      <c r="Y9">
        <v>40</v>
      </c>
      <c r="Z9" s="31"/>
      <c r="AA9" s="32"/>
      <c r="AB9" s="85" t="s">
        <v>713</v>
      </c>
      <c r="AC9" s="120">
        <v>2.0558740604072444E-3</v>
      </c>
      <c r="AD9" s="121">
        <v>4.0319007460454337</v>
      </c>
      <c r="AE9" s="120">
        <v>1.235815446698918E-2</v>
      </c>
      <c r="AF9" s="121">
        <v>2.4236334892966451</v>
      </c>
      <c r="AG9" s="121"/>
      <c r="AH9" t="str">
        <f t="shared" si="0"/>
        <v>1Z</v>
      </c>
      <c r="AI9">
        <f t="shared" si="6"/>
        <v>-1.0002058917021681E-4</v>
      </c>
      <c r="AJ9" s="122">
        <f t="shared" si="1"/>
        <v>9.9999999999999995E-7</v>
      </c>
      <c r="AK9" s="122">
        <f t="shared" si="2"/>
        <v>0.2</v>
      </c>
      <c r="AL9">
        <f t="shared" si="7"/>
        <v>-1.200084856390301E-3</v>
      </c>
      <c r="AM9" s="122">
        <f t="shared" si="3"/>
        <v>1E-3</v>
      </c>
      <c r="AN9" s="122">
        <f t="shared" si="4"/>
        <v>2E-3</v>
      </c>
      <c r="AO9">
        <f t="shared" si="5"/>
        <v>400</v>
      </c>
      <c r="AQ9" s="122">
        <f t="shared" si="8"/>
        <v>-1.7004529617447701E-3</v>
      </c>
      <c r="AR9" s="80">
        <f t="shared" si="9"/>
        <v>-8.2711922607162549E-7</v>
      </c>
      <c r="AS9" s="164">
        <f t="shared" si="10"/>
        <v>2.4300555793162654E-5</v>
      </c>
      <c r="AT9" s="83" t="e">
        <f t="shared" si="11"/>
        <v>#DIV/0!</v>
      </c>
      <c r="AU9" s="123">
        <f t="shared" si="12"/>
        <v>-1.7004529617447701E-3</v>
      </c>
      <c r="AV9" s="80">
        <f t="shared" si="13"/>
        <v>-8.2711922607162549E-7</v>
      </c>
      <c r="AW9" s="123">
        <f t="shared" si="14"/>
        <v>3.0000000000000002E-2</v>
      </c>
      <c r="AX9" s="83" t="e">
        <f t="shared" si="15"/>
        <v>#DIV/0!</v>
      </c>
    </row>
    <row r="10" spans="1:50" ht="15.75">
      <c r="A10" s="39" t="s">
        <v>205</v>
      </c>
      <c r="B10" s="40"/>
      <c r="C10" s="41"/>
      <c r="D10" s="42"/>
      <c r="F10" s="28" t="s">
        <v>20</v>
      </c>
      <c r="O10" s="2"/>
      <c r="P10" s="31"/>
      <c r="Q10" s="32"/>
      <c r="R10" s="31"/>
      <c r="S10" s="85" t="s">
        <v>714</v>
      </c>
      <c r="T10">
        <v>0</v>
      </c>
      <c r="U10">
        <v>0</v>
      </c>
      <c r="V10">
        <v>0</v>
      </c>
      <c r="W10">
        <v>0</v>
      </c>
      <c r="X10">
        <v>5</v>
      </c>
      <c r="Y10">
        <v>40</v>
      </c>
      <c r="Z10" s="31"/>
      <c r="AA10" s="32"/>
      <c r="AB10" s="85" t="s">
        <v>714</v>
      </c>
      <c r="AC10" s="120">
        <v>6.978902844397227E-4</v>
      </c>
      <c r="AD10" s="121">
        <v>3.1210602136115471</v>
      </c>
      <c r="AE10" s="120">
        <v>5.1036638313415247E-3</v>
      </c>
      <c r="AF10" s="121">
        <v>2.2824278406292913</v>
      </c>
      <c r="AG10" s="121"/>
      <c r="AH10" t="str">
        <f t="shared" si="0"/>
        <v>1Z</v>
      </c>
      <c r="AI10">
        <f t="shared" si="6"/>
        <v>-1.0002058917021681E-4</v>
      </c>
      <c r="AJ10" s="122">
        <f t="shared" si="1"/>
        <v>9.9999999999999995E-7</v>
      </c>
      <c r="AK10" s="122">
        <f t="shared" si="2"/>
        <v>0.2</v>
      </c>
      <c r="AL10">
        <f t="shared" si="7"/>
        <v>-1.1000777850244425E-3</v>
      </c>
      <c r="AM10" s="122">
        <f t="shared" si="3"/>
        <v>1E-3</v>
      </c>
      <c r="AN10" s="122">
        <f t="shared" si="4"/>
        <v>2E-3</v>
      </c>
      <c r="AO10">
        <f t="shared" si="5"/>
        <v>1000</v>
      </c>
      <c r="AQ10" s="122">
        <f t="shared" si="8"/>
        <v>-2.00045296174477E-3</v>
      </c>
      <c r="AR10" s="80">
        <f t="shared" si="9"/>
        <v>-2.8664290166337039E-6</v>
      </c>
      <c r="AS10" s="164">
        <f t="shared" si="10"/>
        <v>2.4300555793162654E-5</v>
      </c>
      <c r="AT10" s="83" t="e">
        <f t="shared" si="11"/>
        <v>#DIV/0!</v>
      </c>
      <c r="AU10" s="123">
        <f t="shared" si="12"/>
        <v>-2.00045296174477E-3</v>
      </c>
      <c r="AV10" s="80">
        <f t="shared" si="13"/>
        <v>-2.8664290166337039E-6</v>
      </c>
      <c r="AW10" s="123">
        <f t="shared" si="14"/>
        <v>3.0000000000000002E-2</v>
      </c>
      <c r="AX10" s="83" t="e">
        <f t="shared" si="15"/>
        <v>#DIV/0!</v>
      </c>
    </row>
    <row r="11" spans="1:50">
      <c r="A11" s="43"/>
      <c r="B11" s="44" t="s">
        <v>21</v>
      </c>
      <c r="C11" s="124" t="s">
        <v>206</v>
      </c>
      <c r="D11" s="125">
        <f>VLOOKUP(label,Results,3,FALSE)</f>
        <v>3</v>
      </c>
      <c r="E11" s="126" t="s">
        <v>239</v>
      </c>
      <c r="F11" s="43"/>
      <c r="O11" s="2"/>
      <c r="P11" s="31"/>
      <c r="Q11" s="32"/>
      <c r="R11" s="31"/>
      <c r="S11" s="85" t="s">
        <v>715</v>
      </c>
      <c r="T11">
        <v>0</v>
      </c>
      <c r="U11">
        <v>0</v>
      </c>
      <c r="V11">
        <v>0</v>
      </c>
      <c r="W11">
        <v>0</v>
      </c>
      <c r="X11">
        <v>5</v>
      </c>
      <c r="Y11">
        <v>40</v>
      </c>
      <c r="Z11" s="31"/>
      <c r="AA11" s="32"/>
      <c r="AB11" s="85" t="s">
        <v>715</v>
      </c>
      <c r="AC11" s="120">
        <v>1.6402607681742294E-2</v>
      </c>
      <c r="AD11" s="121">
        <v>4.3451656059092283</v>
      </c>
      <c r="AE11" s="120">
        <v>9.3192121072745535E-2</v>
      </c>
      <c r="AF11" s="121">
        <v>2.4687245291024866</v>
      </c>
      <c r="AG11" s="121"/>
      <c r="AH11" t="str">
        <f t="shared" si="0"/>
        <v>1Z</v>
      </c>
      <c r="AI11">
        <f t="shared" si="6"/>
        <v>0</v>
      </c>
      <c r="AJ11" s="122">
        <f t="shared" si="1"/>
        <v>9.9999999999999995E-7</v>
      </c>
      <c r="AK11" s="122">
        <f t="shared" si="2"/>
        <v>0.2</v>
      </c>
      <c r="AL11">
        <f t="shared" si="7"/>
        <v>0</v>
      </c>
      <c r="AM11" s="122">
        <f t="shared" si="3"/>
        <v>1E-3</v>
      </c>
      <c r="AN11" s="122">
        <f t="shared" si="4"/>
        <v>2E-3</v>
      </c>
      <c r="AO11">
        <f t="shared" si="5"/>
        <v>53</v>
      </c>
      <c r="AQ11" s="122">
        <f t="shared" si="8"/>
        <v>3.7735849056603774E-3</v>
      </c>
      <c r="AR11" s="80">
        <f t="shared" si="9"/>
        <v>2.3006005989283926E-7</v>
      </c>
      <c r="AS11" s="164" t="e">
        <f t="shared" si="10"/>
        <v>#DIV/0!</v>
      </c>
      <c r="AT11" s="83" t="e">
        <f t="shared" si="11"/>
        <v>#DIV/0!</v>
      </c>
      <c r="AU11" s="123">
        <f t="shared" si="12"/>
        <v>3.7735849056603774E-3</v>
      </c>
      <c r="AV11" s="80">
        <f t="shared" si="13"/>
        <v>2.3006005989283926E-7</v>
      </c>
      <c r="AW11" s="123">
        <f t="shared" si="14"/>
        <v>3.0000000000000002E-2</v>
      </c>
      <c r="AX11" s="83" t="e">
        <f t="shared" si="15"/>
        <v>#DIV/0!</v>
      </c>
    </row>
    <row r="12" spans="1:50">
      <c r="A12" s="45" t="s">
        <v>22</v>
      </c>
      <c r="B12" s="44" t="s">
        <v>23</v>
      </c>
      <c r="E12" s="46" t="s">
        <v>24</v>
      </c>
      <c r="S12" s="85" t="s">
        <v>716</v>
      </c>
      <c r="T12">
        <v>0</v>
      </c>
      <c r="U12">
        <v>0</v>
      </c>
      <c r="V12">
        <v>0</v>
      </c>
      <c r="W12">
        <v>0</v>
      </c>
      <c r="X12">
        <v>5</v>
      </c>
      <c r="Y12">
        <v>40</v>
      </c>
      <c r="AB12" s="177" t="s">
        <v>716</v>
      </c>
      <c r="AC12" s="120">
        <v>2.0558740614861773E-3</v>
      </c>
      <c r="AD12" s="121">
        <v>4.0319007489395435</v>
      </c>
      <c r="AE12" s="120">
        <v>1.2358154466849444E-2</v>
      </c>
      <c r="AF12" s="121">
        <v>2.4236334896726905</v>
      </c>
      <c r="AG12" s="121"/>
      <c r="AH12" t="str">
        <f t="shared" si="0"/>
        <v>1Z</v>
      </c>
      <c r="AI12">
        <f t="shared" si="6"/>
        <v>0</v>
      </c>
      <c r="AJ12" s="122">
        <f t="shared" si="1"/>
        <v>9.9999999999999995E-7</v>
      </c>
      <c r="AK12" s="122">
        <f t="shared" si="2"/>
        <v>0.2</v>
      </c>
      <c r="AL12">
        <f t="shared" si="7"/>
        <v>0</v>
      </c>
      <c r="AM12" s="122">
        <f t="shared" si="3"/>
        <v>1E-3</v>
      </c>
      <c r="AN12" s="122">
        <f t="shared" si="4"/>
        <v>2E-3</v>
      </c>
      <c r="AO12">
        <f t="shared" si="5"/>
        <v>400</v>
      </c>
      <c r="AQ12" s="122">
        <f t="shared" ref="AQ12:AQ55" si="16">0.2/AO12+22*AI12*AJ12*1000000</f>
        <v>5.0000000000000001E-4</v>
      </c>
      <c r="AR12" s="80">
        <f t="shared" ref="AR12:AR55" si="17">AQ12*0.000000000001/(AC12*AJ12)</f>
        <v>2.4320555882618286E-7</v>
      </c>
      <c r="AS12" s="164" t="e">
        <f t="shared" ref="AS12:AS55" si="18">0.000027+0.00027/(AI12*AJ12*1000000000000)</f>
        <v>#DIV/0!</v>
      </c>
      <c r="AT12" s="83" t="e">
        <f t="shared" ref="AT12:AT55" si="19">AS12*1000/AG12</f>
        <v>#DIV/0!</v>
      </c>
      <c r="AU12" s="123">
        <f t="shared" ref="AU12:AU55" si="20">AQ12</f>
        <v>5.0000000000000001E-4</v>
      </c>
      <c r="AV12" s="80">
        <f t="shared" ref="AV12:AV55" si="21">AU12*0.000000000001/(AC12*AJ12)</f>
        <v>2.4320555882618286E-7</v>
      </c>
      <c r="AW12" s="123">
        <f t="shared" si="14"/>
        <v>3.0000000000000002E-2</v>
      </c>
      <c r="AX12" s="83" t="e">
        <f t="shared" ref="AX12:AX55" si="22">AW12/AG12</f>
        <v>#DIV/0!</v>
      </c>
    </row>
    <row r="13" spans="1:50" ht="15.75">
      <c r="A13" s="47"/>
      <c r="B13" s="44" t="s">
        <v>207</v>
      </c>
      <c r="C13" s="45" t="s">
        <v>25</v>
      </c>
      <c r="D13" s="45" t="s">
        <v>26</v>
      </c>
      <c r="E13" s="45" t="s">
        <v>27</v>
      </c>
      <c r="F13" s="45" t="s">
        <v>28</v>
      </c>
      <c r="K13" s="127" t="s">
        <v>140</v>
      </c>
      <c r="S13" s="85" t="s">
        <v>717</v>
      </c>
      <c r="T13">
        <v>0</v>
      </c>
      <c r="U13">
        <v>0</v>
      </c>
      <c r="V13">
        <v>0</v>
      </c>
      <c r="W13">
        <v>0</v>
      </c>
      <c r="X13">
        <v>5</v>
      </c>
      <c r="Y13">
        <v>40</v>
      </c>
      <c r="AB13" s="177" t="s">
        <v>717</v>
      </c>
      <c r="AC13" s="120">
        <v>6.9789028528497235E-4</v>
      </c>
      <c r="AD13" s="121">
        <v>3.1210602202994453</v>
      </c>
      <c r="AE13" s="120">
        <v>5.1036638299709631E-3</v>
      </c>
      <c r="AF13" s="121">
        <v>2.2824278417386301</v>
      </c>
      <c r="AG13" s="121"/>
      <c r="AH13" t="str">
        <f t="shared" si="0"/>
        <v>1Z</v>
      </c>
      <c r="AI13">
        <f t="shared" si="6"/>
        <v>0</v>
      </c>
      <c r="AJ13" s="122">
        <f t="shared" si="1"/>
        <v>9.9999999999999995E-7</v>
      </c>
      <c r="AK13" s="122">
        <f t="shared" si="2"/>
        <v>0.2</v>
      </c>
      <c r="AL13">
        <f t="shared" si="7"/>
        <v>0</v>
      </c>
      <c r="AM13" s="122">
        <f t="shared" si="3"/>
        <v>1E-3</v>
      </c>
      <c r="AN13" s="122">
        <f t="shared" si="4"/>
        <v>2E-3</v>
      </c>
      <c r="AO13">
        <f t="shared" si="5"/>
        <v>1000</v>
      </c>
      <c r="AQ13" s="122">
        <f t="shared" si="16"/>
        <v>2.0000000000000001E-4</v>
      </c>
      <c r="AR13" s="80">
        <f t="shared" si="17"/>
        <v>2.8657799688146282E-7</v>
      </c>
      <c r="AS13" s="164" t="e">
        <f t="shared" si="18"/>
        <v>#DIV/0!</v>
      </c>
      <c r="AT13" s="83" t="e">
        <f t="shared" si="19"/>
        <v>#DIV/0!</v>
      </c>
      <c r="AU13" s="123">
        <f t="shared" si="20"/>
        <v>2.0000000000000001E-4</v>
      </c>
      <c r="AV13" s="80">
        <f t="shared" si="21"/>
        <v>2.8657799688146282E-7</v>
      </c>
      <c r="AW13" s="123">
        <f t="shared" si="14"/>
        <v>3.0000000000000002E-2</v>
      </c>
      <c r="AX13" s="83" t="e">
        <f t="shared" si="22"/>
        <v>#DIV/0!</v>
      </c>
    </row>
    <row r="14" spans="1:50">
      <c r="A14" s="48" t="s">
        <v>110</v>
      </c>
      <c r="B14" s="128">
        <f>2.5*0.000001*D11</f>
        <v>7.4999999999999993E-6</v>
      </c>
      <c r="C14" s="129">
        <f t="shared" ref="C14:C22" si="23">B14^2</f>
        <v>5.6249999999999993E-11</v>
      </c>
      <c r="D14" s="51">
        <v>30</v>
      </c>
      <c r="E14" s="53">
        <f t="shared" ref="E14:E22" si="24">0.5*(1/(0.01*D14)^2)</f>
        <v>5.5555555555555554</v>
      </c>
      <c r="F14" s="50">
        <f t="shared" ref="F14:F22" si="25">B14^4/E14</f>
        <v>5.6953124999999991E-22</v>
      </c>
      <c r="G14" t="s">
        <v>111</v>
      </c>
      <c r="K14" s="130"/>
      <c r="S14" s="85" t="s">
        <v>718</v>
      </c>
      <c r="T14">
        <v>0</v>
      </c>
      <c r="U14">
        <v>50</v>
      </c>
      <c r="V14">
        <v>0</v>
      </c>
      <c r="W14">
        <v>0</v>
      </c>
      <c r="X14">
        <v>2.5</v>
      </c>
      <c r="Y14">
        <v>40</v>
      </c>
      <c r="AB14" s="177" t="s">
        <v>718</v>
      </c>
      <c r="AC14" s="120">
        <v>1.6351621165685608E-2</v>
      </c>
      <c r="AD14" s="121">
        <v>4.3273149737970931</v>
      </c>
      <c r="AE14" s="120">
        <v>9.3189706385159526E-2</v>
      </c>
      <c r="AF14" s="121">
        <v>2.4654875479057492</v>
      </c>
      <c r="AG14" s="121"/>
      <c r="AH14" t="str">
        <f t="shared" si="0"/>
        <v>1Z</v>
      </c>
      <c r="AI14">
        <f t="shared" si="6"/>
        <v>4.0008235668086726E-3</v>
      </c>
      <c r="AJ14" s="122">
        <f t="shared" si="1"/>
        <v>9.9999999999999995E-7</v>
      </c>
      <c r="AK14" s="122">
        <f t="shared" si="2"/>
        <v>0.2</v>
      </c>
      <c r="AL14">
        <f t="shared" si="7"/>
        <v>105.74847733297234</v>
      </c>
      <c r="AM14" s="122">
        <f t="shared" si="3"/>
        <v>1E-3</v>
      </c>
      <c r="AN14" s="122">
        <f t="shared" si="4"/>
        <v>2E-3</v>
      </c>
      <c r="AO14">
        <f t="shared" si="5"/>
        <v>53</v>
      </c>
      <c r="AQ14" s="122">
        <f t="shared" si="16"/>
        <v>9.1791703375451172E-2</v>
      </c>
      <c r="AR14" s="80">
        <f t="shared" si="17"/>
        <v>5.6136148486658285E-6</v>
      </c>
      <c r="AS14" s="164">
        <f t="shared" si="18"/>
        <v>2.7067486105170934E-5</v>
      </c>
      <c r="AT14" s="83" t="e">
        <f t="shared" si="19"/>
        <v>#DIV/0!</v>
      </c>
      <c r="AU14" s="123">
        <f t="shared" si="20"/>
        <v>9.1791703375451172E-2</v>
      </c>
      <c r="AV14" s="80">
        <f t="shared" si="21"/>
        <v>5.6136148486658285E-6</v>
      </c>
      <c r="AW14" s="123">
        <f t="shared" si="14"/>
        <v>3.0000000000000002E-2</v>
      </c>
      <c r="AX14" s="83" t="e">
        <f t="shared" si="22"/>
        <v>#DIV/0!</v>
      </c>
    </row>
    <row r="15" spans="1:50">
      <c r="A15" s="48" t="s">
        <v>112</v>
      </c>
      <c r="B15" s="131">
        <v>1</v>
      </c>
      <c r="C15" s="129">
        <f t="shared" si="23"/>
        <v>1</v>
      </c>
      <c r="D15" s="51">
        <v>30</v>
      </c>
      <c r="E15" s="53">
        <f t="shared" si="24"/>
        <v>5.5555555555555554</v>
      </c>
      <c r="F15" s="50">
        <f t="shared" si="25"/>
        <v>0.18</v>
      </c>
      <c r="G15" t="s">
        <v>113</v>
      </c>
      <c r="K15" s="130"/>
      <c r="S15" s="85" t="s">
        <v>719</v>
      </c>
      <c r="T15">
        <v>0</v>
      </c>
      <c r="U15">
        <v>50</v>
      </c>
      <c r="V15">
        <v>0</v>
      </c>
      <c r="W15">
        <v>0</v>
      </c>
      <c r="X15">
        <v>2.5</v>
      </c>
      <c r="Y15">
        <v>40</v>
      </c>
      <c r="AB15" s="177" t="s">
        <v>719</v>
      </c>
      <c r="AC15" s="120">
        <v>1.8318578945278375E-3</v>
      </c>
      <c r="AD15" s="121">
        <v>3.4097430401211413</v>
      </c>
      <c r="AE15" s="120">
        <v>1.2560463673100474E-2</v>
      </c>
      <c r="AF15" s="121">
        <v>2.3058987467500871</v>
      </c>
      <c r="AG15" s="121"/>
      <c r="AH15" t="str">
        <f t="shared" si="0"/>
        <v>1Z</v>
      </c>
      <c r="AI15">
        <f t="shared" si="6"/>
        <v>7.6015647769364777E-3</v>
      </c>
      <c r="AJ15" s="122">
        <f t="shared" si="1"/>
        <v>9.9999999999999995E-7</v>
      </c>
      <c r="AK15" s="122">
        <f t="shared" si="2"/>
        <v>0.2</v>
      </c>
      <c r="AL15">
        <f t="shared" si="7"/>
        <v>105.76097821689306</v>
      </c>
      <c r="AM15" s="122">
        <f t="shared" si="3"/>
        <v>1E-3</v>
      </c>
      <c r="AN15" s="122">
        <f t="shared" si="4"/>
        <v>2E-3</v>
      </c>
      <c r="AO15">
        <f t="shared" si="5"/>
        <v>400</v>
      </c>
      <c r="AQ15" s="122">
        <f t="shared" si="16"/>
        <v>0.1677344250926025</v>
      </c>
      <c r="AR15" s="80">
        <f t="shared" si="17"/>
        <v>9.1565194873282545E-5</v>
      </c>
      <c r="AS15" s="164">
        <f t="shared" si="18"/>
        <v>2.7035519002721541E-5</v>
      </c>
      <c r="AT15" s="83" t="e">
        <f t="shared" si="19"/>
        <v>#DIV/0!</v>
      </c>
      <c r="AU15" s="123">
        <f t="shared" si="20"/>
        <v>0.1677344250926025</v>
      </c>
      <c r="AV15" s="80">
        <f t="shared" si="21"/>
        <v>9.1565194873282545E-5</v>
      </c>
      <c r="AW15" s="123">
        <f t="shared" si="14"/>
        <v>3.0000000000000002E-2</v>
      </c>
      <c r="AX15" s="83" t="e">
        <f t="shared" si="22"/>
        <v>#DIV/0!</v>
      </c>
    </row>
    <row r="16" spans="1:50">
      <c r="A16" s="48" t="s">
        <v>114</v>
      </c>
      <c r="B16" s="128">
        <f>17*0.000001*D11</f>
        <v>5.1E-5</v>
      </c>
      <c r="C16" s="129">
        <f t="shared" si="23"/>
        <v>2.601E-9</v>
      </c>
      <c r="D16" s="51">
        <v>30</v>
      </c>
      <c r="E16" s="53">
        <f t="shared" si="24"/>
        <v>5.5555555555555554</v>
      </c>
      <c r="F16" s="50">
        <f t="shared" si="25"/>
        <v>1.2177361800000001E-18</v>
      </c>
      <c r="G16" t="s">
        <v>208</v>
      </c>
      <c r="K16" s="132" t="s">
        <v>209</v>
      </c>
      <c r="S16" s="85" t="s">
        <v>720</v>
      </c>
      <c r="T16">
        <v>0</v>
      </c>
      <c r="U16">
        <v>50</v>
      </c>
      <c r="V16">
        <v>0</v>
      </c>
      <c r="W16">
        <v>0</v>
      </c>
      <c r="X16">
        <v>2.5</v>
      </c>
      <c r="Y16">
        <v>40</v>
      </c>
      <c r="AB16" s="177" t="s">
        <v>720</v>
      </c>
      <c r="AC16" s="120">
        <v>6.5740539824950966E-4</v>
      </c>
      <c r="AD16" s="121">
        <v>2.3443834525516256</v>
      </c>
      <c r="AE16" s="120">
        <v>6.2536462527740481E-3</v>
      </c>
      <c r="AF16" s="121">
        <v>2.1236658274763913</v>
      </c>
      <c r="AG16" s="121"/>
      <c r="AH16" t="str">
        <f t="shared" si="0"/>
        <v>1Z</v>
      </c>
      <c r="AI16">
        <f t="shared" si="6"/>
        <v>7.2014824202556102E-3</v>
      </c>
      <c r="AJ16" s="122">
        <f t="shared" si="1"/>
        <v>9.9999999999999995E-7</v>
      </c>
      <c r="AK16" s="122">
        <f t="shared" si="2"/>
        <v>0.2</v>
      </c>
      <c r="AL16">
        <f t="shared" si="7"/>
        <v>105.7673786694605</v>
      </c>
      <c r="AM16" s="122">
        <f t="shared" si="3"/>
        <v>1E-3</v>
      </c>
      <c r="AN16" s="122">
        <f t="shared" si="4"/>
        <v>2E-3</v>
      </c>
      <c r="AO16">
        <f t="shared" si="5"/>
        <v>1000</v>
      </c>
      <c r="AQ16" s="122">
        <f t="shared" si="16"/>
        <v>0.15863261324562342</v>
      </c>
      <c r="AR16" s="80">
        <f t="shared" si="17"/>
        <v>2.4130105056639113E-4</v>
      </c>
      <c r="AS16" s="164">
        <f t="shared" si="18"/>
        <v>2.7037492280650518E-5</v>
      </c>
      <c r="AT16" s="83" t="e">
        <f t="shared" si="19"/>
        <v>#DIV/0!</v>
      </c>
      <c r="AU16" s="123">
        <f t="shared" si="20"/>
        <v>0.15863261324562342</v>
      </c>
      <c r="AV16" s="80">
        <f t="shared" si="21"/>
        <v>2.4130105056639113E-4</v>
      </c>
      <c r="AW16" s="123">
        <f t="shared" si="14"/>
        <v>3.0000000000000002E-2</v>
      </c>
      <c r="AX16" s="83" t="e">
        <f t="shared" si="22"/>
        <v>#DIV/0!</v>
      </c>
    </row>
    <row r="17" spans="1:50">
      <c r="A17" s="54" t="s">
        <v>115</v>
      </c>
      <c r="B17" s="133">
        <f>2*0.000001*D11</f>
        <v>6.0000000000000002E-6</v>
      </c>
      <c r="C17" s="129">
        <f t="shared" si="23"/>
        <v>3.6000000000000005E-11</v>
      </c>
      <c r="D17" s="51">
        <v>50</v>
      </c>
      <c r="E17" s="53">
        <f t="shared" si="24"/>
        <v>2</v>
      </c>
      <c r="F17" s="50">
        <f t="shared" si="25"/>
        <v>6.480000000000002E-22</v>
      </c>
      <c r="G17" t="s">
        <v>116</v>
      </c>
      <c r="K17" s="130"/>
      <c r="S17" s="85" t="s">
        <v>721</v>
      </c>
      <c r="T17">
        <v>-60</v>
      </c>
      <c r="U17">
        <v>30</v>
      </c>
      <c r="V17">
        <v>0</v>
      </c>
      <c r="W17">
        <v>0</v>
      </c>
      <c r="X17">
        <v>1</v>
      </c>
      <c r="Y17">
        <v>40</v>
      </c>
      <c r="AB17" s="177" t="s">
        <v>721</v>
      </c>
      <c r="AC17" s="120">
        <v>1.3624241396770874E-2</v>
      </c>
      <c r="AD17" s="121">
        <v>3.3289953593289776</v>
      </c>
      <c r="AE17" s="120">
        <v>0.10835524331305121</v>
      </c>
      <c r="AF17" s="121">
        <v>2.1215327794274721</v>
      </c>
      <c r="AG17" s="121"/>
      <c r="AH17" t="str">
        <f t="shared" si="0"/>
        <v>1Z</v>
      </c>
      <c r="AI17">
        <f t="shared" si="6"/>
        <v>8.0016471336173452E-3</v>
      </c>
      <c r="AJ17" s="122">
        <f t="shared" si="1"/>
        <v>9.9999999999999995E-7</v>
      </c>
      <c r="AK17" s="122">
        <f t="shared" si="2"/>
        <v>0.2</v>
      </c>
      <c r="AL17">
        <f t="shared" si="7"/>
        <v>988.16687195390602</v>
      </c>
      <c r="AM17" s="122">
        <f t="shared" si="3"/>
        <v>1E-3</v>
      </c>
      <c r="AN17" s="122">
        <f t="shared" si="4"/>
        <v>2E-3</v>
      </c>
      <c r="AO17">
        <f t="shared" si="5"/>
        <v>53</v>
      </c>
      <c r="AQ17" s="122">
        <f t="shared" si="16"/>
        <v>0.17980982184524197</v>
      </c>
      <c r="AR17" s="80">
        <f t="shared" si="17"/>
        <v>1.3197785961709346E-5</v>
      </c>
      <c r="AS17" s="164">
        <f t="shared" si="18"/>
        <v>2.7033743052585465E-5</v>
      </c>
      <c r="AT17" s="83" t="e">
        <f t="shared" si="19"/>
        <v>#DIV/0!</v>
      </c>
      <c r="AU17" s="123">
        <f t="shared" si="20"/>
        <v>0.17980982184524197</v>
      </c>
      <c r="AV17" s="80">
        <f t="shared" si="21"/>
        <v>1.3197785961709346E-5</v>
      </c>
      <c r="AW17" s="123">
        <f t="shared" si="14"/>
        <v>3.0000000000000002E-2</v>
      </c>
      <c r="AX17" s="83" t="e">
        <f t="shared" si="22"/>
        <v>#DIV/0!</v>
      </c>
    </row>
    <row r="18" spans="1:50">
      <c r="A18" s="54" t="s">
        <v>117</v>
      </c>
      <c r="B18" s="133">
        <f>2*0.5*0.000001*D11</f>
        <v>3.0000000000000001E-6</v>
      </c>
      <c r="C18" s="129">
        <f t="shared" si="23"/>
        <v>9.0000000000000012E-12</v>
      </c>
      <c r="D18" s="51">
        <v>30</v>
      </c>
      <c r="E18" s="53">
        <f t="shared" si="24"/>
        <v>5.5555555555555554</v>
      </c>
      <c r="F18" s="50">
        <f t="shared" si="25"/>
        <v>1.4580000000000004E-23</v>
      </c>
      <c r="G18" t="s">
        <v>118</v>
      </c>
      <c r="K18" s="130"/>
      <c r="S18" s="85" t="s">
        <v>722</v>
      </c>
      <c r="T18">
        <v>-60</v>
      </c>
      <c r="U18">
        <v>30</v>
      </c>
      <c r="V18">
        <v>0</v>
      </c>
      <c r="W18">
        <v>0</v>
      </c>
      <c r="X18">
        <v>1</v>
      </c>
      <c r="Y18">
        <v>40</v>
      </c>
      <c r="AB18" s="177" t="s">
        <v>722</v>
      </c>
      <c r="AC18" s="120">
        <v>3.5338335537320013E-3</v>
      </c>
      <c r="AD18" s="121">
        <v>2.1273474722920076</v>
      </c>
      <c r="AE18" s="120">
        <v>7.2695334178063856E-2</v>
      </c>
      <c r="AF18" s="121">
        <v>2.0902276737970591</v>
      </c>
      <c r="AG18" s="121"/>
      <c r="AH18" t="str">
        <f t="shared" si="0"/>
        <v>1Z</v>
      </c>
      <c r="AI18">
        <f t="shared" si="6"/>
        <v>5.8011941718725752E-3</v>
      </c>
      <c r="AJ18" s="122">
        <f t="shared" si="1"/>
        <v>9.9999999999999995E-7</v>
      </c>
      <c r="AK18" s="122">
        <f t="shared" si="2"/>
        <v>0.2</v>
      </c>
      <c r="AL18">
        <f t="shared" si="7"/>
        <v>988.16637191854909</v>
      </c>
      <c r="AM18" s="122">
        <f t="shared" si="3"/>
        <v>1E-3</v>
      </c>
      <c r="AN18" s="122">
        <f t="shared" si="4"/>
        <v>2E-3</v>
      </c>
      <c r="AO18">
        <f t="shared" si="5"/>
        <v>400</v>
      </c>
      <c r="AQ18" s="122">
        <f t="shared" si="16"/>
        <v>0.12812627178119662</v>
      </c>
      <c r="AR18" s="80">
        <f t="shared" si="17"/>
        <v>3.6257019419006132E-5</v>
      </c>
      <c r="AS18" s="164">
        <f t="shared" si="18"/>
        <v>2.7046542141497194E-5</v>
      </c>
      <c r="AT18" s="83" t="e">
        <f t="shared" si="19"/>
        <v>#DIV/0!</v>
      </c>
      <c r="AU18" s="123">
        <f t="shared" si="20"/>
        <v>0.12812627178119662</v>
      </c>
      <c r="AV18" s="80">
        <f t="shared" si="21"/>
        <v>3.6257019419006132E-5</v>
      </c>
      <c r="AW18" s="123">
        <f t="shared" si="14"/>
        <v>3.0000000000000002E-2</v>
      </c>
      <c r="AX18" s="83" t="e">
        <f t="shared" si="22"/>
        <v>#DIV/0!</v>
      </c>
    </row>
    <row r="19" spans="1:50">
      <c r="A19" s="54" t="s">
        <v>119</v>
      </c>
      <c r="B19" s="133">
        <f>5*0.000001*D11</f>
        <v>1.4999999999999999E-5</v>
      </c>
      <c r="C19" s="129">
        <f t="shared" si="23"/>
        <v>2.2499999999999997E-10</v>
      </c>
      <c r="D19" s="51">
        <v>50</v>
      </c>
      <c r="E19" s="53">
        <f t="shared" si="24"/>
        <v>2</v>
      </c>
      <c r="F19" s="50">
        <f t="shared" si="25"/>
        <v>2.5312499999999995E-20</v>
      </c>
      <c r="G19" t="s">
        <v>210</v>
      </c>
      <c r="K19" s="132" t="s">
        <v>141</v>
      </c>
      <c r="S19" s="85" t="s">
        <v>723</v>
      </c>
      <c r="T19">
        <v>-60</v>
      </c>
      <c r="U19">
        <v>30</v>
      </c>
      <c r="V19">
        <v>0</v>
      </c>
      <c r="W19">
        <v>0</v>
      </c>
      <c r="X19">
        <v>1</v>
      </c>
      <c r="Y19">
        <v>40</v>
      </c>
      <c r="AB19" s="85" t="s">
        <v>723</v>
      </c>
      <c r="AC19" s="120">
        <v>3.4257453101462893E-3</v>
      </c>
      <c r="AD19" s="121">
        <v>2.1455422027496849</v>
      </c>
      <c r="AE19" s="120">
        <v>7.2221724339391169E-2</v>
      </c>
      <c r="AF19" s="121">
        <v>2.0948813605467866</v>
      </c>
      <c r="AG19" s="121"/>
      <c r="AH19" t="str">
        <f t="shared" si="0"/>
        <v>1Z</v>
      </c>
      <c r="AI19">
        <f t="shared" si="6"/>
        <v>5.4011118151917085E-3</v>
      </c>
      <c r="AJ19" s="122">
        <f t="shared" si="1"/>
        <v>9.9999999999999995E-7</v>
      </c>
      <c r="AK19" s="122">
        <f t="shared" si="2"/>
        <v>0.2</v>
      </c>
      <c r="AL19">
        <f t="shared" si="7"/>
        <v>988.16117155083816</v>
      </c>
      <c r="AM19" s="122">
        <f t="shared" si="3"/>
        <v>1E-3</v>
      </c>
      <c r="AN19" s="122">
        <f t="shared" si="4"/>
        <v>2E-3</v>
      </c>
      <c r="AO19">
        <f t="shared" si="5"/>
        <v>1000</v>
      </c>
      <c r="AQ19" s="122">
        <f t="shared" si="16"/>
        <v>0.11902445993421758</v>
      </c>
      <c r="AR19" s="80">
        <f t="shared" si="17"/>
        <v>3.474410651068946E-5</v>
      </c>
      <c r="AS19" s="164">
        <f t="shared" si="18"/>
        <v>2.7049989707534024E-5</v>
      </c>
      <c r="AT19" s="83" t="e">
        <f t="shared" si="19"/>
        <v>#DIV/0!</v>
      </c>
      <c r="AU19" s="123">
        <f t="shared" si="20"/>
        <v>0.11902445993421758</v>
      </c>
      <c r="AV19" s="80">
        <f t="shared" si="21"/>
        <v>3.474410651068946E-5</v>
      </c>
      <c r="AW19" s="123">
        <f t="shared" si="14"/>
        <v>3.0000000000000002E-2</v>
      </c>
      <c r="AX19" s="83" t="e">
        <f t="shared" si="22"/>
        <v>#DIV/0!</v>
      </c>
    </row>
    <row r="20" spans="1:50">
      <c r="A20" s="54" t="s">
        <v>241</v>
      </c>
      <c r="B20" s="133">
        <f>16*D34/10000000</f>
        <v>16.005067199999999</v>
      </c>
      <c r="C20" s="129">
        <f t="shared" si="23"/>
        <v>256.16217607651583</v>
      </c>
      <c r="D20" s="51" t="s">
        <v>125</v>
      </c>
      <c r="E20" s="52">
        <v>13</v>
      </c>
      <c r="F20" s="50">
        <f t="shared" si="25"/>
        <v>5047.6200347889153</v>
      </c>
      <c r="G20" t="s">
        <v>211</v>
      </c>
      <c r="K20" s="132" t="s">
        <v>212</v>
      </c>
      <c r="S20" s="85" t="s">
        <v>715</v>
      </c>
      <c r="T20">
        <v>0</v>
      </c>
      <c r="U20">
        <v>0</v>
      </c>
      <c r="V20">
        <v>0</v>
      </c>
      <c r="W20">
        <v>0</v>
      </c>
      <c r="X20">
        <v>5</v>
      </c>
      <c r="Y20">
        <v>40</v>
      </c>
      <c r="AB20" s="85" t="s">
        <v>715</v>
      </c>
      <c r="AC20" s="120">
        <v>1.6402607681742294E-2</v>
      </c>
      <c r="AD20" s="121">
        <v>4.3451656059092283</v>
      </c>
      <c r="AE20" s="120">
        <v>9.3192121072745535E-2</v>
      </c>
      <c r="AF20" s="121">
        <v>2.4687245291024866</v>
      </c>
      <c r="AG20" s="121"/>
      <c r="AH20" t="str">
        <f t="shared" si="0"/>
        <v>1Z</v>
      </c>
      <c r="AI20">
        <f t="shared" si="6"/>
        <v>0</v>
      </c>
      <c r="AJ20" s="122">
        <f t="shared" si="1"/>
        <v>9.9999999999999995E-7</v>
      </c>
      <c r="AK20" s="122">
        <f t="shared" si="2"/>
        <v>0.2</v>
      </c>
      <c r="AL20">
        <f t="shared" si="7"/>
        <v>0</v>
      </c>
      <c r="AM20" s="122">
        <f t="shared" si="3"/>
        <v>1E-3</v>
      </c>
      <c r="AN20" s="122">
        <f t="shared" si="4"/>
        <v>2E-3</v>
      </c>
      <c r="AO20">
        <f t="shared" si="5"/>
        <v>53</v>
      </c>
      <c r="AQ20" s="122">
        <f t="shared" si="16"/>
        <v>3.7735849056603774E-3</v>
      </c>
      <c r="AR20" s="80">
        <f t="shared" si="17"/>
        <v>2.3006005989283926E-7</v>
      </c>
      <c r="AS20" s="164" t="e">
        <f t="shared" si="18"/>
        <v>#DIV/0!</v>
      </c>
      <c r="AT20" s="83" t="e">
        <f t="shared" si="19"/>
        <v>#DIV/0!</v>
      </c>
      <c r="AU20" s="123">
        <f t="shared" si="20"/>
        <v>3.7735849056603774E-3</v>
      </c>
      <c r="AV20" s="80">
        <f t="shared" si="21"/>
        <v>2.3006005989283926E-7</v>
      </c>
      <c r="AW20" s="123">
        <f t="shared" si="14"/>
        <v>3.0000000000000002E-2</v>
      </c>
      <c r="AX20" s="83" t="e">
        <f t="shared" si="22"/>
        <v>#DIV/0!</v>
      </c>
    </row>
    <row r="21" spans="1:50">
      <c r="A21" s="54" t="s">
        <v>120</v>
      </c>
      <c r="B21" s="134">
        <f>2000/(VLOOKUP(label,Results,9,FALSE))</f>
        <v>2</v>
      </c>
      <c r="C21" s="129">
        <f t="shared" si="23"/>
        <v>4</v>
      </c>
      <c r="D21" s="55">
        <v>50</v>
      </c>
      <c r="E21" s="53">
        <f t="shared" si="24"/>
        <v>2</v>
      </c>
      <c r="F21" s="50">
        <f t="shared" si="25"/>
        <v>8</v>
      </c>
      <c r="G21" t="s">
        <v>121</v>
      </c>
      <c r="K21" s="135" t="s">
        <v>213</v>
      </c>
      <c r="S21" s="85" t="s">
        <v>716</v>
      </c>
      <c r="T21">
        <v>0</v>
      </c>
      <c r="U21">
        <v>0</v>
      </c>
      <c r="V21">
        <v>0</v>
      </c>
      <c r="W21">
        <v>0</v>
      </c>
      <c r="X21">
        <v>5</v>
      </c>
      <c r="Y21">
        <v>40</v>
      </c>
      <c r="AB21" s="85" t="s">
        <v>716</v>
      </c>
      <c r="AC21" s="120">
        <v>2.0558740614861773E-3</v>
      </c>
      <c r="AD21" s="121">
        <v>4.0319007489395435</v>
      </c>
      <c r="AE21" s="120">
        <v>1.2358154466849444E-2</v>
      </c>
      <c r="AF21" s="121">
        <v>2.4236334896726905</v>
      </c>
      <c r="AG21" s="121"/>
      <c r="AH21" t="str">
        <f t="shared" si="0"/>
        <v>1Z</v>
      </c>
      <c r="AI21">
        <f t="shared" si="6"/>
        <v>0</v>
      </c>
      <c r="AJ21" s="122">
        <f t="shared" si="1"/>
        <v>9.9999999999999995E-7</v>
      </c>
      <c r="AK21" s="122">
        <f t="shared" si="2"/>
        <v>0.2</v>
      </c>
      <c r="AL21">
        <f t="shared" si="7"/>
        <v>0</v>
      </c>
      <c r="AM21" s="122">
        <f t="shared" si="3"/>
        <v>1E-3</v>
      </c>
      <c r="AN21" s="122">
        <f t="shared" si="4"/>
        <v>2E-3</v>
      </c>
      <c r="AO21">
        <f t="shared" si="5"/>
        <v>400</v>
      </c>
      <c r="AQ21" s="122">
        <f t="shared" si="16"/>
        <v>5.0000000000000001E-4</v>
      </c>
      <c r="AR21" s="80">
        <f t="shared" si="17"/>
        <v>2.4320555882618286E-7</v>
      </c>
      <c r="AS21" s="164" t="e">
        <f t="shared" si="18"/>
        <v>#DIV/0!</v>
      </c>
      <c r="AT21" s="83" t="e">
        <f t="shared" si="19"/>
        <v>#DIV/0!</v>
      </c>
      <c r="AU21" s="123">
        <f t="shared" si="20"/>
        <v>5.0000000000000001E-4</v>
      </c>
      <c r="AV21" s="80">
        <f t="shared" si="21"/>
        <v>2.4320555882618286E-7</v>
      </c>
      <c r="AW21" s="123">
        <f t="shared" si="14"/>
        <v>3.0000000000000002E-2</v>
      </c>
      <c r="AX21" s="83" t="e">
        <f t="shared" si="22"/>
        <v>#DIV/0!</v>
      </c>
    </row>
    <row r="22" spans="1:50">
      <c r="A22" s="54"/>
      <c r="B22" s="53">
        <v>0</v>
      </c>
      <c r="C22" s="129">
        <f t="shared" si="23"/>
        <v>0</v>
      </c>
      <c r="D22" s="51">
        <v>1</v>
      </c>
      <c r="E22" s="52">
        <f t="shared" si="24"/>
        <v>5000</v>
      </c>
      <c r="F22" s="50">
        <f t="shared" si="25"/>
        <v>0</v>
      </c>
      <c r="S22" s="85" t="s">
        <v>717</v>
      </c>
      <c r="T22">
        <v>0</v>
      </c>
      <c r="U22">
        <v>0</v>
      </c>
      <c r="V22">
        <v>0</v>
      </c>
      <c r="W22">
        <v>0</v>
      </c>
      <c r="X22">
        <v>5</v>
      </c>
      <c r="Y22">
        <v>40</v>
      </c>
      <c r="AB22" s="85" t="s">
        <v>717</v>
      </c>
      <c r="AC22" s="120">
        <v>6.9789028528497235E-4</v>
      </c>
      <c r="AD22" s="121">
        <v>3.1210602202994453</v>
      </c>
      <c r="AE22" s="120">
        <v>5.1036638299709631E-3</v>
      </c>
      <c r="AF22" s="121">
        <v>2.2824278417386301</v>
      </c>
      <c r="AG22" s="121"/>
      <c r="AH22" t="str">
        <f t="shared" si="0"/>
        <v>1Z</v>
      </c>
      <c r="AI22">
        <f t="shared" si="6"/>
        <v>0</v>
      </c>
      <c r="AJ22" s="122">
        <f t="shared" si="1"/>
        <v>9.9999999999999995E-7</v>
      </c>
      <c r="AK22" s="122">
        <f t="shared" si="2"/>
        <v>0.2</v>
      </c>
      <c r="AL22">
        <f t="shared" si="7"/>
        <v>0</v>
      </c>
      <c r="AM22" s="122">
        <f t="shared" si="3"/>
        <v>1E-3</v>
      </c>
      <c r="AN22" s="122">
        <f t="shared" si="4"/>
        <v>2E-3</v>
      </c>
      <c r="AO22">
        <f t="shared" si="5"/>
        <v>1000</v>
      </c>
      <c r="AQ22" s="122">
        <f t="shared" si="16"/>
        <v>2.0000000000000001E-4</v>
      </c>
      <c r="AR22" s="80">
        <f t="shared" si="17"/>
        <v>2.8657799688146282E-7</v>
      </c>
      <c r="AS22" s="164" t="e">
        <f t="shared" si="18"/>
        <v>#DIV/0!</v>
      </c>
      <c r="AT22" s="83" t="e">
        <f t="shared" si="19"/>
        <v>#DIV/0!</v>
      </c>
      <c r="AU22" s="123">
        <f t="shared" si="20"/>
        <v>2.0000000000000001E-4</v>
      </c>
      <c r="AV22" s="80">
        <f t="shared" si="21"/>
        <v>2.8657799688146282E-7</v>
      </c>
      <c r="AW22" s="123">
        <f t="shared" si="14"/>
        <v>3.0000000000000002E-2</v>
      </c>
      <c r="AX22" s="83" t="e">
        <f t="shared" si="22"/>
        <v>#DIV/0!</v>
      </c>
    </row>
    <row r="23" spans="1:50" ht="13.5" thickBot="1">
      <c r="B23" s="56" t="s">
        <v>29</v>
      </c>
      <c r="C23" s="129">
        <f>SUM(C14:C22)</f>
        <v>261.1621760794431</v>
      </c>
      <c r="E23" s="26" t="s">
        <v>30</v>
      </c>
      <c r="F23" s="129">
        <f>SUM(F14:F22)</f>
        <v>5055.8000347889156</v>
      </c>
      <c r="S23" s="85" t="s">
        <v>724</v>
      </c>
      <c r="T23">
        <v>-60</v>
      </c>
      <c r="U23">
        <v>30</v>
      </c>
      <c r="V23">
        <v>0</v>
      </c>
      <c r="W23">
        <v>0</v>
      </c>
      <c r="AB23" s="85" t="s">
        <v>724</v>
      </c>
      <c r="AC23" s="120">
        <v>0.13614075261769734</v>
      </c>
      <c r="AD23" s="121">
        <v>3.3249354970747982</v>
      </c>
      <c r="AE23" s="120">
        <v>1.0848052900017189E-3</v>
      </c>
      <c r="AF23" s="121">
        <v>2.120930930793508</v>
      </c>
      <c r="AG23" s="121"/>
      <c r="AH23" t="str">
        <f t="shared" si="0"/>
        <v>2Z</v>
      </c>
      <c r="AI23">
        <f t="shared" si="6"/>
        <v>4.0008235668086728E-2</v>
      </c>
      <c r="AJ23" s="122">
        <f t="shared" si="1"/>
        <v>9.9999999999999995E-7</v>
      </c>
      <c r="AK23" s="122">
        <f t="shared" si="2"/>
        <v>2</v>
      </c>
      <c r="AL23">
        <f t="shared" si="7"/>
        <v>9.9130309371193928</v>
      </c>
      <c r="AM23" s="122">
        <f t="shared" si="3"/>
        <v>1</v>
      </c>
      <c r="AN23" s="122">
        <f t="shared" si="4"/>
        <v>0.02</v>
      </c>
      <c r="AO23">
        <f t="shared" si="5"/>
        <v>53</v>
      </c>
      <c r="AQ23" s="122">
        <f t="shared" si="16"/>
        <v>0.88395476960356834</v>
      </c>
      <c r="AR23" s="80">
        <f t="shared" si="17"/>
        <v>6.4929475752630779E-6</v>
      </c>
      <c r="AS23" s="164">
        <f t="shared" si="18"/>
        <v>2.7006748610517091E-5</v>
      </c>
      <c r="AT23" s="83" t="e">
        <f t="shared" si="19"/>
        <v>#DIV/0!</v>
      </c>
      <c r="AU23" s="123">
        <f t="shared" si="20"/>
        <v>0.88395476960356834</v>
      </c>
      <c r="AV23" s="80">
        <f t="shared" si="21"/>
        <v>6.4929475752630779E-6</v>
      </c>
      <c r="AW23" s="123">
        <f t="shared" si="14"/>
        <v>3.0000000000000002E-2</v>
      </c>
      <c r="AX23" s="83" t="e">
        <f t="shared" si="22"/>
        <v>#DIV/0!</v>
      </c>
    </row>
    <row r="24" spans="1:50">
      <c r="B24" s="56" t="s">
        <v>214</v>
      </c>
      <c r="C24" s="136">
        <f>SQRT(C23)</f>
        <v>16.160512865606805</v>
      </c>
      <c r="E24" s="57" t="s">
        <v>31</v>
      </c>
      <c r="F24" s="137">
        <f>L_standard_uncertainty^4/F23</f>
        <v>13.490581459952395</v>
      </c>
      <c r="S24" s="85" t="s">
        <v>725</v>
      </c>
      <c r="T24">
        <v>-60</v>
      </c>
      <c r="U24">
        <v>30</v>
      </c>
      <c r="V24">
        <v>0</v>
      </c>
      <c r="W24">
        <v>0</v>
      </c>
      <c r="AB24" s="85" t="s">
        <v>725</v>
      </c>
      <c r="AC24" s="120">
        <v>3.5441121808203011E-2</v>
      </c>
      <c r="AD24" s="121">
        <v>2.1274221528227022</v>
      </c>
      <c r="AE24" s="120">
        <v>7.2922165524110351E-4</v>
      </c>
      <c r="AF24" s="121">
        <v>2.0902620821448168</v>
      </c>
      <c r="AG24" s="121"/>
      <c r="AH24" t="str">
        <f t="shared" si="0"/>
        <v>2Z</v>
      </c>
      <c r="AI24">
        <f t="shared" si="6"/>
        <v>5.001029458510841E-3</v>
      </c>
      <c r="AJ24" s="122">
        <f t="shared" si="1"/>
        <v>9.9999999999999995E-7</v>
      </c>
      <c r="AK24" s="122">
        <f t="shared" si="2"/>
        <v>2</v>
      </c>
      <c r="AL24">
        <f t="shared" si="7"/>
        <v>9.9129789334422806</v>
      </c>
      <c r="AM24" s="122">
        <f t="shared" si="3"/>
        <v>1</v>
      </c>
      <c r="AN24" s="122">
        <f t="shared" si="4"/>
        <v>0.02</v>
      </c>
      <c r="AO24">
        <f t="shared" si="5"/>
        <v>400</v>
      </c>
      <c r="AQ24" s="122">
        <f t="shared" si="16"/>
        <v>0.1105226480872385</v>
      </c>
      <c r="AR24" s="80">
        <f t="shared" si="17"/>
        <v>3.1184861665879191E-6</v>
      </c>
      <c r="AS24" s="164">
        <f t="shared" si="18"/>
        <v>2.7053988884136747E-5</v>
      </c>
      <c r="AT24" s="83" t="e">
        <f t="shared" si="19"/>
        <v>#DIV/0!</v>
      </c>
      <c r="AU24" s="123">
        <f t="shared" si="20"/>
        <v>0.1105226480872385</v>
      </c>
      <c r="AV24" s="80">
        <f t="shared" si="21"/>
        <v>3.1184861665879191E-6</v>
      </c>
      <c r="AW24" s="123">
        <f t="shared" si="14"/>
        <v>3.0000000000000002E-2</v>
      </c>
      <c r="AX24" s="83" t="e">
        <f t="shared" si="22"/>
        <v>#DIV/0!</v>
      </c>
    </row>
    <row r="25" spans="1:50">
      <c r="B25" s="33"/>
      <c r="E25" s="58" t="s">
        <v>17</v>
      </c>
      <c r="F25" s="138">
        <f>$G$3+$G$4/F24+$G$5/F24^2+$G$6/F24^3</f>
        <v>2.1457151255937377</v>
      </c>
      <c r="S25" s="85" t="s">
        <v>726</v>
      </c>
      <c r="T25">
        <v>-60</v>
      </c>
      <c r="U25">
        <v>30</v>
      </c>
      <c r="V25">
        <v>0</v>
      </c>
      <c r="W25">
        <v>0</v>
      </c>
      <c r="AB25" s="85" t="s">
        <v>726</v>
      </c>
      <c r="AC25" s="120">
        <v>3.4364273164395796E-2</v>
      </c>
      <c r="AD25" s="121">
        <v>2.1455868996369518</v>
      </c>
      <c r="AE25" s="120">
        <v>7.2449178928824345E-4</v>
      </c>
      <c r="AF25" s="121">
        <v>2.094888752803989</v>
      </c>
      <c r="AG25" s="121"/>
      <c r="AH25" t="str">
        <f t="shared" si="0"/>
        <v>2Z</v>
      </c>
      <c r="AI25">
        <f t="shared" si="6"/>
        <v>4.0008235668086726E-3</v>
      </c>
      <c r="AJ25" s="122">
        <f t="shared" si="1"/>
        <v>9.9999999999999995E-7</v>
      </c>
      <c r="AK25" s="122">
        <f t="shared" si="2"/>
        <v>2</v>
      </c>
      <c r="AL25">
        <f t="shared" si="7"/>
        <v>9.9128379234716544</v>
      </c>
      <c r="AM25" s="122">
        <f t="shared" si="3"/>
        <v>1</v>
      </c>
      <c r="AN25" s="122">
        <f t="shared" si="4"/>
        <v>0.02</v>
      </c>
      <c r="AO25">
        <f t="shared" si="5"/>
        <v>1000</v>
      </c>
      <c r="AQ25" s="122">
        <f t="shared" si="16"/>
        <v>8.8218118469790802E-2</v>
      </c>
      <c r="AR25" s="80">
        <f t="shared" si="17"/>
        <v>2.5671463513214071E-6</v>
      </c>
      <c r="AS25" s="164">
        <f t="shared" si="18"/>
        <v>2.7067486105170934E-5</v>
      </c>
      <c r="AT25" s="83" t="e">
        <f t="shared" si="19"/>
        <v>#DIV/0!</v>
      </c>
      <c r="AU25" s="123">
        <f t="shared" si="20"/>
        <v>8.8218118469790802E-2</v>
      </c>
      <c r="AV25" s="80">
        <f t="shared" si="21"/>
        <v>2.5671463513214071E-6</v>
      </c>
      <c r="AW25" s="123">
        <f t="shared" si="14"/>
        <v>3.0000000000000002E-2</v>
      </c>
      <c r="AX25" s="83" t="e">
        <f t="shared" si="22"/>
        <v>#DIV/0!</v>
      </c>
    </row>
    <row r="26" spans="1:50" ht="13.5" thickBot="1">
      <c r="A26" s="26" t="s">
        <v>32</v>
      </c>
      <c r="B26" s="33"/>
      <c r="E26" s="59" t="s">
        <v>122</v>
      </c>
      <c r="F26" s="139">
        <f>F25*L_standard_uncertainty</f>
        <v>34.67585689308472</v>
      </c>
      <c r="S26" s="85" t="s">
        <v>715</v>
      </c>
      <c r="T26">
        <v>0</v>
      </c>
      <c r="U26">
        <v>0</v>
      </c>
      <c r="V26">
        <v>0</v>
      </c>
      <c r="W26">
        <v>0</v>
      </c>
      <c r="AB26" s="85" t="s">
        <v>715</v>
      </c>
      <c r="AC26" s="120">
        <v>1.6402607681742294E-2</v>
      </c>
      <c r="AD26" s="121">
        <v>4.3451656059092283</v>
      </c>
      <c r="AE26" s="120">
        <v>9.3192121072745535E-2</v>
      </c>
      <c r="AF26" s="121">
        <v>2.4687245291024866</v>
      </c>
      <c r="AG26" s="121"/>
      <c r="AH26" t="str">
        <f t="shared" si="0"/>
        <v>1Z</v>
      </c>
      <c r="AI26">
        <f t="shared" si="6"/>
        <v>0</v>
      </c>
      <c r="AJ26" s="122">
        <f t="shared" si="1"/>
        <v>9.9999999999999995E-7</v>
      </c>
      <c r="AK26" s="122">
        <f t="shared" si="2"/>
        <v>0.2</v>
      </c>
      <c r="AL26">
        <f t="shared" si="7"/>
        <v>0</v>
      </c>
      <c r="AM26" s="122">
        <f t="shared" si="3"/>
        <v>1E-3</v>
      </c>
      <c r="AN26" s="122">
        <f t="shared" si="4"/>
        <v>2E-3</v>
      </c>
      <c r="AO26">
        <f t="shared" si="5"/>
        <v>53</v>
      </c>
      <c r="AQ26" s="122">
        <f t="shared" si="16"/>
        <v>3.7735849056603774E-3</v>
      </c>
      <c r="AR26" s="80">
        <f t="shared" si="17"/>
        <v>2.3006005989283926E-7</v>
      </c>
      <c r="AS26" s="164" t="e">
        <f t="shared" si="18"/>
        <v>#DIV/0!</v>
      </c>
      <c r="AT26" s="83" t="e">
        <f t="shared" si="19"/>
        <v>#DIV/0!</v>
      </c>
      <c r="AU26" s="123">
        <f t="shared" si="20"/>
        <v>3.7735849056603774E-3</v>
      </c>
      <c r="AV26" s="80">
        <f t="shared" si="21"/>
        <v>2.3006005989283926E-7</v>
      </c>
      <c r="AW26" s="123">
        <f t="shared" si="14"/>
        <v>3.0000000000000002E-2</v>
      </c>
      <c r="AX26" s="83" t="e">
        <f t="shared" si="22"/>
        <v>#DIV/0!</v>
      </c>
    </row>
    <row r="27" spans="1:50">
      <c r="A27" s="28" t="s">
        <v>215</v>
      </c>
      <c r="B27" s="33"/>
      <c r="S27" s="85" t="s">
        <v>716</v>
      </c>
      <c r="T27">
        <v>0</v>
      </c>
      <c r="U27">
        <v>0</v>
      </c>
      <c r="V27">
        <v>0</v>
      </c>
      <c r="W27">
        <v>0</v>
      </c>
      <c r="AB27" s="85" t="s">
        <v>716</v>
      </c>
      <c r="AC27" s="120">
        <v>2.0558740614861773E-3</v>
      </c>
      <c r="AD27" s="121">
        <v>4.0319007489395435</v>
      </c>
      <c r="AE27" s="120">
        <v>1.2358154466849444E-2</v>
      </c>
      <c r="AF27" s="121">
        <v>2.4236334896726905</v>
      </c>
      <c r="AG27" s="121"/>
      <c r="AH27" t="str">
        <f t="shared" si="0"/>
        <v>1Z</v>
      </c>
      <c r="AI27">
        <f t="shared" si="6"/>
        <v>0</v>
      </c>
      <c r="AJ27" s="122">
        <f t="shared" si="1"/>
        <v>9.9999999999999995E-7</v>
      </c>
      <c r="AK27" s="122">
        <f t="shared" si="2"/>
        <v>0.2</v>
      </c>
      <c r="AL27">
        <f t="shared" si="7"/>
        <v>0</v>
      </c>
      <c r="AM27" s="122">
        <f t="shared" si="3"/>
        <v>1E-3</v>
      </c>
      <c r="AN27" s="122">
        <f t="shared" si="4"/>
        <v>2E-3</v>
      </c>
      <c r="AO27">
        <f t="shared" si="5"/>
        <v>400</v>
      </c>
      <c r="AQ27" s="122">
        <f t="shared" si="16"/>
        <v>5.0000000000000001E-4</v>
      </c>
      <c r="AR27" s="80">
        <f t="shared" si="17"/>
        <v>2.4320555882618286E-7</v>
      </c>
      <c r="AS27" s="164" t="e">
        <f t="shared" si="18"/>
        <v>#DIV/0!</v>
      </c>
      <c r="AT27" s="83" t="e">
        <f t="shared" si="19"/>
        <v>#DIV/0!</v>
      </c>
      <c r="AU27" s="123">
        <f t="shared" si="20"/>
        <v>5.0000000000000001E-4</v>
      </c>
      <c r="AV27" s="80">
        <f t="shared" si="21"/>
        <v>2.4320555882618286E-7</v>
      </c>
      <c r="AW27" s="123">
        <f t="shared" si="14"/>
        <v>3.0000000000000002E-2</v>
      </c>
      <c r="AX27" s="83" t="e">
        <f t="shared" si="22"/>
        <v>#DIV/0!</v>
      </c>
    </row>
    <row r="28" spans="1:50">
      <c r="A28" t="s">
        <v>123</v>
      </c>
      <c r="B28" s="33"/>
      <c r="E28" s="28"/>
      <c r="F28" s="60"/>
      <c r="S28" s="85" t="s">
        <v>717</v>
      </c>
      <c r="T28">
        <v>0</v>
      </c>
      <c r="U28">
        <v>0</v>
      </c>
      <c r="V28">
        <v>0</v>
      </c>
      <c r="W28">
        <v>0</v>
      </c>
      <c r="AB28" s="85" t="s">
        <v>717</v>
      </c>
      <c r="AC28" s="120">
        <v>6.9789028528497235E-4</v>
      </c>
      <c r="AD28" s="121">
        <v>3.1210602202994453</v>
      </c>
      <c r="AE28" s="120">
        <v>5.1036638299709631E-3</v>
      </c>
      <c r="AF28" s="121">
        <v>2.2824278417386301</v>
      </c>
      <c r="AG28" s="121"/>
      <c r="AH28" t="str">
        <f t="shared" si="0"/>
        <v>1Z</v>
      </c>
      <c r="AI28">
        <f t="shared" si="6"/>
        <v>0</v>
      </c>
      <c r="AJ28" s="122">
        <f t="shared" si="1"/>
        <v>9.9999999999999995E-7</v>
      </c>
      <c r="AK28" s="122">
        <f t="shared" si="2"/>
        <v>0.2</v>
      </c>
      <c r="AL28">
        <f t="shared" si="7"/>
        <v>0</v>
      </c>
      <c r="AM28" s="122">
        <f t="shared" si="3"/>
        <v>1E-3</v>
      </c>
      <c r="AN28" s="122">
        <f t="shared" si="4"/>
        <v>2E-3</v>
      </c>
      <c r="AO28">
        <f t="shared" si="5"/>
        <v>1000</v>
      </c>
      <c r="AQ28" s="122">
        <f t="shared" si="16"/>
        <v>2.0000000000000001E-4</v>
      </c>
      <c r="AR28" s="80">
        <f t="shared" si="17"/>
        <v>2.8657799688146282E-7</v>
      </c>
      <c r="AS28" s="164" t="e">
        <f t="shared" si="18"/>
        <v>#DIV/0!</v>
      </c>
      <c r="AT28" s="83" t="e">
        <f t="shared" si="19"/>
        <v>#DIV/0!</v>
      </c>
      <c r="AU28" s="123">
        <f t="shared" si="20"/>
        <v>2.0000000000000001E-4</v>
      </c>
      <c r="AV28" s="80">
        <f t="shared" si="21"/>
        <v>2.8657799688146282E-7</v>
      </c>
      <c r="AW28" s="123">
        <f t="shared" si="14"/>
        <v>3.0000000000000002E-2</v>
      </c>
      <c r="AX28" s="83" t="e">
        <f t="shared" si="22"/>
        <v>#DIV/0!</v>
      </c>
    </row>
    <row r="29" spans="1:50">
      <c r="A29" t="s">
        <v>124</v>
      </c>
      <c r="B29" s="33"/>
      <c r="S29" s="85" t="s">
        <v>727</v>
      </c>
      <c r="T29">
        <v>0</v>
      </c>
      <c r="U29">
        <v>5</v>
      </c>
      <c r="V29">
        <v>0</v>
      </c>
      <c r="W29">
        <v>0</v>
      </c>
      <c r="AB29" s="85" t="s">
        <v>727</v>
      </c>
      <c r="AC29" s="120">
        <v>1.3584770398251506E-3</v>
      </c>
      <c r="AD29" s="121">
        <v>3.3132022576914562</v>
      </c>
      <c r="AE29" s="120">
        <v>9.5498465770142097E-3</v>
      </c>
      <c r="AF29" s="121">
        <v>2.2968780490730247</v>
      </c>
      <c r="AG29" s="121"/>
      <c r="AH29" t="str">
        <f t="shared" si="0"/>
        <v>3Z</v>
      </c>
      <c r="AI29">
        <f t="shared" si="6"/>
        <v>-1.0002058917021683E-4</v>
      </c>
      <c r="AJ29" s="122">
        <f t="shared" si="1"/>
        <v>1E-3</v>
      </c>
      <c r="AK29" s="122">
        <f t="shared" si="2"/>
        <v>20</v>
      </c>
      <c r="AL29">
        <f t="shared" si="7"/>
        <v>100.03927364283821</v>
      </c>
      <c r="AM29" s="122">
        <f t="shared" si="3"/>
        <v>1</v>
      </c>
      <c r="AN29" s="122">
        <f t="shared" si="4"/>
        <v>0.2</v>
      </c>
      <c r="AO29">
        <f t="shared" si="5"/>
        <v>53</v>
      </c>
      <c r="AQ29" s="122">
        <f t="shared" si="16"/>
        <v>-2.1966793768391093</v>
      </c>
      <c r="AR29" s="80">
        <f t="shared" si="17"/>
        <v>-1.617016197139293E-6</v>
      </c>
      <c r="AS29" s="164">
        <f t="shared" si="18"/>
        <v>2.699730055579316E-5</v>
      </c>
      <c r="AT29" s="83" t="e">
        <f t="shared" si="19"/>
        <v>#DIV/0!</v>
      </c>
      <c r="AU29" s="123">
        <f t="shared" si="20"/>
        <v>-2.1966793768391093</v>
      </c>
      <c r="AV29" s="80">
        <f t="shared" si="21"/>
        <v>-1.617016197139293E-6</v>
      </c>
      <c r="AW29" s="123">
        <f t="shared" si="14"/>
        <v>3.0000000000000002E-2</v>
      </c>
      <c r="AX29" s="83" t="e">
        <f t="shared" si="22"/>
        <v>#DIV/0!</v>
      </c>
    </row>
    <row r="30" spans="1:50">
      <c r="A30" t="s">
        <v>216</v>
      </c>
      <c r="S30" s="85" t="s">
        <v>728</v>
      </c>
      <c r="T30">
        <v>0</v>
      </c>
      <c r="U30">
        <v>5</v>
      </c>
      <c r="V30">
        <v>0</v>
      </c>
      <c r="W30">
        <v>0</v>
      </c>
      <c r="AB30" s="85" t="s">
        <v>728</v>
      </c>
      <c r="AC30" s="120">
        <v>3.5739545507867487E-4</v>
      </c>
      <c r="AD30" s="121">
        <v>2.1276399169677922</v>
      </c>
      <c r="AE30" s="120">
        <v>4.240736599576236E-3</v>
      </c>
      <c r="AF30" s="121">
        <v>2.335529719874319</v>
      </c>
      <c r="AG30" s="121"/>
      <c r="AH30" t="str">
        <f t="shared" si="0"/>
        <v>3Z</v>
      </c>
      <c r="AI30">
        <f t="shared" si="6"/>
        <v>5.0010294585108413E-5</v>
      </c>
      <c r="AJ30" s="122">
        <f t="shared" si="1"/>
        <v>1E-3</v>
      </c>
      <c r="AK30" s="122">
        <f t="shared" si="2"/>
        <v>20</v>
      </c>
      <c r="AL30">
        <f t="shared" si="7"/>
        <v>100.03922363930253</v>
      </c>
      <c r="AM30" s="122">
        <f t="shared" si="3"/>
        <v>1</v>
      </c>
      <c r="AN30" s="122">
        <f t="shared" si="4"/>
        <v>0.2</v>
      </c>
      <c r="AO30">
        <f t="shared" si="5"/>
        <v>400</v>
      </c>
      <c r="AQ30" s="122">
        <f t="shared" si="16"/>
        <v>1.1007264808723849</v>
      </c>
      <c r="AR30" s="80">
        <f t="shared" si="17"/>
        <v>3.0798558438021478E-6</v>
      </c>
      <c r="AS30" s="164">
        <f t="shared" si="18"/>
        <v>2.7005398888413673E-5</v>
      </c>
      <c r="AT30" s="83" t="e">
        <f t="shared" si="19"/>
        <v>#DIV/0!</v>
      </c>
      <c r="AU30" s="123">
        <f t="shared" si="20"/>
        <v>1.1007264808723849</v>
      </c>
      <c r="AV30" s="80">
        <f t="shared" si="21"/>
        <v>3.0798558438021478E-6</v>
      </c>
      <c r="AW30" s="123">
        <f t="shared" si="14"/>
        <v>3.0000000000000002E-2</v>
      </c>
      <c r="AX30" s="83" t="e">
        <f t="shared" si="22"/>
        <v>#DIV/0!</v>
      </c>
    </row>
    <row r="31" spans="1:50">
      <c r="S31" s="85" t="s">
        <v>729</v>
      </c>
      <c r="T31">
        <v>0</v>
      </c>
      <c r="U31">
        <v>5</v>
      </c>
      <c r="V31">
        <v>0</v>
      </c>
      <c r="W31">
        <v>0</v>
      </c>
      <c r="AB31" s="85" t="s">
        <v>729</v>
      </c>
      <c r="AC31" s="120">
        <v>3.4675856893084722E-4</v>
      </c>
      <c r="AD31" s="121">
        <v>2.1457151255937377</v>
      </c>
      <c r="AE31" s="120">
        <v>4.2082492578949526E-3</v>
      </c>
      <c r="AF31" s="121">
        <v>2.3951823360281952</v>
      </c>
      <c r="AG31" s="121"/>
      <c r="AH31" t="str">
        <f t="shared" si="0"/>
        <v>3Z</v>
      </c>
      <c r="AI31">
        <f t="shared" si="6"/>
        <v>4.0008235668086731E-5</v>
      </c>
      <c r="AJ31" s="122">
        <f t="shared" si="1"/>
        <v>1E-3</v>
      </c>
      <c r="AK31" s="122">
        <f t="shared" si="2"/>
        <v>20</v>
      </c>
      <c r="AL31">
        <f t="shared" si="7"/>
        <v>100.0388336117242</v>
      </c>
      <c r="AM31" s="122">
        <f t="shared" si="3"/>
        <v>1</v>
      </c>
      <c r="AN31" s="122">
        <f t="shared" si="4"/>
        <v>0.2</v>
      </c>
      <c r="AO31">
        <f t="shared" si="5"/>
        <v>1000</v>
      </c>
      <c r="AQ31" s="122">
        <f t="shared" si="16"/>
        <v>0.88038118469790816</v>
      </c>
      <c r="AR31" s="80">
        <f t="shared" si="17"/>
        <v>2.5388880436678676E-6</v>
      </c>
      <c r="AS31" s="164">
        <f t="shared" si="18"/>
        <v>2.7006748610517091E-5</v>
      </c>
      <c r="AT31" s="83" t="e">
        <f t="shared" si="19"/>
        <v>#DIV/0!</v>
      </c>
      <c r="AU31" s="123">
        <f t="shared" si="20"/>
        <v>0.88038118469790816</v>
      </c>
      <c r="AV31" s="80">
        <f t="shared" si="21"/>
        <v>2.5388880436678676E-6</v>
      </c>
      <c r="AW31" s="123">
        <f t="shared" si="14"/>
        <v>3.0000000000000002E-2</v>
      </c>
      <c r="AX31" s="83" t="e">
        <f t="shared" si="22"/>
        <v>#DIV/0!</v>
      </c>
    </row>
    <row r="32" spans="1:50">
      <c r="S32" s="85" t="s">
        <v>715</v>
      </c>
      <c r="T32">
        <v>0</v>
      </c>
      <c r="U32">
        <v>0</v>
      </c>
      <c r="V32">
        <v>0</v>
      </c>
      <c r="W32">
        <v>0</v>
      </c>
      <c r="AB32" s="85" t="s">
        <v>715</v>
      </c>
      <c r="AC32" s="120">
        <v>1.6402607681742294E-2</v>
      </c>
      <c r="AD32" s="121">
        <v>4.3451656059092283</v>
      </c>
      <c r="AE32" s="120">
        <v>9.3192121072745535E-2</v>
      </c>
      <c r="AF32" s="121">
        <v>2.4687245291024866</v>
      </c>
      <c r="AG32" s="121"/>
      <c r="AH32" t="str">
        <f t="shared" si="0"/>
        <v>1Z</v>
      </c>
      <c r="AI32">
        <f t="shared" si="6"/>
        <v>0</v>
      </c>
      <c r="AJ32" s="122">
        <f t="shared" si="1"/>
        <v>9.9999999999999995E-7</v>
      </c>
      <c r="AK32" s="122">
        <f t="shared" si="2"/>
        <v>0.2</v>
      </c>
      <c r="AL32">
        <f t="shared" si="7"/>
        <v>0</v>
      </c>
      <c r="AM32" s="122">
        <f t="shared" si="3"/>
        <v>1E-3</v>
      </c>
      <c r="AN32" s="122">
        <f t="shared" si="4"/>
        <v>2E-3</v>
      </c>
      <c r="AO32">
        <f t="shared" si="5"/>
        <v>53</v>
      </c>
      <c r="AQ32" s="122">
        <f t="shared" si="16"/>
        <v>3.7735849056603774E-3</v>
      </c>
      <c r="AR32" s="80">
        <f t="shared" si="17"/>
        <v>2.3006005989283926E-7</v>
      </c>
      <c r="AS32" s="164" t="e">
        <f t="shared" si="18"/>
        <v>#DIV/0!</v>
      </c>
      <c r="AT32" s="83" t="e">
        <f t="shared" si="19"/>
        <v>#DIV/0!</v>
      </c>
      <c r="AU32" s="123">
        <f t="shared" si="20"/>
        <v>3.7735849056603774E-3</v>
      </c>
      <c r="AV32" s="80">
        <f t="shared" si="21"/>
        <v>2.3006005989283926E-7</v>
      </c>
      <c r="AW32" s="123">
        <f t="shared" si="14"/>
        <v>3.0000000000000002E-2</v>
      </c>
      <c r="AX32" s="83" t="e">
        <f t="shared" si="22"/>
        <v>#DIV/0!</v>
      </c>
    </row>
    <row r="33" spans="1:50" ht="15.75">
      <c r="A33" s="39" t="s">
        <v>217</v>
      </c>
      <c r="B33" s="40"/>
      <c r="C33" s="41"/>
      <c r="D33" s="42"/>
      <c r="F33" s="28" t="s">
        <v>20</v>
      </c>
      <c r="S33" s="85" t="s">
        <v>716</v>
      </c>
      <c r="T33">
        <v>0</v>
      </c>
      <c r="U33">
        <v>0</v>
      </c>
      <c r="V33">
        <v>0</v>
      </c>
      <c r="W33">
        <v>0</v>
      </c>
      <c r="AB33" s="85" t="s">
        <v>716</v>
      </c>
      <c r="AC33" s="120">
        <v>2.0558740614861773E-3</v>
      </c>
      <c r="AD33" s="121">
        <v>4.0319007489395435</v>
      </c>
      <c r="AE33" s="120">
        <v>1.2358154466849444E-2</v>
      </c>
      <c r="AF33" s="121">
        <v>2.4236334896726905</v>
      </c>
      <c r="AG33" s="121"/>
      <c r="AH33" t="str">
        <f t="shared" si="0"/>
        <v>1Z</v>
      </c>
      <c r="AI33">
        <f t="shared" si="6"/>
        <v>0</v>
      </c>
      <c r="AJ33" s="122">
        <f t="shared" si="1"/>
        <v>9.9999999999999995E-7</v>
      </c>
      <c r="AK33" s="122">
        <f t="shared" si="2"/>
        <v>0.2</v>
      </c>
      <c r="AL33">
        <f t="shared" si="7"/>
        <v>0</v>
      </c>
      <c r="AM33" s="122">
        <f t="shared" si="3"/>
        <v>1E-3</v>
      </c>
      <c r="AN33" s="122">
        <f t="shared" si="4"/>
        <v>2E-3</v>
      </c>
      <c r="AO33">
        <f t="shared" si="5"/>
        <v>400</v>
      </c>
      <c r="AQ33" s="122">
        <f t="shared" si="16"/>
        <v>5.0000000000000001E-4</v>
      </c>
      <c r="AR33" s="80">
        <f t="shared" si="17"/>
        <v>2.4320555882618286E-7</v>
      </c>
      <c r="AS33" s="164" t="e">
        <f t="shared" si="18"/>
        <v>#DIV/0!</v>
      </c>
      <c r="AT33" s="83" t="e">
        <f t="shared" si="19"/>
        <v>#DIV/0!</v>
      </c>
      <c r="AU33" s="123">
        <f t="shared" si="20"/>
        <v>5.0000000000000001E-4</v>
      </c>
      <c r="AV33" s="80">
        <f t="shared" si="21"/>
        <v>2.4320555882618286E-7</v>
      </c>
      <c r="AW33" s="123">
        <f t="shared" si="14"/>
        <v>3.0000000000000002E-2</v>
      </c>
      <c r="AX33" s="83" t="e">
        <f t="shared" si="22"/>
        <v>#DIV/0!</v>
      </c>
    </row>
    <row r="34" spans="1:50">
      <c r="A34" s="43"/>
      <c r="B34" s="44" t="s">
        <v>21</v>
      </c>
      <c r="C34" s="140" t="s">
        <v>206</v>
      </c>
      <c r="D34" s="141">
        <f>VLOOKUP(label,Results,4,FALSE)</f>
        <v>10003167</v>
      </c>
      <c r="E34" s="142" t="s">
        <v>218</v>
      </c>
      <c r="F34" s="143"/>
      <c r="G34" s="132" t="s">
        <v>219</v>
      </c>
      <c r="S34" s="85" t="s">
        <v>717</v>
      </c>
      <c r="T34">
        <v>0</v>
      </c>
      <c r="U34">
        <v>0</v>
      </c>
      <c r="V34">
        <v>0</v>
      </c>
      <c r="W34">
        <v>0</v>
      </c>
      <c r="AB34" s="85" t="s">
        <v>717</v>
      </c>
      <c r="AC34" s="120">
        <v>6.9789028528497235E-4</v>
      </c>
      <c r="AD34" s="121">
        <v>3.1210602202994453</v>
      </c>
      <c r="AE34" s="120">
        <v>5.1036638299709631E-3</v>
      </c>
      <c r="AF34" s="121">
        <v>2.2824278417386301</v>
      </c>
      <c r="AG34" s="121"/>
      <c r="AH34" t="str">
        <f t="shared" si="0"/>
        <v>1Z</v>
      </c>
      <c r="AI34">
        <f t="shared" si="6"/>
        <v>0</v>
      </c>
      <c r="AJ34" s="122">
        <f t="shared" si="1"/>
        <v>9.9999999999999995E-7</v>
      </c>
      <c r="AK34" s="122">
        <f t="shared" si="2"/>
        <v>0.2</v>
      </c>
      <c r="AL34">
        <f t="shared" si="7"/>
        <v>0</v>
      </c>
      <c r="AM34" s="122">
        <f t="shared" si="3"/>
        <v>1E-3</v>
      </c>
      <c r="AN34" s="122">
        <f t="shared" si="4"/>
        <v>2E-3</v>
      </c>
      <c r="AO34">
        <f t="shared" si="5"/>
        <v>1000</v>
      </c>
      <c r="AQ34" s="122">
        <f t="shared" si="16"/>
        <v>2.0000000000000001E-4</v>
      </c>
      <c r="AR34" s="80">
        <f t="shared" si="17"/>
        <v>2.8657799688146282E-7</v>
      </c>
      <c r="AS34" s="164" t="e">
        <f t="shared" si="18"/>
        <v>#DIV/0!</v>
      </c>
      <c r="AT34" s="83" t="e">
        <f t="shared" si="19"/>
        <v>#DIV/0!</v>
      </c>
      <c r="AU34" s="123">
        <f t="shared" si="20"/>
        <v>2.0000000000000001E-4</v>
      </c>
      <c r="AV34" s="80">
        <f t="shared" si="21"/>
        <v>2.8657799688146282E-7</v>
      </c>
      <c r="AW34" s="123">
        <f t="shared" si="14"/>
        <v>3.0000000000000002E-2</v>
      </c>
      <c r="AX34" s="83" t="e">
        <f t="shared" si="22"/>
        <v>#DIV/0!</v>
      </c>
    </row>
    <row r="35" spans="1:50">
      <c r="A35" s="45" t="s">
        <v>22</v>
      </c>
      <c r="B35" s="44" t="s">
        <v>23</v>
      </c>
      <c r="E35" s="45" t="s">
        <v>24</v>
      </c>
      <c r="S35" s="85" t="s">
        <v>730</v>
      </c>
      <c r="T35">
        <v>0</v>
      </c>
      <c r="U35">
        <v>5</v>
      </c>
      <c r="V35">
        <v>0</v>
      </c>
      <c r="W35">
        <v>0</v>
      </c>
      <c r="AB35" s="85" t="s">
        <v>730</v>
      </c>
      <c r="AC35" s="120">
        <v>1.3585203310617531E-2</v>
      </c>
      <c r="AD35" s="121">
        <v>3.3133759224109824</v>
      </c>
      <c r="AE35" s="120">
        <v>9.5497383092628119E-2</v>
      </c>
      <c r="AF35" s="121">
        <v>2.2969064232536369</v>
      </c>
      <c r="AG35" s="121">
        <f>AC35*VLOOKUP(VLOOKUP(AB35,Results,2,FALSE),multiplier,4,FALSE)/(VLOOKUP(AB35,Results,7,FALSE)*VLOOKUP(VLOOKUP(AB35,Results,2,FALSE),multiplier,7,FALSE))^2*1000000000000</f>
        <v>13.578200757488625</v>
      </c>
      <c r="AH35" t="str">
        <f t="shared" si="0"/>
        <v>4Z</v>
      </c>
      <c r="AI35">
        <f t="shared" si="6"/>
        <v>9.0018530253195127E-4</v>
      </c>
      <c r="AJ35" s="122">
        <f t="shared" si="1"/>
        <v>1E-3</v>
      </c>
      <c r="AK35" s="122">
        <f t="shared" si="2"/>
        <v>200</v>
      </c>
      <c r="AL35">
        <f t="shared" si="7"/>
        <v>1000.2578268891097</v>
      </c>
      <c r="AM35" s="122">
        <f t="shared" si="3"/>
        <v>1</v>
      </c>
      <c r="AN35" s="122">
        <f t="shared" si="4"/>
        <v>2</v>
      </c>
      <c r="AO35">
        <f t="shared" si="5"/>
        <v>53</v>
      </c>
      <c r="AQ35" s="122">
        <f t="shared" si="16"/>
        <v>19.807850240608584</v>
      </c>
      <c r="AR35" s="80">
        <f t="shared" si="17"/>
        <v>1.4580459186155674E-6</v>
      </c>
      <c r="AS35" s="164">
        <f t="shared" si="18"/>
        <v>2.7000299938245203E-5</v>
      </c>
      <c r="AT35" s="83">
        <f t="shared" si="19"/>
        <v>1.9885035153390292E-3</v>
      </c>
      <c r="AU35" s="123">
        <f t="shared" si="20"/>
        <v>19.807850240608584</v>
      </c>
      <c r="AV35" s="80">
        <f t="shared" si="21"/>
        <v>1.4580459186155674E-6</v>
      </c>
      <c r="AW35" s="123">
        <f t="shared" si="14"/>
        <v>3.0000000000000002E-2</v>
      </c>
      <c r="AX35" s="83">
        <f t="shared" si="22"/>
        <v>2.2094238062767232E-3</v>
      </c>
    </row>
    <row r="36" spans="1:50" ht="15.75">
      <c r="A36" s="47"/>
      <c r="B36" s="44" t="s">
        <v>207</v>
      </c>
      <c r="C36" s="45" t="s">
        <v>25</v>
      </c>
      <c r="D36" s="45" t="s">
        <v>26</v>
      </c>
      <c r="E36" s="45" t="s">
        <v>27</v>
      </c>
      <c r="F36" s="45" t="s">
        <v>28</v>
      </c>
      <c r="K36" s="127" t="s">
        <v>140</v>
      </c>
      <c r="S36" s="85" t="s">
        <v>731</v>
      </c>
      <c r="T36">
        <v>0</v>
      </c>
      <c r="U36">
        <v>5</v>
      </c>
      <c r="V36">
        <v>0</v>
      </c>
      <c r="W36">
        <v>0</v>
      </c>
      <c r="AB36" s="85" t="s">
        <v>731</v>
      </c>
      <c r="AC36" s="120">
        <v>3.5735148317423489E-3</v>
      </c>
      <c r="AD36" s="121">
        <v>2.1276366991274029</v>
      </c>
      <c r="AE36" s="120">
        <v>4.2401832196100574E-2</v>
      </c>
      <c r="AF36" s="121">
        <v>2.3355129227553646</v>
      </c>
      <c r="AG36" s="121">
        <f>AC36*VLOOKUP(VLOOKUP(AB36,Results,2,FALSE),multiplier,4,FALSE)/(VLOOKUP(AB36,Results,7,FALSE)*VLOOKUP(VLOOKUP(AB36,Results,2,FALSE),multiplier,7,FALSE))^2*1000000000000</f>
        <v>3.5716692767159279</v>
      </c>
      <c r="AH36" t="str">
        <f t="shared" si="0"/>
        <v>4Z</v>
      </c>
      <c r="AI36">
        <f t="shared" si="6"/>
        <v>3.0006176751065042E-4</v>
      </c>
      <c r="AJ36" s="122">
        <f t="shared" si="1"/>
        <v>1E-3</v>
      </c>
      <c r="AK36" s="122">
        <f t="shared" si="2"/>
        <v>200</v>
      </c>
      <c r="AL36">
        <f t="shared" si="7"/>
        <v>1000.2583269244664</v>
      </c>
      <c r="AM36" s="122">
        <f t="shared" si="3"/>
        <v>1</v>
      </c>
      <c r="AN36" s="122">
        <f t="shared" si="4"/>
        <v>2</v>
      </c>
      <c r="AO36">
        <f t="shared" si="5"/>
        <v>400</v>
      </c>
      <c r="AQ36" s="122">
        <f t="shared" si="16"/>
        <v>6.601858885234309</v>
      </c>
      <c r="AR36" s="80">
        <f t="shared" si="17"/>
        <v>1.847441299695242E-6</v>
      </c>
      <c r="AS36" s="164">
        <f t="shared" si="18"/>
        <v>2.7000899814735613E-5</v>
      </c>
      <c r="AT36" s="83">
        <f t="shared" si="19"/>
        <v>7.5597424405325553E-3</v>
      </c>
      <c r="AU36" s="123">
        <f t="shared" si="20"/>
        <v>6.601858885234309</v>
      </c>
      <c r="AV36" s="80">
        <f t="shared" si="21"/>
        <v>1.847441299695242E-6</v>
      </c>
      <c r="AW36" s="123">
        <f t="shared" si="14"/>
        <v>3.0000000000000002E-2</v>
      </c>
      <c r="AX36" s="83">
        <f t="shared" si="22"/>
        <v>8.3994338993178975E-3</v>
      </c>
    </row>
    <row r="37" spans="1:50">
      <c r="A37" s="48" t="s">
        <v>240</v>
      </c>
      <c r="B37" s="49">
        <f>10*0.000016*D11</f>
        <v>4.7999999999999996E-4</v>
      </c>
      <c r="C37" s="50">
        <f t="shared" ref="C37:C45" si="26">B37^2</f>
        <v>2.3039999999999997E-7</v>
      </c>
      <c r="D37" s="61" t="s">
        <v>125</v>
      </c>
      <c r="E37" s="52">
        <v>13</v>
      </c>
      <c r="F37" s="50">
        <f t="shared" ref="F37:F45" si="27">B37^4/E37</f>
        <v>4.0833969230769226E-15</v>
      </c>
      <c r="G37" t="s">
        <v>126</v>
      </c>
      <c r="K37" s="132" t="s">
        <v>220</v>
      </c>
      <c r="L37" t="s">
        <v>247</v>
      </c>
      <c r="S37" s="85" t="s">
        <v>732</v>
      </c>
      <c r="T37">
        <v>0</v>
      </c>
      <c r="U37">
        <v>5</v>
      </c>
      <c r="V37">
        <v>0</v>
      </c>
      <c r="W37">
        <v>0</v>
      </c>
      <c r="AB37" s="85" t="s">
        <v>732</v>
      </c>
      <c r="AC37" s="120">
        <v>3.4671297989555998E-3</v>
      </c>
      <c r="AD37" s="121">
        <v>2.1457132722074337</v>
      </c>
      <c r="AE37" s="120">
        <v>4.2076901414460049E-2</v>
      </c>
      <c r="AF37" s="121">
        <v>2.395177877707249</v>
      </c>
      <c r="AG37" s="121">
        <f>AC37*VLOOKUP(VLOOKUP(AB37,Results,2,FALSE),multiplier,4,FALSE)/(VLOOKUP(AB37,Results,7,FALSE)*VLOOKUP(VLOOKUP(AB37,Results,2,FALSE),multiplier,7,FALSE))^2*1000000000000</f>
        <v>3.4653606680480342</v>
      </c>
      <c r="AH37" t="str">
        <f t="shared" ref="AH37:AH59" si="28">VLOOKUP(AB37, Results,2,FALSE)</f>
        <v>4Z</v>
      </c>
      <c r="AI37">
        <f t="shared" si="6"/>
        <v>4.0008235668086725E-4</v>
      </c>
      <c r="AJ37" s="122">
        <f t="shared" ref="AJ37:AJ59" si="29">VLOOKUP(AH37,multiplier,4,FALSE)</f>
        <v>1E-3</v>
      </c>
      <c r="AK37" s="122">
        <f t="shared" ref="AK37:AK59" si="30">VLOOKUP(AH37,multiplier,8,FALSE)</f>
        <v>200</v>
      </c>
      <c r="AL37">
        <f t="shared" si="7"/>
        <v>1000.2552267052541</v>
      </c>
      <c r="AM37" s="122">
        <f t="shared" ref="AM37:AM59" si="31">VLOOKUP(AH37,multiplier,7,FALSE)</f>
        <v>1</v>
      </c>
      <c r="AN37" s="122">
        <f t="shared" ref="AN37:AN59" si="32">VLOOKUP(AH37,multiplier,9,FALSE)</f>
        <v>2</v>
      </c>
      <c r="AO37">
        <f t="shared" ref="AO37:AO59" si="33">VLOOKUP(AB37,Results,9,FALSE)</f>
        <v>1000</v>
      </c>
      <c r="AQ37" s="122">
        <f t="shared" si="16"/>
        <v>8.8020118469790791</v>
      </c>
      <c r="AR37" s="80">
        <f t="shared" si="17"/>
        <v>2.5387027187821179E-6</v>
      </c>
      <c r="AS37" s="164">
        <f t="shared" si="18"/>
        <v>2.7000674861051708E-5</v>
      </c>
      <c r="AT37" s="83">
        <f t="shared" si="19"/>
        <v>7.791591539088088E-3</v>
      </c>
      <c r="AU37" s="123">
        <f t="shared" si="20"/>
        <v>8.8020118469790791</v>
      </c>
      <c r="AV37" s="80">
        <f t="shared" si="21"/>
        <v>2.5387027187821179E-6</v>
      </c>
      <c r="AW37" s="123">
        <f t="shared" si="14"/>
        <v>3.0000000000000002E-2</v>
      </c>
      <c r="AX37" s="83">
        <f t="shared" si="22"/>
        <v>8.6571075491828613E-3</v>
      </c>
    </row>
    <row r="38" spans="1:50">
      <c r="A38" s="48" t="s">
        <v>112</v>
      </c>
      <c r="B38" s="131">
        <v>10</v>
      </c>
      <c r="C38" s="50">
        <f t="shared" si="26"/>
        <v>100</v>
      </c>
      <c r="D38" s="51">
        <v>30</v>
      </c>
      <c r="E38" s="52">
        <f t="shared" ref="E38:E44" si="34">0.5*(1/(0.01*D38)^2)</f>
        <v>5.5555555555555554</v>
      </c>
      <c r="F38" s="50">
        <f t="shared" si="27"/>
        <v>1800</v>
      </c>
      <c r="K38" s="132" t="s">
        <v>221</v>
      </c>
      <c r="S38" s="85" t="s">
        <v>715</v>
      </c>
      <c r="T38">
        <v>0</v>
      </c>
      <c r="U38">
        <v>0</v>
      </c>
      <c r="V38">
        <v>0</v>
      </c>
      <c r="W38">
        <v>0</v>
      </c>
      <c r="AB38" s="85" t="s">
        <v>715</v>
      </c>
      <c r="AC38" s="120">
        <v>1.6402607681742294E-2</v>
      </c>
      <c r="AD38" s="121">
        <v>4.3451656059092283</v>
      </c>
      <c r="AE38" s="120">
        <v>9.3192121072745535E-2</v>
      </c>
      <c r="AF38" s="121">
        <v>2.4687245291024866</v>
      </c>
      <c r="AG38" s="121"/>
      <c r="AH38" t="str">
        <f t="shared" si="28"/>
        <v>1Z</v>
      </c>
      <c r="AI38">
        <f t="shared" si="6"/>
        <v>0</v>
      </c>
      <c r="AJ38" s="122">
        <f t="shared" si="29"/>
        <v>9.9999999999999995E-7</v>
      </c>
      <c r="AK38" s="122">
        <f t="shared" si="30"/>
        <v>0.2</v>
      </c>
      <c r="AL38">
        <f t="shared" si="7"/>
        <v>0</v>
      </c>
      <c r="AM38" s="122">
        <f t="shared" si="31"/>
        <v>1E-3</v>
      </c>
      <c r="AN38" s="122">
        <f t="shared" si="32"/>
        <v>2E-3</v>
      </c>
      <c r="AO38">
        <f t="shared" si="33"/>
        <v>53</v>
      </c>
      <c r="AQ38" s="122">
        <f t="shared" si="16"/>
        <v>3.7735849056603774E-3</v>
      </c>
      <c r="AR38" s="80">
        <f t="shared" si="17"/>
        <v>2.3006005989283926E-7</v>
      </c>
      <c r="AS38" s="164" t="e">
        <f t="shared" si="18"/>
        <v>#DIV/0!</v>
      </c>
      <c r="AT38" s="83" t="e">
        <f t="shared" si="19"/>
        <v>#DIV/0!</v>
      </c>
      <c r="AU38" s="123">
        <f t="shared" si="20"/>
        <v>3.7735849056603774E-3</v>
      </c>
      <c r="AV38" s="80">
        <f t="shared" si="21"/>
        <v>2.3006005989283926E-7</v>
      </c>
      <c r="AW38" s="123">
        <f t="shared" si="14"/>
        <v>3.0000000000000002E-2</v>
      </c>
      <c r="AX38" s="83" t="e">
        <f t="shared" si="22"/>
        <v>#DIV/0!</v>
      </c>
    </row>
    <row r="39" spans="1:50">
      <c r="A39" s="48" t="s">
        <v>110</v>
      </c>
      <c r="B39" s="128">
        <f>2.5*0.000001*D34*10/10</f>
        <v>25.007917499999998</v>
      </c>
      <c r="C39" s="50">
        <f t="shared" si="26"/>
        <v>625.39593768680618</v>
      </c>
      <c r="D39" s="51">
        <v>30</v>
      </c>
      <c r="E39" s="52">
        <f t="shared" si="34"/>
        <v>5.5555555555555554</v>
      </c>
      <c r="F39" s="50">
        <f t="shared" si="27"/>
        <v>70401.614197528717</v>
      </c>
      <c r="G39" t="s">
        <v>111</v>
      </c>
      <c r="K39" s="130"/>
      <c r="S39" s="85" t="s">
        <v>716</v>
      </c>
      <c r="T39">
        <v>0</v>
      </c>
      <c r="U39">
        <v>0</v>
      </c>
      <c r="V39">
        <v>0</v>
      </c>
      <c r="W39">
        <v>0</v>
      </c>
      <c r="AB39" s="85" t="s">
        <v>716</v>
      </c>
      <c r="AC39" s="120">
        <v>2.0558740614861773E-3</v>
      </c>
      <c r="AD39" s="121">
        <v>4.0319007489395435</v>
      </c>
      <c r="AE39" s="120">
        <v>1.2358154466849444E-2</v>
      </c>
      <c r="AF39" s="121">
        <v>2.4236334896726905</v>
      </c>
      <c r="AG39" s="121"/>
      <c r="AH39" t="str">
        <f t="shared" si="28"/>
        <v>1Z</v>
      </c>
      <c r="AI39">
        <f t="shared" si="6"/>
        <v>0</v>
      </c>
      <c r="AJ39" s="122">
        <f t="shared" si="29"/>
        <v>9.9999999999999995E-7</v>
      </c>
      <c r="AK39" s="122">
        <f t="shared" si="30"/>
        <v>0.2</v>
      </c>
      <c r="AL39">
        <f t="shared" si="7"/>
        <v>0</v>
      </c>
      <c r="AM39" s="122">
        <f t="shared" si="31"/>
        <v>1E-3</v>
      </c>
      <c r="AN39" s="122">
        <f t="shared" si="32"/>
        <v>2E-3</v>
      </c>
      <c r="AO39">
        <f t="shared" si="33"/>
        <v>400</v>
      </c>
      <c r="AQ39" s="122">
        <f t="shared" si="16"/>
        <v>5.0000000000000001E-4</v>
      </c>
      <c r="AR39" s="80">
        <f t="shared" si="17"/>
        <v>2.4320555882618286E-7</v>
      </c>
      <c r="AS39" s="164" t="e">
        <f t="shared" si="18"/>
        <v>#DIV/0!</v>
      </c>
      <c r="AT39" s="83" t="e">
        <f t="shared" si="19"/>
        <v>#DIV/0!</v>
      </c>
      <c r="AU39" s="123">
        <f t="shared" si="20"/>
        <v>5.0000000000000001E-4</v>
      </c>
      <c r="AV39" s="80">
        <f t="shared" si="21"/>
        <v>2.4320555882618286E-7</v>
      </c>
      <c r="AW39" s="123">
        <f t="shared" si="14"/>
        <v>3.0000000000000002E-2</v>
      </c>
      <c r="AX39" s="83" t="e">
        <f t="shared" si="22"/>
        <v>#DIV/0!</v>
      </c>
    </row>
    <row r="40" spans="1:50">
      <c r="A40" s="54" t="s">
        <v>120</v>
      </c>
      <c r="B40" s="134">
        <f>10*2000/(VLOOKUP(label,Results,9,FALSE))</f>
        <v>20</v>
      </c>
      <c r="C40" s="50">
        <f t="shared" si="26"/>
        <v>400</v>
      </c>
      <c r="D40" s="51">
        <v>30</v>
      </c>
      <c r="E40" s="52">
        <f t="shared" si="34"/>
        <v>5.5555555555555554</v>
      </c>
      <c r="F40" s="50">
        <f t="shared" si="27"/>
        <v>28800</v>
      </c>
      <c r="G40" t="s">
        <v>222</v>
      </c>
      <c r="L40" s="165" t="s">
        <v>248</v>
      </c>
      <c r="S40" s="85" t="s">
        <v>717</v>
      </c>
      <c r="T40">
        <v>0</v>
      </c>
      <c r="U40">
        <v>0</v>
      </c>
      <c r="V40">
        <v>0</v>
      </c>
      <c r="W40">
        <v>0</v>
      </c>
      <c r="AB40" s="85" t="s">
        <v>717</v>
      </c>
      <c r="AC40" s="120">
        <v>6.9789028528497235E-4</v>
      </c>
      <c r="AD40" s="121">
        <v>3.1210602202994453</v>
      </c>
      <c r="AE40" s="120">
        <v>5.1036638299709631E-3</v>
      </c>
      <c r="AF40" s="121">
        <v>2.2824278417386301</v>
      </c>
      <c r="AG40" s="121"/>
      <c r="AH40" t="str">
        <f t="shared" si="28"/>
        <v>1Z</v>
      </c>
      <c r="AI40">
        <f t="shared" si="6"/>
        <v>0</v>
      </c>
      <c r="AJ40" s="122">
        <f t="shared" si="29"/>
        <v>9.9999999999999995E-7</v>
      </c>
      <c r="AK40" s="122">
        <f t="shared" si="30"/>
        <v>0.2</v>
      </c>
      <c r="AL40">
        <f t="shared" si="7"/>
        <v>0</v>
      </c>
      <c r="AM40" s="122">
        <f t="shared" si="31"/>
        <v>1E-3</v>
      </c>
      <c r="AN40" s="122">
        <f t="shared" si="32"/>
        <v>2E-3</v>
      </c>
      <c r="AO40">
        <f t="shared" si="33"/>
        <v>1000</v>
      </c>
      <c r="AQ40" s="122">
        <f t="shared" si="16"/>
        <v>2.0000000000000001E-4</v>
      </c>
      <c r="AR40" s="80">
        <f t="shared" si="17"/>
        <v>2.8657799688146282E-7</v>
      </c>
      <c r="AS40" s="164" t="e">
        <f t="shared" si="18"/>
        <v>#DIV/0!</v>
      </c>
      <c r="AT40" s="83" t="e">
        <f t="shared" si="19"/>
        <v>#DIV/0!</v>
      </c>
      <c r="AU40" s="123">
        <f t="shared" si="20"/>
        <v>2.0000000000000001E-4</v>
      </c>
      <c r="AV40" s="80">
        <f t="shared" si="21"/>
        <v>2.8657799688146282E-7</v>
      </c>
      <c r="AW40" s="123">
        <f t="shared" si="14"/>
        <v>3.0000000000000002E-2</v>
      </c>
      <c r="AX40" s="83" t="e">
        <f t="shared" si="22"/>
        <v>#DIV/0!</v>
      </c>
    </row>
    <row r="41" spans="1:50">
      <c r="A41" s="48" t="s">
        <v>114</v>
      </c>
      <c r="B41" s="128">
        <f>17*0.000001*D34</f>
        <v>170.05383900000001</v>
      </c>
      <c r="C41" s="50">
        <f t="shared" si="26"/>
        <v>28918.308158637923</v>
      </c>
      <c r="D41" s="51">
        <v>30</v>
      </c>
      <c r="E41" s="52">
        <f t="shared" si="34"/>
        <v>5.5555555555555554</v>
      </c>
      <c r="F41" s="50">
        <f t="shared" si="27"/>
        <v>150528338.41643006</v>
      </c>
      <c r="G41" t="s">
        <v>223</v>
      </c>
      <c r="K41" s="132" t="s">
        <v>209</v>
      </c>
      <c r="S41" s="85" t="s">
        <v>733</v>
      </c>
      <c r="T41">
        <v>0</v>
      </c>
      <c r="U41">
        <v>5</v>
      </c>
      <c r="V41">
        <v>0</v>
      </c>
      <c r="W41">
        <v>0</v>
      </c>
      <c r="AB41" s="85" t="s">
        <v>733</v>
      </c>
      <c r="AC41" s="120">
        <v>0.13585266531139181</v>
      </c>
      <c r="AD41" s="121">
        <v>3.3134012827950832</v>
      </c>
      <c r="AE41" s="120">
        <v>0.95497225015502241</v>
      </c>
      <c r="AF41" s="121">
        <v>2.2969105668420444</v>
      </c>
      <c r="AG41" s="515">
        <f>AC41*VLOOKUP(VLOOKUP(AB41,Results,2,FALSE),multiplier,4,FALSE)/(VLOOKUP(AB41,Results,7,FALSE)*VLOOKUP(VLOOKUP(AB41,Results,2,FALSE),multiplier,7,FALSE))^2*1000000000000</f>
        <v>1.3578744538807341</v>
      </c>
      <c r="AH41" t="str">
        <f t="shared" si="28"/>
        <v>5Z</v>
      </c>
      <c r="AI41">
        <f t="shared" si="6"/>
        <v>-7.0014412419151767E-2</v>
      </c>
      <c r="AJ41" s="122">
        <f t="shared" si="29"/>
        <v>1E-3</v>
      </c>
      <c r="AK41" s="122">
        <f t="shared" si="30"/>
        <v>2000</v>
      </c>
      <c r="AL41">
        <f t="shared" si="7"/>
        <v>10002.401256374778</v>
      </c>
      <c r="AM41" s="122">
        <f t="shared" si="31"/>
        <v>1</v>
      </c>
      <c r="AN41" s="122">
        <f t="shared" si="32"/>
        <v>20</v>
      </c>
      <c r="AO41">
        <f t="shared" si="33"/>
        <v>53</v>
      </c>
      <c r="AQ41" s="122">
        <f t="shared" si="16"/>
        <v>-1540.3132996364332</v>
      </c>
      <c r="AR41" s="80">
        <f t="shared" si="17"/>
        <v>-1.1338116157720104E-5</v>
      </c>
      <c r="AS41" s="164">
        <f t="shared" si="18"/>
        <v>2.6999996143651131E-5</v>
      </c>
      <c r="AT41" s="83">
        <f t="shared" si="19"/>
        <v>1.9884015099103276E-2</v>
      </c>
      <c r="AU41" s="123">
        <f t="shared" si="20"/>
        <v>-1540.3132996364332</v>
      </c>
      <c r="AV41" s="80">
        <f t="shared" si="21"/>
        <v>-1.1338116157720104E-5</v>
      </c>
      <c r="AW41" s="123">
        <f t="shared" si="14"/>
        <v>3.0000000000000002E-2</v>
      </c>
      <c r="AX41" s="83">
        <f t="shared" si="22"/>
        <v>2.2093353265658377E-2</v>
      </c>
    </row>
    <row r="42" spans="1:50">
      <c r="A42" s="54" t="s">
        <v>115</v>
      </c>
      <c r="B42" s="133">
        <f>2*0.000001*D34*10/10</f>
        <v>20.006333999999999</v>
      </c>
      <c r="C42" s="50">
        <f t="shared" si="26"/>
        <v>400.25340011955598</v>
      </c>
      <c r="D42" s="51">
        <v>50</v>
      </c>
      <c r="E42" s="52">
        <f t="shared" si="34"/>
        <v>2</v>
      </c>
      <c r="F42" s="50">
        <f t="shared" si="27"/>
        <v>80101.392153632682</v>
      </c>
      <c r="G42" t="s">
        <v>116</v>
      </c>
      <c r="K42" s="130"/>
      <c r="S42" s="85" t="s">
        <v>734</v>
      </c>
      <c r="T42">
        <v>0</v>
      </c>
      <c r="U42">
        <v>5</v>
      </c>
      <c r="V42">
        <v>0</v>
      </c>
      <c r="W42">
        <v>0</v>
      </c>
      <c r="AB42" s="85" t="s">
        <v>734</v>
      </c>
      <c r="AC42" s="120">
        <v>3.5734498161924581E-2</v>
      </c>
      <c r="AD42" s="121">
        <v>2.1276362216004427</v>
      </c>
      <c r="AE42" s="120">
        <v>0.42401013925138642</v>
      </c>
      <c r="AF42" s="121">
        <v>2.3355104356428669</v>
      </c>
      <c r="AG42" s="515">
        <f>AC42*VLOOKUP(VLOOKUP(AB42,Results,2,FALSE),multiplier,4,FALSE)/(VLOOKUP(AB42,Results,7,FALSE)*VLOOKUP(VLOOKUP(AB42,Results,2,FALSE),multiplier,7,FALSE))^2*1000000000000</f>
        <v>0.35717328518518882</v>
      </c>
      <c r="AH42" t="str">
        <f t="shared" si="28"/>
        <v>5Z</v>
      </c>
      <c r="AI42">
        <f t="shared" si="6"/>
        <v>-6.5013382960640922E-2</v>
      </c>
      <c r="AJ42" s="122">
        <f t="shared" si="29"/>
        <v>1E-3</v>
      </c>
      <c r="AK42" s="122">
        <f t="shared" si="30"/>
        <v>2000</v>
      </c>
      <c r="AL42">
        <f t="shared" si="7"/>
        <v>10002.403256516205</v>
      </c>
      <c r="AM42" s="122">
        <f t="shared" si="31"/>
        <v>1</v>
      </c>
      <c r="AN42" s="122">
        <f t="shared" si="32"/>
        <v>20</v>
      </c>
      <c r="AO42">
        <f t="shared" si="33"/>
        <v>400</v>
      </c>
      <c r="AQ42" s="122">
        <f t="shared" si="16"/>
        <v>-1430.2939251341002</v>
      </c>
      <c r="AR42" s="80">
        <f t="shared" si="17"/>
        <v>-4.0025577486858081E-5</v>
      </c>
      <c r="AS42" s="164">
        <f t="shared" si="18"/>
        <v>2.699999584700891E-5</v>
      </c>
      <c r="AT42" s="83">
        <f t="shared" si="19"/>
        <v>7.5593547913332407E-2</v>
      </c>
      <c r="AU42" s="123">
        <f t="shared" si="20"/>
        <v>-1430.2939251341002</v>
      </c>
      <c r="AV42" s="80">
        <f t="shared" si="21"/>
        <v>-4.0025577486858081E-5</v>
      </c>
      <c r="AW42" s="123">
        <f t="shared" si="14"/>
        <v>3.0000000000000002E-2</v>
      </c>
      <c r="AX42" s="83">
        <f t="shared" si="22"/>
        <v>8.3992843934129813E-2</v>
      </c>
    </row>
    <row r="43" spans="1:50">
      <c r="A43" s="54" t="s">
        <v>119</v>
      </c>
      <c r="B43" s="133">
        <f>2*0.000001*D34*10/10</f>
        <v>20.006333999999999</v>
      </c>
      <c r="C43" s="129">
        <f t="shared" si="26"/>
        <v>400.25340011955598</v>
      </c>
      <c r="D43" s="51">
        <v>30</v>
      </c>
      <c r="E43" s="52">
        <f t="shared" si="34"/>
        <v>5.5555555555555554</v>
      </c>
      <c r="F43" s="50">
        <f t="shared" si="27"/>
        <v>28836.501175307767</v>
      </c>
      <c r="G43" t="s">
        <v>127</v>
      </c>
      <c r="K43" s="130"/>
      <c r="S43" s="85" t="s">
        <v>735</v>
      </c>
      <c r="T43">
        <v>0</v>
      </c>
      <c r="U43">
        <v>5</v>
      </c>
      <c r="V43">
        <v>0</v>
      </c>
      <c r="W43">
        <v>0</v>
      </c>
      <c r="AB43" s="85" t="s">
        <v>735</v>
      </c>
      <c r="AC43" s="120">
        <v>3.46706580213587E-2</v>
      </c>
      <c r="AD43" s="121">
        <v>2.1457130098715815</v>
      </c>
      <c r="AE43" s="120">
        <v>0.42076116478196035</v>
      </c>
      <c r="AF43" s="121">
        <v>2.3951772480065414</v>
      </c>
      <c r="AG43" s="515">
        <f>AC43*VLOOKUP(VLOOKUP(AB43,Results,2,FALSE),multiplier,4,FALSE)/(VLOOKUP(AB43,Results,7,FALSE)*VLOOKUP(VLOOKUP(AB43,Results,2,FALSE),multiplier,7,FALSE))^2*1000000000000</f>
        <v>0.3465415198207637</v>
      </c>
      <c r="AH43" t="str">
        <f t="shared" si="28"/>
        <v>5Z</v>
      </c>
      <c r="AI43">
        <f t="shared" si="6"/>
        <v>-6.5013382960640922E-2</v>
      </c>
      <c r="AJ43" s="122">
        <f t="shared" si="29"/>
        <v>1E-3</v>
      </c>
      <c r="AK43" s="122">
        <f t="shared" si="30"/>
        <v>2000</v>
      </c>
      <c r="AL43">
        <f t="shared" si="7"/>
        <v>10002.381254960506</v>
      </c>
      <c r="AM43" s="122">
        <f t="shared" si="31"/>
        <v>1</v>
      </c>
      <c r="AN43" s="122">
        <f t="shared" si="32"/>
        <v>20</v>
      </c>
      <c r="AO43">
        <f t="shared" si="33"/>
        <v>1000</v>
      </c>
      <c r="AQ43" s="122">
        <f t="shared" si="16"/>
        <v>-1430.2942251341003</v>
      </c>
      <c r="AR43" s="80">
        <f t="shared" si="17"/>
        <v>-4.1253737504865764E-5</v>
      </c>
      <c r="AS43" s="164">
        <f t="shared" si="18"/>
        <v>2.699999584700891E-5</v>
      </c>
      <c r="AT43" s="83">
        <f t="shared" si="19"/>
        <v>7.7912729940625008E-2</v>
      </c>
      <c r="AU43" s="123">
        <f t="shared" si="20"/>
        <v>-1430.2942251341003</v>
      </c>
      <c r="AV43" s="80">
        <f t="shared" si="21"/>
        <v>-4.1253737504865764E-5</v>
      </c>
      <c r="AW43" s="123">
        <f t="shared" si="14"/>
        <v>3.0000000000000002E-2</v>
      </c>
      <c r="AX43" s="83">
        <f t="shared" si="22"/>
        <v>8.6569713249703639E-2</v>
      </c>
    </row>
    <row r="44" spans="1:50">
      <c r="B44" s="53">
        <v>0</v>
      </c>
      <c r="C44" s="50">
        <f t="shared" si="26"/>
        <v>0</v>
      </c>
      <c r="D44" s="51">
        <v>50</v>
      </c>
      <c r="E44" s="52">
        <f t="shared" si="34"/>
        <v>2</v>
      </c>
      <c r="F44" s="50">
        <f t="shared" si="27"/>
        <v>0</v>
      </c>
      <c r="K44" s="132" t="s">
        <v>224</v>
      </c>
      <c r="S44" s="85" t="s">
        <v>715</v>
      </c>
      <c r="T44">
        <v>0</v>
      </c>
      <c r="U44">
        <v>0</v>
      </c>
      <c r="V44">
        <v>0</v>
      </c>
      <c r="W44">
        <v>0</v>
      </c>
      <c r="AB44" s="85" t="s">
        <v>715</v>
      </c>
      <c r="AC44" s="120">
        <v>1.6402607681742294E-2</v>
      </c>
      <c r="AD44" s="121">
        <v>4.3451656059092283</v>
      </c>
      <c r="AE44" s="120">
        <v>9.3192121072745535E-2</v>
      </c>
      <c r="AF44" s="121">
        <v>2.4687245291024866</v>
      </c>
      <c r="AG44" s="121"/>
      <c r="AH44" t="str">
        <f t="shared" si="28"/>
        <v>1Z</v>
      </c>
      <c r="AI44">
        <f t="shared" si="6"/>
        <v>0</v>
      </c>
      <c r="AJ44" s="122">
        <f t="shared" si="29"/>
        <v>9.9999999999999995E-7</v>
      </c>
      <c r="AK44" s="122">
        <f t="shared" si="30"/>
        <v>0.2</v>
      </c>
      <c r="AL44">
        <f t="shared" si="7"/>
        <v>0</v>
      </c>
      <c r="AM44" s="122">
        <f t="shared" si="31"/>
        <v>1E-3</v>
      </c>
      <c r="AN44" s="122">
        <f t="shared" si="32"/>
        <v>2E-3</v>
      </c>
      <c r="AO44">
        <f t="shared" si="33"/>
        <v>53</v>
      </c>
      <c r="AQ44" s="122">
        <f t="shared" si="16"/>
        <v>3.7735849056603774E-3</v>
      </c>
      <c r="AR44" s="80">
        <f t="shared" si="17"/>
        <v>2.3006005989283926E-7</v>
      </c>
      <c r="AS44" s="164" t="e">
        <f t="shared" si="18"/>
        <v>#DIV/0!</v>
      </c>
      <c r="AT44" s="83" t="e">
        <f t="shared" si="19"/>
        <v>#DIV/0!</v>
      </c>
      <c r="AU44" s="123">
        <f t="shared" si="20"/>
        <v>3.7735849056603774E-3</v>
      </c>
      <c r="AV44" s="80">
        <f t="shared" si="21"/>
        <v>2.3006005989283926E-7</v>
      </c>
      <c r="AW44" s="123">
        <f t="shared" si="14"/>
        <v>3.0000000000000002E-2</v>
      </c>
      <c r="AX44" s="83" t="e">
        <f t="shared" si="22"/>
        <v>#DIV/0!</v>
      </c>
    </row>
    <row r="45" spans="1:50">
      <c r="A45" s="54"/>
      <c r="B45" s="53">
        <v>0</v>
      </c>
      <c r="C45" s="50">
        <f t="shared" si="26"/>
        <v>0</v>
      </c>
      <c r="D45" s="51">
        <v>1</v>
      </c>
      <c r="E45" s="52">
        <f>0.5*(1/(0.01*D45)^2)</f>
        <v>5000</v>
      </c>
      <c r="F45" s="50">
        <f t="shared" si="27"/>
        <v>0</v>
      </c>
      <c r="S45" s="85" t="s">
        <v>716</v>
      </c>
      <c r="T45">
        <v>0</v>
      </c>
      <c r="U45">
        <v>0</v>
      </c>
      <c r="V45">
        <v>0</v>
      </c>
      <c r="W45">
        <v>0</v>
      </c>
      <c r="AB45" s="85" t="s">
        <v>716</v>
      </c>
      <c r="AC45" s="120">
        <v>2.0558740614861773E-3</v>
      </c>
      <c r="AD45" s="121">
        <v>4.0319007489395435</v>
      </c>
      <c r="AE45" s="120">
        <v>1.2358154466849444E-2</v>
      </c>
      <c r="AF45" s="121">
        <v>2.4236334896726905</v>
      </c>
      <c r="AG45" s="121"/>
      <c r="AH45" t="str">
        <f t="shared" si="28"/>
        <v>1Z</v>
      </c>
      <c r="AI45">
        <f t="shared" si="6"/>
        <v>0</v>
      </c>
      <c r="AJ45" s="122">
        <f t="shared" si="29"/>
        <v>9.9999999999999995E-7</v>
      </c>
      <c r="AK45" s="122">
        <f t="shared" si="30"/>
        <v>0.2</v>
      </c>
      <c r="AL45">
        <f t="shared" si="7"/>
        <v>0</v>
      </c>
      <c r="AM45" s="122">
        <f t="shared" si="31"/>
        <v>1E-3</v>
      </c>
      <c r="AN45" s="122">
        <f t="shared" si="32"/>
        <v>2E-3</v>
      </c>
      <c r="AO45">
        <f t="shared" si="33"/>
        <v>400</v>
      </c>
      <c r="AQ45" s="122">
        <f t="shared" si="16"/>
        <v>5.0000000000000001E-4</v>
      </c>
      <c r="AR45" s="80">
        <f t="shared" si="17"/>
        <v>2.4320555882618286E-7</v>
      </c>
      <c r="AS45" s="164" t="e">
        <f t="shared" si="18"/>
        <v>#DIV/0!</v>
      </c>
      <c r="AT45" s="83" t="e">
        <f t="shared" si="19"/>
        <v>#DIV/0!</v>
      </c>
      <c r="AU45" s="123">
        <f t="shared" si="20"/>
        <v>5.0000000000000001E-4</v>
      </c>
      <c r="AV45" s="80">
        <f t="shared" si="21"/>
        <v>2.4320555882618286E-7</v>
      </c>
      <c r="AW45" s="123">
        <f t="shared" si="14"/>
        <v>3.0000000000000002E-2</v>
      </c>
      <c r="AX45" s="83" t="e">
        <f t="shared" si="22"/>
        <v>#DIV/0!</v>
      </c>
    </row>
    <row r="46" spans="1:50" ht="13.5" thickBot="1">
      <c r="B46" s="56" t="s">
        <v>29</v>
      </c>
      <c r="C46" s="144">
        <f>SUM(C37:C45)</f>
        <v>30844.21089679424</v>
      </c>
      <c r="E46" s="26" t="s">
        <v>30</v>
      </c>
      <c r="F46" s="129">
        <f>SUM(F37:F45)</f>
        <v>150738277.92395651</v>
      </c>
      <c r="S46" s="85" t="s">
        <v>717</v>
      </c>
      <c r="T46">
        <v>0</v>
      </c>
      <c r="U46">
        <v>0</v>
      </c>
      <c r="V46">
        <v>0</v>
      </c>
      <c r="W46">
        <v>0</v>
      </c>
      <c r="AB46" s="85" t="s">
        <v>717</v>
      </c>
      <c r="AC46" s="120">
        <v>6.9789028528497235E-4</v>
      </c>
      <c r="AD46" s="121">
        <v>3.1210602202994453</v>
      </c>
      <c r="AE46" s="120">
        <v>5.1036638299709631E-3</v>
      </c>
      <c r="AF46" s="121">
        <v>2.2824278417386301</v>
      </c>
      <c r="AG46" s="121"/>
      <c r="AH46" t="str">
        <f t="shared" si="28"/>
        <v>1Z</v>
      </c>
      <c r="AI46">
        <f t="shared" si="6"/>
        <v>0</v>
      </c>
      <c r="AJ46" s="122">
        <f t="shared" si="29"/>
        <v>9.9999999999999995E-7</v>
      </c>
      <c r="AK46" s="122">
        <f t="shared" si="30"/>
        <v>0.2</v>
      </c>
      <c r="AL46">
        <f t="shared" si="7"/>
        <v>0</v>
      </c>
      <c r="AM46" s="122">
        <f t="shared" si="31"/>
        <v>1E-3</v>
      </c>
      <c r="AN46" s="122">
        <f t="shared" si="32"/>
        <v>2E-3</v>
      </c>
      <c r="AO46">
        <f t="shared" si="33"/>
        <v>1000</v>
      </c>
      <c r="AQ46" s="122">
        <f t="shared" si="16"/>
        <v>2.0000000000000001E-4</v>
      </c>
      <c r="AR46" s="80">
        <f t="shared" si="17"/>
        <v>2.8657799688146282E-7</v>
      </c>
      <c r="AS46" s="164" t="e">
        <f t="shared" si="18"/>
        <v>#DIV/0!</v>
      </c>
      <c r="AT46" s="83" t="e">
        <f t="shared" si="19"/>
        <v>#DIV/0!</v>
      </c>
      <c r="AU46" s="123">
        <f t="shared" si="20"/>
        <v>2.0000000000000001E-4</v>
      </c>
      <c r="AV46" s="80">
        <f t="shared" si="21"/>
        <v>2.8657799688146282E-7</v>
      </c>
      <c r="AW46" s="123">
        <f t="shared" si="14"/>
        <v>3.0000000000000002E-2</v>
      </c>
      <c r="AX46" s="83" t="e">
        <f t="shared" si="22"/>
        <v>#DIV/0!</v>
      </c>
    </row>
    <row r="47" spans="1:50">
      <c r="B47" s="56" t="s">
        <v>214</v>
      </c>
      <c r="C47" s="145">
        <f>SQRT(C46)</f>
        <v>175.6252000619337</v>
      </c>
      <c r="E47" s="57" t="s">
        <v>31</v>
      </c>
      <c r="F47" s="137">
        <f>R_standard_uncertainty^4/F46</f>
        <v>6.3113719948814797</v>
      </c>
      <c r="S47" s="85" t="s">
        <v>736</v>
      </c>
      <c r="T47">
        <v>0</v>
      </c>
      <c r="U47">
        <v>5</v>
      </c>
      <c r="V47">
        <v>0</v>
      </c>
      <c r="W47">
        <v>0</v>
      </c>
      <c r="AB47" s="85" t="s">
        <v>736</v>
      </c>
      <c r="AC47" s="120">
        <v>1.3584837598877497E-3</v>
      </c>
      <c r="AD47" s="121">
        <v>3.3132292282999778</v>
      </c>
      <c r="AE47" s="120">
        <v>9.5498295577333692E-3</v>
      </c>
      <c r="AF47" s="121">
        <v>2.2968824717266578</v>
      </c>
      <c r="AG47" s="516">
        <f>AC47*VLOOKUP(VLOOKUP(AB47,Results,2,FALSE),multiplier,4,FALSE)/(VLOOKUP(AB47,Results,7,FALSE)*VLOOKUP(VLOOKUP(AB47,Results,2,FALSE),multiplier,7,FALSE))^2*1000000000000</f>
        <v>0.13576454101329549</v>
      </c>
      <c r="AH47" t="str">
        <f t="shared" si="28"/>
        <v>6Z</v>
      </c>
      <c r="AI47">
        <f t="shared" si="6"/>
        <v>-8.331193516795312E-3</v>
      </c>
      <c r="AJ47" s="122">
        <f t="shared" si="29"/>
        <v>1</v>
      </c>
      <c r="AK47" s="122">
        <f t="shared" si="30"/>
        <v>20000</v>
      </c>
      <c r="AL47">
        <f t="shared" si="7"/>
        <v>100.03087037188301</v>
      </c>
      <c r="AM47" s="122">
        <f t="shared" si="31"/>
        <v>1000</v>
      </c>
      <c r="AN47" s="122">
        <f t="shared" si="32"/>
        <v>200</v>
      </c>
      <c r="AO47">
        <f t="shared" si="33"/>
        <v>53</v>
      </c>
      <c r="AQ47" s="122">
        <f t="shared" si="16"/>
        <v>-183286.25359591196</v>
      </c>
      <c r="AR47" s="80">
        <f t="shared" si="17"/>
        <v>-1.3491972374484384E-4</v>
      </c>
      <c r="AS47" s="164">
        <f t="shared" si="18"/>
        <v>2.6999999967591678E-5</v>
      </c>
      <c r="AT47" s="83">
        <f t="shared" si="19"/>
        <v>0.19887372480379506</v>
      </c>
      <c r="AU47" s="123">
        <f t="shared" si="20"/>
        <v>-183286.25359591196</v>
      </c>
      <c r="AV47" s="80">
        <f t="shared" si="21"/>
        <v>-1.3491972374484384E-4</v>
      </c>
      <c r="AW47" s="123">
        <f t="shared" si="14"/>
        <v>3.0000000000000002E-2</v>
      </c>
      <c r="AX47" s="83">
        <f t="shared" si="22"/>
        <v>0.22097080560278318</v>
      </c>
    </row>
    <row r="48" spans="1:50">
      <c r="B48" s="33"/>
      <c r="E48" s="58" t="s">
        <v>17</v>
      </c>
      <c r="F48" s="138">
        <f>$G$3+$G$4/F47+$G$5/F47^2+$G$6/F47^3</f>
        <v>2.3960315364873663</v>
      </c>
      <c r="S48" s="85" t="s">
        <v>737</v>
      </c>
      <c r="T48">
        <v>0</v>
      </c>
      <c r="U48">
        <v>5</v>
      </c>
      <c r="V48">
        <v>0</v>
      </c>
      <c r="W48">
        <v>0</v>
      </c>
      <c r="AB48" s="85" t="s">
        <v>737</v>
      </c>
      <c r="AC48" s="120">
        <v>3.5738739689234736E-4</v>
      </c>
      <c r="AD48" s="121">
        <v>2.1276390639234002</v>
      </c>
      <c r="AE48" s="120">
        <v>4.2406343623476979E-3</v>
      </c>
      <c r="AF48" s="121">
        <v>2.3355261815128032</v>
      </c>
      <c r="AG48" s="516">
        <f>AC48*VLOOKUP(VLOOKUP(AB48,Results,2,FALSE),multiplier,4,FALSE)/(VLOOKUP(AB48,Results,7,FALSE)*VLOOKUP(VLOOKUP(AB48,Results,2,FALSE),multiplier,7,FALSE))^2*1000000000000</f>
        <v>3.5716963046872961E-2</v>
      </c>
      <c r="AH48" t="str">
        <f t="shared" si="28"/>
        <v>6Z</v>
      </c>
      <c r="AI48">
        <f t="shared" si="6"/>
        <v>-7.9011319066846306E-3</v>
      </c>
      <c r="AJ48" s="122">
        <f t="shared" si="29"/>
        <v>1</v>
      </c>
      <c r="AK48" s="122">
        <f t="shared" si="30"/>
        <v>20000</v>
      </c>
      <c r="AL48">
        <f t="shared" si="7"/>
        <v>100.0304803687235</v>
      </c>
      <c r="AM48" s="122">
        <f t="shared" si="31"/>
        <v>1000</v>
      </c>
      <c r="AN48" s="122">
        <f t="shared" si="32"/>
        <v>200</v>
      </c>
      <c r="AO48">
        <f t="shared" si="33"/>
        <v>400</v>
      </c>
      <c r="AQ48" s="122">
        <f t="shared" si="16"/>
        <v>-173824.90144706189</v>
      </c>
      <c r="AR48" s="80">
        <f t="shared" si="17"/>
        <v>-4.8637669643236366E-4</v>
      </c>
      <c r="AS48" s="164">
        <f t="shared" si="18"/>
        <v>2.6999999965827681E-5</v>
      </c>
      <c r="AT48" s="83">
        <f t="shared" si="19"/>
        <v>0.75594332951528886</v>
      </c>
      <c r="AU48" s="123">
        <f t="shared" si="20"/>
        <v>-173824.90144706189</v>
      </c>
      <c r="AV48" s="80">
        <f t="shared" si="21"/>
        <v>-4.8637669643236366E-4</v>
      </c>
      <c r="AW48" s="123">
        <f t="shared" si="14"/>
        <v>3.0000000000000002E-2</v>
      </c>
      <c r="AX48" s="83">
        <f t="shared" si="22"/>
        <v>0.83993703385782459</v>
      </c>
    </row>
    <row r="49" spans="1:50" ht="13.5" thickBot="1">
      <c r="A49" s="26" t="s">
        <v>32</v>
      </c>
      <c r="B49" s="33"/>
      <c r="E49" s="59" t="s">
        <v>122</v>
      </c>
      <c r="F49" s="139">
        <f>F48*R_standard_uncertainty</f>
        <v>420.80351795029611</v>
      </c>
      <c r="S49" s="85" t="s">
        <v>738</v>
      </c>
      <c r="T49">
        <v>0</v>
      </c>
      <c r="U49">
        <v>5</v>
      </c>
      <c r="V49">
        <v>0</v>
      </c>
      <c r="W49">
        <v>0</v>
      </c>
      <c r="AB49" s="85" t="s">
        <v>738</v>
      </c>
      <c r="AC49" s="120">
        <v>3.4674804247361465E-4</v>
      </c>
      <c r="AD49" s="121">
        <v>2.1457143904065035</v>
      </c>
      <c r="AE49" s="120">
        <v>4.2081192685225043E-3</v>
      </c>
      <c r="AF49" s="121">
        <v>2.3951807651364567</v>
      </c>
      <c r="AG49" s="516">
        <f>AC49*VLOOKUP(VLOOKUP(AB49,Results,2,FALSE),multiplier,4,FALSE)/(VLOOKUP(AB49,Results,7,FALSE)*VLOOKUP(VLOOKUP(AB49,Results,2,FALSE),multiplier,7,FALSE))^2*1000000000000</f>
        <v>3.4654368769809776E-2</v>
      </c>
      <c r="AH49" t="str">
        <f t="shared" si="28"/>
        <v>6Z</v>
      </c>
      <c r="AI49">
        <f t="shared" si="6"/>
        <v>-7.8311218771317283E-3</v>
      </c>
      <c r="AJ49" s="122">
        <f t="shared" si="29"/>
        <v>1</v>
      </c>
      <c r="AK49" s="122">
        <f t="shared" si="30"/>
        <v>20000</v>
      </c>
      <c r="AL49">
        <f t="shared" si="7"/>
        <v>100.02948036062223</v>
      </c>
      <c r="AM49" s="122">
        <f t="shared" si="31"/>
        <v>1000</v>
      </c>
      <c r="AN49" s="122">
        <f t="shared" si="32"/>
        <v>200</v>
      </c>
      <c r="AO49">
        <f t="shared" si="33"/>
        <v>1000</v>
      </c>
      <c r="AQ49" s="122">
        <f t="shared" si="16"/>
        <v>-172284.68109689801</v>
      </c>
      <c r="AR49" s="80">
        <f t="shared" si="17"/>
        <v>-4.9685841012356345E-4</v>
      </c>
      <c r="AS49" s="164">
        <f t="shared" si="18"/>
        <v>2.699999996552218E-5</v>
      </c>
      <c r="AT49" s="83">
        <f t="shared" si="19"/>
        <v>0.77912254425606686</v>
      </c>
      <c r="AU49" s="123">
        <f t="shared" si="20"/>
        <v>-172284.68109689801</v>
      </c>
      <c r="AV49" s="80">
        <f t="shared" si="21"/>
        <v>-4.9685841012356345E-4</v>
      </c>
      <c r="AW49" s="123">
        <f t="shared" si="14"/>
        <v>3.0000000000000002E-2</v>
      </c>
      <c r="AX49" s="83">
        <f t="shared" si="22"/>
        <v>0.86569171694552494</v>
      </c>
    </row>
    <row r="50" spans="1:50">
      <c r="A50" s="28" t="s">
        <v>225</v>
      </c>
      <c r="B50" s="33"/>
      <c r="S50" s="85" t="s">
        <v>739</v>
      </c>
      <c r="T50">
        <v>0</v>
      </c>
      <c r="U50">
        <v>0</v>
      </c>
      <c r="V50">
        <v>0</v>
      </c>
      <c r="W50">
        <v>0</v>
      </c>
      <c r="AB50" s="85" t="s">
        <v>739</v>
      </c>
      <c r="AC50" s="120">
        <v>4.1505282073466888E-4</v>
      </c>
      <c r="AD50" s="121">
        <v>2.5928144155949635</v>
      </c>
      <c r="AE50" s="120">
        <v>3.5234141974052413E-3</v>
      </c>
      <c r="AF50" s="121">
        <v>2.2010593993865624</v>
      </c>
      <c r="AG50" s="121"/>
      <c r="AH50" t="str">
        <f t="shared" si="28"/>
        <v>4Z</v>
      </c>
      <c r="AI50">
        <f t="shared" si="6"/>
        <v>0</v>
      </c>
      <c r="AJ50" s="122">
        <f t="shared" si="29"/>
        <v>1E-3</v>
      </c>
      <c r="AK50" s="122">
        <f t="shared" si="30"/>
        <v>200</v>
      </c>
      <c r="AL50">
        <f t="shared" si="7"/>
        <v>0</v>
      </c>
      <c r="AM50" s="122">
        <f t="shared" si="31"/>
        <v>1</v>
      </c>
      <c r="AN50" s="122">
        <f t="shared" si="32"/>
        <v>2</v>
      </c>
      <c r="AO50">
        <f t="shared" si="33"/>
        <v>1600</v>
      </c>
      <c r="AQ50" s="122">
        <f t="shared" si="16"/>
        <v>1.25E-4</v>
      </c>
      <c r="AR50" s="80">
        <f t="shared" si="17"/>
        <v>3.011664871443166E-10</v>
      </c>
      <c r="AS50" s="164" t="e">
        <f t="shared" si="18"/>
        <v>#DIV/0!</v>
      </c>
      <c r="AT50" s="83" t="e">
        <f t="shared" si="19"/>
        <v>#DIV/0!</v>
      </c>
      <c r="AU50" s="123">
        <f t="shared" si="20"/>
        <v>1.25E-4</v>
      </c>
      <c r="AV50" s="80">
        <f t="shared" si="21"/>
        <v>3.011664871443166E-10</v>
      </c>
      <c r="AW50" s="123">
        <f t="shared" si="14"/>
        <v>3.0000000000000002E-2</v>
      </c>
      <c r="AX50" s="83" t="e">
        <f t="shared" si="22"/>
        <v>#DIV/0!</v>
      </c>
    </row>
    <row r="51" spans="1:50">
      <c r="A51" t="s">
        <v>226</v>
      </c>
      <c r="B51" s="33"/>
      <c r="E51" s="28"/>
      <c r="F51" s="60"/>
      <c r="S51" s="85" t="s">
        <v>740</v>
      </c>
      <c r="T51">
        <v>0</v>
      </c>
      <c r="U51">
        <v>5</v>
      </c>
      <c r="V51">
        <f>V53</f>
        <v>315.30881999519346</v>
      </c>
      <c r="W51">
        <f>0.1*V51</f>
        <v>31.530881999519348</v>
      </c>
      <c r="AB51" s="85" t="s">
        <v>740</v>
      </c>
      <c r="AC51" s="120">
        <v>2.1963368258022826E-3</v>
      </c>
      <c r="AD51" s="121">
        <v>2.1435191283678097</v>
      </c>
      <c r="AE51" s="120">
        <v>2.6615291797955114E-2</v>
      </c>
      <c r="AF51" s="121">
        <v>2.3904695775300739</v>
      </c>
      <c r="AG51" s="121"/>
      <c r="AH51" t="str">
        <f t="shared" si="28"/>
        <v>4Z</v>
      </c>
      <c r="AI51">
        <f t="shared" si="6"/>
        <v>0.10012060975938702</v>
      </c>
      <c r="AJ51" s="122">
        <f t="shared" si="29"/>
        <v>1E-3</v>
      </c>
      <c r="AK51" s="122">
        <f t="shared" si="30"/>
        <v>200</v>
      </c>
      <c r="AL51">
        <f t="shared" si="7"/>
        <v>632.50472356050807</v>
      </c>
      <c r="AM51" s="122">
        <f t="shared" si="31"/>
        <v>1</v>
      </c>
      <c r="AN51" s="122">
        <f t="shared" si="32"/>
        <v>2</v>
      </c>
      <c r="AO51">
        <f t="shared" si="33"/>
        <v>1600</v>
      </c>
      <c r="AQ51" s="122">
        <f t="shared" si="16"/>
        <v>2202.6535397065145</v>
      </c>
      <c r="AR51" s="80">
        <f t="shared" si="17"/>
        <v>1.0028760223978507E-3</v>
      </c>
      <c r="AS51" s="164">
        <f t="shared" si="18"/>
        <v>2.7000002696747457E-5</v>
      </c>
      <c r="AT51" s="83" t="e">
        <f t="shared" si="19"/>
        <v>#DIV/0!</v>
      </c>
      <c r="AU51" s="123">
        <f t="shared" si="20"/>
        <v>2202.6535397065145</v>
      </c>
      <c r="AV51" s="80">
        <f t="shared" si="21"/>
        <v>1.0028760223978507E-3</v>
      </c>
      <c r="AW51" s="123">
        <f t="shared" si="14"/>
        <v>3.0000000000000002E-2</v>
      </c>
      <c r="AX51" s="83" t="e">
        <f t="shared" si="22"/>
        <v>#DIV/0!</v>
      </c>
    </row>
    <row r="52" spans="1:50">
      <c r="B52" s="33"/>
      <c r="S52" s="85" t="s">
        <v>739</v>
      </c>
      <c r="T52">
        <v>0</v>
      </c>
      <c r="U52">
        <v>0</v>
      </c>
      <c r="V52">
        <v>0</v>
      </c>
      <c r="W52">
        <v>0</v>
      </c>
      <c r="AB52" s="85" t="s">
        <v>739</v>
      </c>
      <c r="AC52" s="120">
        <v>4.1505282073466888E-4</v>
      </c>
      <c r="AD52" s="121">
        <v>2.5928144155949635</v>
      </c>
      <c r="AE52" s="120">
        <v>3.5234141974052413E-3</v>
      </c>
      <c r="AF52" s="121">
        <v>2.2010593993865624</v>
      </c>
      <c r="AG52" s="121"/>
      <c r="AH52" t="str">
        <f t="shared" si="28"/>
        <v>4Z</v>
      </c>
      <c r="AI52">
        <f t="shared" si="6"/>
        <v>0</v>
      </c>
      <c r="AJ52" s="122">
        <f t="shared" si="29"/>
        <v>1E-3</v>
      </c>
      <c r="AK52" s="122">
        <f t="shared" si="30"/>
        <v>200</v>
      </c>
      <c r="AL52">
        <f t="shared" si="7"/>
        <v>0</v>
      </c>
      <c r="AM52" s="122">
        <f t="shared" si="31"/>
        <v>1</v>
      </c>
      <c r="AN52" s="122">
        <f t="shared" si="32"/>
        <v>2</v>
      </c>
      <c r="AO52">
        <f t="shared" si="33"/>
        <v>1600</v>
      </c>
      <c r="AQ52" s="122">
        <f t="shared" si="16"/>
        <v>1.25E-4</v>
      </c>
      <c r="AR52" s="80">
        <f t="shared" si="17"/>
        <v>3.011664871443166E-10</v>
      </c>
      <c r="AS52" s="164" t="e">
        <f t="shared" si="18"/>
        <v>#DIV/0!</v>
      </c>
      <c r="AT52" s="83" t="e">
        <f t="shared" si="19"/>
        <v>#DIV/0!</v>
      </c>
      <c r="AU52" s="123">
        <f t="shared" si="20"/>
        <v>1.25E-4</v>
      </c>
      <c r="AV52" s="80">
        <f t="shared" si="21"/>
        <v>3.011664871443166E-10</v>
      </c>
      <c r="AW52" s="123">
        <f t="shared" si="14"/>
        <v>3.0000000000000002E-2</v>
      </c>
      <c r="AX52" s="83" t="e">
        <f t="shared" si="22"/>
        <v>#DIV/0!</v>
      </c>
    </row>
    <row r="53" spans="1:50">
      <c r="S53" s="85" t="s">
        <v>741</v>
      </c>
      <c r="T53">
        <v>0</v>
      </c>
      <c r="U53">
        <v>5</v>
      </c>
      <c r="V53">
        <f>[1]Results!H66</f>
        <v>315.30881999519346</v>
      </c>
      <c r="W53">
        <f>0.1*V53</f>
        <v>31.530881999519348</v>
      </c>
      <c r="AB53" s="85" t="s">
        <v>741</v>
      </c>
      <c r="AC53" s="120">
        <v>3.6511103502476092E-2</v>
      </c>
      <c r="AD53" s="121">
        <v>2.247005150745025</v>
      </c>
      <c r="AE53" s="120">
        <v>9.0331094585346439E-2</v>
      </c>
      <c r="AF53" s="121">
        <v>2.1742566166891666</v>
      </c>
      <c r="AG53" s="121"/>
      <c r="AH53" t="str">
        <f t="shared" si="28"/>
        <v>5Z</v>
      </c>
      <c r="AI53">
        <f t="shared" si="6"/>
        <v>99.884561168945325</v>
      </c>
      <c r="AJ53" s="122">
        <f t="shared" si="29"/>
        <v>1E-3</v>
      </c>
      <c r="AK53" s="122">
        <f t="shared" si="30"/>
        <v>2000</v>
      </c>
      <c r="AL53">
        <f t="shared" si="7"/>
        <v>2000.5704576533276</v>
      </c>
      <c r="AM53" s="122">
        <f t="shared" si="31"/>
        <v>1</v>
      </c>
      <c r="AN53" s="122">
        <f t="shared" si="32"/>
        <v>20</v>
      </c>
      <c r="AO53">
        <f t="shared" si="33"/>
        <v>1600</v>
      </c>
      <c r="AQ53" s="122">
        <f t="shared" si="16"/>
        <v>2197460.3458417971</v>
      </c>
      <c r="AR53" s="80">
        <f t="shared" si="17"/>
        <v>6.0186084096109857E-2</v>
      </c>
      <c r="AS53" s="164">
        <f t="shared" si="18"/>
        <v>2.7000000002703118E-5</v>
      </c>
      <c r="AT53" s="83" t="e">
        <f t="shared" si="19"/>
        <v>#DIV/0!</v>
      </c>
      <c r="AU53" s="123">
        <f t="shared" si="20"/>
        <v>2197460.3458417971</v>
      </c>
      <c r="AV53" s="80">
        <f t="shared" si="21"/>
        <v>6.0186084096109857E-2</v>
      </c>
      <c r="AW53" s="123">
        <f t="shared" si="14"/>
        <v>3.0000000000000002E-2</v>
      </c>
      <c r="AX53" s="83" t="e">
        <f t="shared" si="22"/>
        <v>#DIV/0!</v>
      </c>
    </row>
    <row r="54" spans="1:50" ht="15.75">
      <c r="A54" s="39" t="s">
        <v>461</v>
      </c>
      <c r="B54" s="40"/>
      <c r="C54" s="41"/>
      <c r="D54" s="42"/>
      <c r="F54" s="28" t="s">
        <v>20</v>
      </c>
      <c r="I54" s="146"/>
      <c r="S54" s="85" t="s">
        <v>742</v>
      </c>
      <c r="T54">
        <v>0</v>
      </c>
      <c r="U54">
        <v>0</v>
      </c>
      <c r="V54">
        <v>0</v>
      </c>
      <c r="W54">
        <v>0</v>
      </c>
      <c r="AB54" s="85" t="s">
        <v>742</v>
      </c>
      <c r="AC54" s="120">
        <v>1.6402607691407087E-2</v>
      </c>
      <c r="AD54" s="121">
        <v>4.3451656092916107</v>
      </c>
      <c r="AE54" s="120">
        <v>9.3192121073085346E-2</v>
      </c>
      <c r="AF54" s="121">
        <v>2.4687245294789979</v>
      </c>
      <c r="AG54" s="121"/>
      <c r="AH54" t="str">
        <f t="shared" si="28"/>
        <v>7Y</v>
      </c>
      <c r="AI54">
        <f t="shared" si="6"/>
        <v>0</v>
      </c>
      <c r="AJ54" s="122">
        <f t="shared" si="29"/>
        <v>9.9999999999999998E-13</v>
      </c>
      <c r="AK54" s="122">
        <f t="shared" si="30"/>
        <v>0</v>
      </c>
      <c r="AL54">
        <f t="shared" si="7"/>
        <v>0</v>
      </c>
      <c r="AM54" s="122">
        <f t="shared" si="31"/>
        <v>1.0000000000000001E-9</v>
      </c>
      <c r="AN54" s="122">
        <f t="shared" si="32"/>
        <v>0</v>
      </c>
      <c r="AO54">
        <f t="shared" si="33"/>
        <v>53</v>
      </c>
      <c r="AQ54" s="122">
        <f t="shared" si="16"/>
        <v>3.7735849056603774E-3</v>
      </c>
      <c r="AR54" s="80">
        <f t="shared" si="17"/>
        <v>0.23006005975728258</v>
      </c>
      <c r="AS54" s="164" t="e">
        <f t="shared" si="18"/>
        <v>#DIV/0!</v>
      </c>
      <c r="AT54" s="83" t="e">
        <f t="shared" si="19"/>
        <v>#DIV/0!</v>
      </c>
      <c r="AU54" s="123">
        <f t="shared" si="20"/>
        <v>3.7735849056603774E-3</v>
      </c>
      <c r="AV54" s="80">
        <f t="shared" si="21"/>
        <v>0.23006005975728258</v>
      </c>
      <c r="AW54" s="123">
        <f t="shared" si="14"/>
        <v>3.0000000000000002E-2</v>
      </c>
      <c r="AX54" s="83" t="e">
        <f t="shared" si="22"/>
        <v>#DIV/0!</v>
      </c>
    </row>
    <row r="55" spans="1:50">
      <c r="A55" s="43"/>
      <c r="B55" s="44" t="s">
        <v>21</v>
      </c>
      <c r="C55" s="62"/>
      <c r="D55" s="63"/>
      <c r="E55" s="43"/>
      <c r="F55" s="43"/>
      <c r="S55" s="85" t="s">
        <v>743</v>
      </c>
      <c r="T55">
        <v>0</v>
      </c>
      <c r="U55">
        <v>0</v>
      </c>
      <c r="V55">
        <v>0</v>
      </c>
      <c r="W55">
        <v>0</v>
      </c>
      <c r="AB55" s="85" t="s">
        <v>743</v>
      </c>
      <c r="AC55" s="120">
        <v>2.055874065355063E-3</v>
      </c>
      <c r="AD55" s="121">
        <v>4.0319007593173728</v>
      </c>
      <c r="AE55" s="120">
        <v>1.2358154466386669E-2</v>
      </c>
      <c r="AF55" s="121">
        <v>2.4236334909180508</v>
      </c>
      <c r="AG55" s="121"/>
      <c r="AH55" t="str">
        <f t="shared" si="28"/>
        <v>7Y</v>
      </c>
      <c r="AI55">
        <f t="shared" si="6"/>
        <v>0</v>
      </c>
      <c r="AJ55" s="122">
        <f t="shared" si="29"/>
        <v>9.9999999999999998E-13</v>
      </c>
      <c r="AK55" s="122">
        <f t="shared" si="30"/>
        <v>0</v>
      </c>
      <c r="AL55">
        <f t="shared" si="7"/>
        <v>0</v>
      </c>
      <c r="AM55" s="122">
        <f t="shared" si="31"/>
        <v>1.0000000000000001E-9</v>
      </c>
      <c r="AN55" s="122">
        <f t="shared" si="32"/>
        <v>0</v>
      </c>
      <c r="AO55">
        <f t="shared" si="33"/>
        <v>400</v>
      </c>
      <c r="AQ55" s="122">
        <f t="shared" si="16"/>
        <v>5.0000000000000001E-4</v>
      </c>
      <c r="AR55" s="80">
        <f t="shared" si="17"/>
        <v>0.24320555836850191</v>
      </c>
      <c r="AS55" s="164" t="e">
        <f t="shared" si="18"/>
        <v>#DIV/0!</v>
      </c>
      <c r="AT55" s="83" t="e">
        <f t="shared" si="19"/>
        <v>#DIV/0!</v>
      </c>
      <c r="AU55" s="123">
        <f t="shared" si="20"/>
        <v>5.0000000000000001E-4</v>
      </c>
      <c r="AV55" s="80">
        <f t="shared" si="21"/>
        <v>0.24320555836850191</v>
      </c>
      <c r="AW55" s="123">
        <f t="shared" si="14"/>
        <v>3.0000000000000002E-2</v>
      </c>
      <c r="AX55" s="83" t="e">
        <f t="shared" si="22"/>
        <v>#DIV/0!</v>
      </c>
    </row>
    <row r="56" spans="1:50">
      <c r="A56" s="45" t="s">
        <v>22</v>
      </c>
      <c r="B56" s="44" t="s">
        <v>23</v>
      </c>
      <c r="E56" s="45" t="s">
        <v>24</v>
      </c>
      <c r="S56" t="s">
        <v>744</v>
      </c>
      <c r="T56">
        <v>0</v>
      </c>
      <c r="U56">
        <v>0</v>
      </c>
      <c r="V56">
        <v>0</v>
      </c>
      <c r="W56">
        <v>0</v>
      </c>
      <c r="AB56" s="85" t="s">
        <v>744</v>
      </c>
      <c r="AC56" s="120">
        <v>6.9789028914609634E-4</v>
      </c>
      <c r="AD56" s="121">
        <v>3.1210602508499514</v>
      </c>
      <c r="AE56" s="120">
        <v>5.1036638239371091E-3</v>
      </c>
      <c r="AF56" s="121">
        <v>2.2824278466224626</v>
      </c>
      <c r="AG56" s="121"/>
      <c r="AH56" t="str">
        <f t="shared" si="28"/>
        <v>7Y</v>
      </c>
      <c r="AI56">
        <f t="shared" si="6"/>
        <v>0</v>
      </c>
      <c r="AJ56" s="122">
        <f t="shared" si="29"/>
        <v>9.9999999999999998E-13</v>
      </c>
      <c r="AK56" s="122">
        <f t="shared" si="30"/>
        <v>0</v>
      </c>
      <c r="AL56">
        <f t="shared" si="7"/>
        <v>0</v>
      </c>
      <c r="AM56" s="122">
        <f t="shared" si="31"/>
        <v>1.0000000000000001E-9</v>
      </c>
      <c r="AN56" s="122">
        <f t="shared" si="32"/>
        <v>0</v>
      </c>
      <c r="AO56">
        <f t="shared" si="33"/>
        <v>1000</v>
      </c>
      <c r="AQ56" s="147"/>
      <c r="AR56" s="148"/>
      <c r="AT56" s="83"/>
    </row>
    <row r="57" spans="1:50" ht="15.75">
      <c r="A57" s="47"/>
      <c r="B57" s="44" t="s">
        <v>207</v>
      </c>
      <c r="C57" s="45" t="s">
        <v>25</v>
      </c>
      <c r="D57" s="45" t="s">
        <v>26</v>
      </c>
      <c r="E57" s="45" t="s">
        <v>27</v>
      </c>
      <c r="F57" s="45" t="s">
        <v>28</v>
      </c>
      <c r="S57" t="s">
        <v>745</v>
      </c>
      <c r="T57">
        <v>0</v>
      </c>
      <c r="U57">
        <v>0</v>
      </c>
      <c r="V57">
        <v>0</v>
      </c>
      <c r="W57">
        <v>0</v>
      </c>
      <c r="AB57" s="85" t="s">
        <v>745</v>
      </c>
      <c r="AC57" s="120">
        <v>1.6402607693742629E-2</v>
      </c>
      <c r="AD57" s="121">
        <v>4.3451656101089782</v>
      </c>
      <c r="AE57" s="120">
        <v>9.3192121073167572E-2</v>
      </c>
      <c r="AF57" s="121">
        <v>2.4687245295700877</v>
      </c>
      <c r="AG57" s="121"/>
      <c r="AH57" t="str">
        <f t="shared" si="28"/>
        <v>7Y</v>
      </c>
      <c r="AI57">
        <f t="shared" si="6"/>
        <v>-8.00050284796E-4</v>
      </c>
      <c r="AJ57" s="122">
        <f t="shared" si="29"/>
        <v>9.9999999999999998E-13</v>
      </c>
      <c r="AK57" s="122">
        <f t="shared" si="30"/>
        <v>0</v>
      </c>
      <c r="AL57">
        <f t="shared" si="7"/>
        <v>-3.9997107118056627E-4</v>
      </c>
      <c r="AM57" s="122">
        <f t="shared" si="31"/>
        <v>1.0000000000000001E-9</v>
      </c>
      <c r="AN57" s="122">
        <f t="shared" si="32"/>
        <v>0</v>
      </c>
      <c r="AO57">
        <f t="shared" si="33"/>
        <v>53</v>
      </c>
      <c r="AQ57" s="147"/>
      <c r="AR57" s="148"/>
      <c r="AT57" s="83"/>
    </row>
    <row r="58" spans="1:50">
      <c r="A58" s="48" t="s">
        <v>128</v>
      </c>
      <c r="B58" s="134">
        <f>R_standard_uncertainty</f>
        <v>175.6252000619337</v>
      </c>
      <c r="C58" s="50">
        <f>B58^2</f>
        <v>30844.210896794237</v>
      </c>
      <c r="D58" s="61" t="s">
        <v>125</v>
      </c>
      <c r="E58" s="149">
        <f>R_v</f>
        <v>6.3113719948814797</v>
      </c>
      <c r="F58" s="50">
        <f>B58^4/E58</f>
        <v>150738277.92395651</v>
      </c>
      <c r="G58" t="s">
        <v>227</v>
      </c>
      <c r="S58" t="s">
        <v>746</v>
      </c>
      <c r="T58">
        <v>0</v>
      </c>
      <c r="U58">
        <v>0</v>
      </c>
      <c r="V58">
        <v>0</v>
      </c>
      <c r="W58">
        <v>0</v>
      </c>
      <c r="AB58" s="85" t="s">
        <v>746</v>
      </c>
      <c r="AC58" s="120">
        <v>2.055874065355063E-3</v>
      </c>
      <c r="AD58" s="121">
        <v>4.0319007593173728</v>
      </c>
      <c r="AE58" s="120">
        <v>1.2358154466386669E-2</v>
      </c>
      <c r="AF58" s="121">
        <v>2.4236334909180508</v>
      </c>
      <c r="AG58" s="121"/>
      <c r="AH58" t="str">
        <f t="shared" si="28"/>
        <v>7Y</v>
      </c>
      <c r="AI58">
        <f t="shared" si="6"/>
        <v>0</v>
      </c>
      <c r="AJ58" s="122">
        <f t="shared" si="29"/>
        <v>9.9999999999999998E-13</v>
      </c>
      <c r="AK58" s="122">
        <f t="shared" si="30"/>
        <v>0</v>
      </c>
      <c r="AL58">
        <f t="shared" si="7"/>
        <v>0</v>
      </c>
      <c r="AM58" s="122">
        <f t="shared" si="31"/>
        <v>1.0000000000000001E-9</v>
      </c>
      <c r="AN58" s="122">
        <f t="shared" si="32"/>
        <v>0</v>
      </c>
      <c r="AO58">
        <f t="shared" si="33"/>
        <v>400</v>
      </c>
      <c r="AQ58" s="147"/>
      <c r="AR58" s="148"/>
      <c r="AT58" s="83"/>
    </row>
    <row r="59" spans="1:50">
      <c r="A59" s="48" t="s">
        <v>228</v>
      </c>
      <c r="B59" s="150">
        <v>0</v>
      </c>
      <c r="C59" s="50">
        <f>B59^2</f>
        <v>0</v>
      </c>
      <c r="D59" s="51">
        <v>30</v>
      </c>
      <c r="E59" s="52">
        <f>0.5*(1/(0.01*D59)^2)</f>
        <v>5.5555555555555554</v>
      </c>
      <c r="F59" s="50">
        <f>B59^4/E59</f>
        <v>0</v>
      </c>
      <c r="S59" t="s">
        <v>747</v>
      </c>
      <c r="T59">
        <v>0</v>
      </c>
      <c r="U59">
        <v>0</v>
      </c>
      <c r="V59">
        <v>0</v>
      </c>
      <c r="W59">
        <v>0</v>
      </c>
      <c r="AB59" s="85" t="s">
        <v>747</v>
      </c>
      <c r="AC59" s="120">
        <v>6.978902891203165E-4</v>
      </c>
      <c r="AD59" s="121">
        <v>3.1210602506459733</v>
      </c>
      <c r="AE59" s="120">
        <v>5.1036638239982486E-3</v>
      </c>
      <c r="AF59" s="121">
        <v>2.2824278465729773</v>
      </c>
      <c r="AG59" s="121"/>
      <c r="AH59" t="str">
        <f t="shared" si="28"/>
        <v>7Y</v>
      </c>
      <c r="AI59">
        <f t="shared" si="6"/>
        <v>0</v>
      </c>
      <c r="AJ59" s="122">
        <f t="shared" si="29"/>
        <v>9.9999999999999998E-13</v>
      </c>
      <c r="AK59" s="122">
        <f t="shared" si="30"/>
        <v>0</v>
      </c>
      <c r="AL59">
        <f t="shared" si="7"/>
        <v>2.9997830338542475E-4</v>
      </c>
      <c r="AM59" s="122">
        <f t="shared" si="31"/>
        <v>1.0000000000000001E-9</v>
      </c>
      <c r="AN59" s="122">
        <f t="shared" si="32"/>
        <v>0</v>
      </c>
      <c r="AO59">
        <f t="shared" si="33"/>
        <v>1000</v>
      </c>
      <c r="AQ59" s="147"/>
      <c r="AR59" s="148"/>
      <c r="AT59" s="83"/>
    </row>
    <row r="60" spans="1:50">
      <c r="A60" s="48" t="s">
        <v>129</v>
      </c>
      <c r="B60" s="237">
        <f>SQRT((VLOOKUP(label, Params,2,FALSE)*0.5)^2+(0.5*0.2*VLOOKUP(label, Params,3,FALSE))^2)*0.000001*D34</f>
        <v>5.0015834999999997</v>
      </c>
      <c r="C60" s="50">
        <f>B60^2</f>
        <v>25.015837507472249</v>
      </c>
      <c r="D60" s="51">
        <v>20</v>
      </c>
      <c r="E60" s="52">
        <f>0.5*(1/(0.01*D60)^2)</f>
        <v>12.499999999999998</v>
      </c>
      <c r="F60" s="50">
        <f>B60^4/E60</f>
        <v>50.063370096020435</v>
      </c>
      <c r="G60" t="s">
        <v>229</v>
      </c>
    </row>
    <row r="61" spans="1:50">
      <c r="A61" s="48" t="s">
        <v>379</v>
      </c>
      <c r="B61" s="237">
        <f>0.005*(10000*VLOOKUP(label,Results,5,FALSE)*VLOOKUP(VLOOKUP(label,Results,2,FALSE),multiplier,4,FALSE))^2/(L65*M65)*0</f>
        <v>0</v>
      </c>
      <c r="C61" s="129">
        <f>B61^2</f>
        <v>0</v>
      </c>
      <c r="D61" s="51">
        <v>30</v>
      </c>
      <c r="E61" s="52">
        <f>0.5*(1/(0.01*D61)^2)</f>
        <v>5.5555555555555554</v>
      </c>
      <c r="F61" s="50">
        <f>B61^4/E61</f>
        <v>0</v>
      </c>
      <c r="G61" t="s">
        <v>380</v>
      </c>
      <c r="AQ61" s="28" t="s">
        <v>230</v>
      </c>
    </row>
    <row r="62" spans="1:50" ht="13.5" thickBot="1">
      <c r="B62" s="56" t="s">
        <v>29</v>
      </c>
      <c r="C62" s="144">
        <f>SUM(C58:C61)</f>
        <v>30869.226734301708</v>
      </c>
      <c r="E62" s="26" t="s">
        <v>30</v>
      </c>
      <c r="F62" s="50">
        <f>SUM(F58:F61)</f>
        <v>150738327.98732662</v>
      </c>
    </row>
    <row r="63" spans="1:50">
      <c r="B63" s="56" t="s">
        <v>214</v>
      </c>
      <c r="C63" s="131">
        <f>SQRT(C62)</f>
        <v>175.69640501245809</v>
      </c>
      <c r="E63" s="57" t="s">
        <v>31</v>
      </c>
      <c r="F63" s="137">
        <f>C63^4/F62</f>
        <v>6.3216115761470002</v>
      </c>
      <c r="G63" s="146"/>
    </row>
    <row r="64" spans="1:50">
      <c r="B64" s="33"/>
      <c r="E64" s="58" t="s">
        <v>17</v>
      </c>
      <c r="F64" s="151">
        <f>$G$3+$G$4/F63+$G$5/F63^2+$G$6/F63^3</f>
        <v>2.3951823360281952</v>
      </c>
      <c r="G64" s="146"/>
      <c r="H64" s="90" t="s">
        <v>381</v>
      </c>
      <c r="I64" s="90" t="s">
        <v>382</v>
      </c>
      <c r="J64" s="90" t="s">
        <v>383</v>
      </c>
      <c r="K64" s="90" t="s">
        <v>142</v>
      </c>
      <c r="L64" s="90" t="s">
        <v>384</v>
      </c>
      <c r="M64" s="90" t="s">
        <v>385</v>
      </c>
    </row>
    <row r="65" spans="1:13" ht="13.5" thickBot="1">
      <c r="A65" s="26" t="s">
        <v>32</v>
      </c>
      <c r="B65" s="33"/>
      <c r="E65" s="59" t="s">
        <v>122</v>
      </c>
      <c r="F65" s="152">
        <f>F64*C63</f>
        <v>420.82492578949524</v>
      </c>
      <c r="G65" s="146"/>
      <c r="H65" s="90" t="str">
        <f>VLOOKUP(label,Results,2,FALSE)</f>
        <v>3Z</v>
      </c>
      <c r="I65" s="90">
        <f>VLOOKUP(label,Results,5,FALSE)</f>
        <v>4.0008235668086731E-5</v>
      </c>
      <c r="J65" s="90">
        <f>VLOOKUP(H65,multiplier,4,FALSE)</f>
        <v>1E-3</v>
      </c>
      <c r="K65" s="90">
        <f>VLOOKUP(label,Results,7,FALSE)</f>
        <v>100.0388336117242</v>
      </c>
      <c r="L65" s="90">
        <f>VLOOKUP(H65,multiplier,5,FALSE)</f>
        <v>1.0000000000000001E-5</v>
      </c>
      <c r="M65" s="90">
        <f>VLOOKUP(H65,multiplier,7,FALSE)</f>
        <v>1</v>
      </c>
    </row>
    <row r="66" spans="1:13">
      <c r="A66" s="28" t="s">
        <v>231</v>
      </c>
      <c r="B66" s="33"/>
      <c r="F66" s="153">
        <f>F65*VLOOKUP(VLOOKUP(label,Results,2,FALSE),multiplier,5,FALSE)</f>
        <v>4.2082492578949526E-3</v>
      </c>
      <c r="G66" s="153" t="str">
        <f>VLOOKUP(label,Results,8,FALSE)</f>
        <v>ohm</v>
      </c>
    </row>
    <row r="67" spans="1:13">
      <c r="B67" s="33"/>
      <c r="E67" s="28"/>
      <c r="F67" s="60"/>
    </row>
    <row r="68" spans="1:13" ht="15.75">
      <c r="A68" s="39" t="s">
        <v>462</v>
      </c>
      <c r="B68" s="40"/>
      <c r="C68" s="41"/>
      <c r="D68" s="64"/>
      <c r="F68" s="28" t="s">
        <v>20</v>
      </c>
    </row>
    <row r="69" spans="1:13">
      <c r="A69" s="43"/>
      <c r="B69" s="44" t="s">
        <v>21</v>
      </c>
      <c r="C69" s="43"/>
      <c r="D69" s="43"/>
      <c r="E69" s="43"/>
      <c r="F69" s="43"/>
    </row>
    <row r="70" spans="1:13">
      <c r="A70" s="45" t="s">
        <v>22</v>
      </c>
      <c r="B70" s="44" t="s">
        <v>23</v>
      </c>
      <c r="E70" s="45" t="s">
        <v>24</v>
      </c>
    </row>
    <row r="71" spans="1:13" ht="15.75">
      <c r="A71" s="47"/>
      <c r="B71" s="44" t="s">
        <v>207</v>
      </c>
      <c r="C71" s="45" t="s">
        <v>25</v>
      </c>
      <c r="D71" s="45" t="s">
        <v>26</v>
      </c>
      <c r="E71" s="45" t="s">
        <v>27</v>
      </c>
      <c r="F71" s="45" t="s">
        <v>28</v>
      </c>
    </row>
    <row r="72" spans="1:13">
      <c r="A72" s="48" t="s">
        <v>128</v>
      </c>
      <c r="B72" s="154">
        <f>L_standard_uncertainty</f>
        <v>16.160512865606805</v>
      </c>
      <c r="C72" s="129">
        <f>B72^2</f>
        <v>261.16217607944304</v>
      </c>
      <c r="D72" s="61" t="s">
        <v>125</v>
      </c>
      <c r="E72" s="149">
        <f>L_v</f>
        <v>13.490581459952395</v>
      </c>
      <c r="F72" s="129">
        <f>B72^4/E72</f>
        <v>5055.8000347889156</v>
      </c>
      <c r="G72" s="146"/>
    </row>
    <row r="73" spans="1:13">
      <c r="A73" s="48" t="s">
        <v>129</v>
      </c>
      <c r="B73" s="128">
        <f>SQRT((VLOOKUP(label, Params,4,FALSE)*0.5)^2+(0.5*0.2*VLOOKUP(label, Params,5,FALSE))^2)*0.000001*D11</f>
        <v>0</v>
      </c>
      <c r="C73" s="129">
        <f>B73^2</f>
        <v>0</v>
      </c>
      <c r="D73" s="51">
        <v>30</v>
      </c>
      <c r="E73" s="149">
        <v>8</v>
      </c>
      <c r="F73" s="129">
        <f>B73^4/E73</f>
        <v>0</v>
      </c>
      <c r="G73" s="176" t="s">
        <v>463</v>
      </c>
    </row>
    <row r="74" spans="1:13">
      <c r="A74" s="48" t="s">
        <v>232</v>
      </c>
      <c r="B74" s="128">
        <v>0</v>
      </c>
      <c r="C74" s="129">
        <f>B74^2</f>
        <v>0</v>
      </c>
      <c r="D74" s="51">
        <v>30</v>
      </c>
      <c r="E74" s="149">
        <f>0.5*(1/(0.01*D74)^2)</f>
        <v>5.5555555555555554</v>
      </c>
      <c r="F74" s="129">
        <f>B74^4/E74</f>
        <v>0</v>
      </c>
      <c r="G74" s="146"/>
    </row>
    <row r="75" spans="1:13">
      <c r="A75" s="48" t="s">
        <v>376</v>
      </c>
      <c r="B75" s="52">
        <f>(0.000000000001/VLOOKUP(VLOOKUP(label,Results,2,FALSE),multiplier,4, FALSE)*50)*0</f>
        <v>0</v>
      </c>
      <c r="C75" s="129">
        <f>B75^2</f>
        <v>0</v>
      </c>
      <c r="D75" s="51">
        <v>30</v>
      </c>
      <c r="E75" s="149">
        <f>0.5*(1/(0.01*D75)^2)</f>
        <v>5.5555555555555554</v>
      </c>
      <c r="F75" s="129">
        <f>B75^4/E75</f>
        <v>0</v>
      </c>
      <c r="G75" s="89" t="s">
        <v>464</v>
      </c>
      <c r="M75" s="172" t="s">
        <v>574</v>
      </c>
    </row>
    <row r="76" spans="1:13" ht="13.5" thickBot="1">
      <c r="B76" s="155" t="s">
        <v>29</v>
      </c>
      <c r="C76" s="144">
        <f>SUM(C72:C75)</f>
        <v>261.16217607944304</v>
      </c>
      <c r="E76" s="156" t="s">
        <v>30</v>
      </c>
      <c r="F76" s="129">
        <f>SUM(F72:F75)</f>
        <v>5055.8000347889156</v>
      </c>
      <c r="G76" s="146"/>
    </row>
    <row r="77" spans="1:13">
      <c r="B77" s="155" t="s">
        <v>233</v>
      </c>
      <c r="C77" s="145">
        <f>SQRT(C76)</f>
        <v>16.160512865606805</v>
      </c>
      <c r="E77" s="157" t="s">
        <v>31</v>
      </c>
      <c r="F77" s="137">
        <f>C77^4/F76</f>
        <v>13.490581459952395</v>
      </c>
      <c r="G77" s="146"/>
    </row>
    <row r="78" spans="1:13">
      <c r="B78" s="33"/>
      <c r="E78" s="158" t="s">
        <v>17</v>
      </c>
      <c r="F78" s="151">
        <f>$G$3+$G$4/F77+$G$5/F77^2+$G$6/F77^3</f>
        <v>2.1457151255937377</v>
      </c>
      <c r="G78" s="146"/>
    </row>
    <row r="79" spans="1:13" ht="13.5" thickBot="1">
      <c r="A79" s="26" t="s">
        <v>32</v>
      </c>
      <c r="B79" s="33"/>
      <c r="E79" s="159" t="s">
        <v>234</v>
      </c>
      <c r="F79" s="160">
        <f>F78*C77</f>
        <v>34.67585689308472</v>
      </c>
      <c r="G79" s="146"/>
    </row>
    <row r="80" spans="1:13">
      <c r="A80" s="28" t="s">
        <v>231</v>
      </c>
      <c r="B80" s="33"/>
      <c r="E80" s="146"/>
      <c r="F80" s="153">
        <f>F79*VLOOKUP(VLOOKUP(label,Results,2,FALSE),multiplier,2,FALSE)</f>
        <v>3.4675856893084722E-4</v>
      </c>
      <c r="G80" s="161" t="str">
        <f>VLOOKUP(label,Results,6,FALSE)</f>
        <v>milliH</v>
      </c>
    </row>
    <row r="88" spans="2:2">
      <c r="B88">
        <f>VLOOKUP(label,Results,5,FALSE)</f>
        <v>4.0008235668086731E-5</v>
      </c>
    </row>
  </sheetData>
  <phoneticPr fontId="0" type="noConversion"/>
  <conditionalFormatting sqref="AV5:AV55 AR5:AR59 AT5:AT59 AX5:AX55">
    <cfRule type="cellIs" dxfId="1" priority="1" stopIfTrue="1" operator="lessThan">
      <formula>1</formula>
    </cfRule>
    <cfRule type="cellIs" dxfId="0" priority="2" stopIfTrue="1" operator="greaterThanOrEqual">
      <formula>1</formula>
    </cfRule>
  </conditionalFormatting>
  <pageMargins left="0.75" right="0.75" top="1" bottom="1" header="0.5" footer="0.5"/>
  <pageSetup paperSize="9" scale="60" orientation="portrait" r:id="rId1"/>
  <headerFooter alignWithMargins="0">
    <oddHeader>&amp;A</oddHeader>
    <oddFooter>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N47"/>
  <sheetViews>
    <sheetView showGridLines="0" topLeftCell="A19" workbookViewId="0">
      <selection activeCell="L26" sqref="L26"/>
    </sheetView>
  </sheetViews>
  <sheetFormatPr defaultRowHeight="12.75"/>
  <cols>
    <col min="1" max="1" width="10.28515625" style="338" customWidth="1"/>
    <col min="2" max="2" width="11.140625" style="338" customWidth="1"/>
    <col min="3" max="4" width="14.5703125" style="338" customWidth="1"/>
    <col min="5" max="5" width="10.28515625" style="338" customWidth="1"/>
    <col min="6" max="7" width="11" style="338" customWidth="1"/>
    <col min="8" max="8" width="6.5703125" style="338" customWidth="1"/>
    <col min="9" max="9" width="9.140625" style="338"/>
    <col min="10" max="10" width="16.28515625" style="338" customWidth="1"/>
    <col min="11" max="11" width="15.28515625" style="338" customWidth="1"/>
    <col min="12" max="12" width="10.28515625" style="338" customWidth="1"/>
    <col min="13" max="13" width="11.140625" style="338" customWidth="1"/>
    <col min="14" max="14" width="14.5703125" style="338" customWidth="1"/>
    <col min="15" max="15" width="12.28515625" style="338" customWidth="1"/>
    <col min="16" max="16" width="6.5703125" style="338" customWidth="1"/>
    <col min="17" max="17" width="12.85546875" style="338" customWidth="1"/>
    <col min="18" max="18" width="12.5703125" style="338" customWidth="1"/>
    <col min="19" max="16384" width="9.140625" style="338"/>
  </cols>
  <sheetData>
    <row r="1" spans="1:14">
      <c r="A1"/>
      <c r="B1"/>
      <c r="C1"/>
      <c r="D1"/>
      <c r="E1"/>
      <c r="F1"/>
      <c r="G1"/>
      <c r="H1"/>
      <c r="I1"/>
      <c r="J1"/>
      <c r="K1"/>
      <c r="L1"/>
      <c r="M1"/>
      <c r="N1"/>
    </row>
    <row r="2" spans="1:14">
      <c r="A2"/>
      <c r="B2"/>
      <c r="C2" s="443">
        <f>Results!B4</f>
        <v>43073</v>
      </c>
      <c r="D2"/>
      <c r="E2"/>
      <c r="F2"/>
      <c r="G2"/>
      <c r="H2"/>
      <c r="I2"/>
      <c r="J2"/>
      <c r="K2"/>
      <c r="L2"/>
      <c r="M2"/>
      <c r="N2"/>
    </row>
    <row r="3" spans="1:14" ht="30">
      <c r="A3"/>
      <c r="B3"/>
      <c r="C3" s="444" t="s">
        <v>748</v>
      </c>
      <c r="D3" s="445" t="s">
        <v>143</v>
      </c>
      <c r="E3" s="594" t="s">
        <v>749</v>
      </c>
      <c r="F3" s="595"/>
      <c r="G3" s="596" t="s">
        <v>750</v>
      </c>
      <c r="H3" s="595"/>
      <c r="I3" s="446" t="s">
        <v>489</v>
      </c>
      <c r="J3" s="594" t="s">
        <v>751</v>
      </c>
      <c r="K3" s="595"/>
      <c r="L3" s="596" t="s">
        <v>750</v>
      </c>
      <c r="M3" s="595"/>
      <c r="N3" s="447" t="s">
        <v>489</v>
      </c>
    </row>
    <row r="4" spans="1:14" ht="42" customHeight="1">
      <c r="A4"/>
      <c r="B4"/>
      <c r="C4" s="448"/>
      <c r="D4" s="449" t="s">
        <v>752</v>
      </c>
      <c r="E4" s="597" t="s">
        <v>753</v>
      </c>
      <c r="F4" s="598"/>
      <c r="G4" s="597" t="s">
        <v>753</v>
      </c>
      <c r="H4" s="598"/>
      <c r="I4" s="448"/>
      <c r="J4" s="597" t="s">
        <v>754</v>
      </c>
      <c r="K4" s="598"/>
      <c r="L4" s="597" t="s">
        <v>754</v>
      </c>
      <c r="M4" s="598"/>
      <c r="N4" s="449"/>
    </row>
    <row r="5" spans="1:14" ht="15">
      <c r="A5" t="s">
        <v>712</v>
      </c>
      <c r="B5"/>
      <c r="C5" s="450" t="s">
        <v>675</v>
      </c>
      <c r="D5" s="451">
        <v>53</v>
      </c>
      <c r="E5" s="452">
        <f t="shared" ref="E5:E22" si="0">VLOOKUP(A5,Results,7,FALSE)</f>
        <v>-9.0006364229272568E-3</v>
      </c>
      <c r="F5" s="453" t="s">
        <v>201</v>
      </c>
      <c r="G5" s="456">
        <f t="shared" ref="G5:G10" si="1">VLOOKUP(A5,Uncertainty,4,FALSE())</f>
        <v>9.3192121072910403E-2</v>
      </c>
      <c r="H5" s="454" t="s">
        <v>201</v>
      </c>
      <c r="I5" s="455">
        <f>VLOOKUP(A5,Uncertainty,5,FALSE())</f>
        <v>2.4687245292851547</v>
      </c>
      <c r="J5" s="456">
        <f t="shared" ref="J5:J16" si="2">VLOOKUP(A5,Results,5,FALSE)</f>
        <v>-1.0002058917021682E-3</v>
      </c>
      <c r="K5" s="457"/>
      <c r="L5" s="456">
        <f t="shared" ref="L5:L19" si="3">VLOOKUP(A5,Uncertainty,2,FALSE)</f>
        <v>1.6402607686617325E-2</v>
      </c>
      <c r="M5" s="458"/>
      <c r="N5" s="459">
        <f>VLOOKUP(A5,Uncertainty,3,FALSE())</f>
        <v>4.34516560761534</v>
      </c>
    </row>
    <row r="6" spans="1:14" ht="15">
      <c r="A6" t="s">
        <v>713</v>
      </c>
      <c r="B6"/>
      <c r="C6" s="460"/>
      <c r="D6" s="461">
        <v>400</v>
      </c>
      <c r="E6" s="462">
        <f t="shared" si="0"/>
        <v>-1.200084856390301E-3</v>
      </c>
      <c r="F6" s="463" t="s">
        <v>201</v>
      </c>
      <c r="G6" s="462">
        <f t="shared" si="1"/>
        <v>1.235815446698918E-2</v>
      </c>
      <c r="H6" s="464" t="s">
        <v>201</v>
      </c>
      <c r="I6" s="465">
        <f t="shared" ref="I6:I22" si="4">VLOOKUP(A6,Uncertainty,5,FALSE())</f>
        <v>2.4236334892966451</v>
      </c>
      <c r="J6" s="466">
        <f t="shared" si="2"/>
        <v>-1.0002058917021681E-4</v>
      </c>
      <c r="K6" s="467"/>
      <c r="L6" s="466">
        <f t="shared" si="3"/>
        <v>2.0558740604072444E-3</v>
      </c>
      <c r="M6" s="463"/>
      <c r="N6" s="468">
        <f t="shared" ref="N6:N22" si="5">VLOOKUP(A6,Uncertainty,3,FALSE())</f>
        <v>4.0319007460454337</v>
      </c>
    </row>
    <row r="7" spans="1:14" ht="15">
      <c r="A7" t="s">
        <v>714</v>
      </c>
      <c r="B7"/>
      <c r="C7" s="448"/>
      <c r="D7" s="469" t="s">
        <v>755</v>
      </c>
      <c r="E7" s="470">
        <f t="shared" si="0"/>
        <v>-1.1000777850244425E-3</v>
      </c>
      <c r="F7" s="471" t="s">
        <v>201</v>
      </c>
      <c r="G7" s="470">
        <f t="shared" si="1"/>
        <v>5.1036638313415247E-3</v>
      </c>
      <c r="H7" s="472" t="s">
        <v>201</v>
      </c>
      <c r="I7" s="473">
        <f t="shared" si="4"/>
        <v>2.2824278406292913</v>
      </c>
      <c r="J7" s="474">
        <f t="shared" si="2"/>
        <v>-1.0002058917021681E-4</v>
      </c>
      <c r="K7" s="475"/>
      <c r="L7" s="474">
        <f t="shared" si="3"/>
        <v>6.978902844397227E-4</v>
      </c>
      <c r="M7" s="471"/>
      <c r="N7" s="476">
        <f t="shared" si="5"/>
        <v>3.1210602136115471</v>
      </c>
    </row>
    <row r="8" spans="1:14" ht="15">
      <c r="A8" t="s">
        <v>709</v>
      </c>
      <c r="B8"/>
      <c r="C8" s="460" t="s">
        <v>676</v>
      </c>
      <c r="D8" s="451">
        <v>53</v>
      </c>
      <c r="E8" s="456">
        <f t="shared" si="0"/>
        <v>3.8512723182992072</v>
      </c>
      <c r="F8" s="458" t="s">
        <v>201</v>
      </c>
      <c r="G8" s="456">
        <f t="shared" si="1"/>
        <v>9.3192117469873686E-2</v>
      </c>
      <c r="H8" s="454" t="s">
        <v>201</v>
      </c>
      <c r="I8" s="455">
        <f t="shared" si="4"/>
        <v>2.4687205363792324</v>
      </c>
      <c r="J8" s="456">
        <f t="shared" si="2"/>
        <v>5.001029458510841E-3</v>
      </c>
      <c r="K8" s="457"/>
      <c r="L8" s="456">
        <f t="shared" si="3"/>
        <v>1.6402539591026777E-2</v>
      </c>
      <c r="M8" s="458"/>
      <c r="N8" s="459">
        <f t="shared" si="5"/>
        <v>4.3451417762294264</v>
      </c>
    </row>
    <row r="9" spans="1:14" ht="15">
      <c r="A9" t="s">
        <v>710</v>
      </c>
      <c r="B9"/>
      <c r="C9" s="460"/>
      <c r="D9" s="461">
        <v>400</v>
      </c>
      <c r="E9" s="462">
        <f t="shared" si="0"/>
        <v>3.8600729405794025</v>
      </c>
      <c r="F9" s="463" t="s">
        <v>201</v>
      </c>
      <c r="G9" s="462">
        <f t="shared" si="1"/>
        <v>1.2358227616153681E-2</v>
      </c>
      <c r="H9" s="464" t="s">
        <v>201</v>
      </c>
      <c r="I9" s="465">
        <f t="shared" si="4"/>
        <v>2.4234375152857237</v>
      </c>
      <c r="J9" s="477">
        <f t="shared" si="2"/>
        <v>7.801605955276911E-3</v>
      </c>
      <c r="K9" s="467"/>
      <c r="L9" s="466">
        <f t="shared" si="3"/>
        <v>2.0554646101675358E-3</v>
      </c>
      <c r="M9" s="463"/>
      <c r="N9" s="468">
        <f t="shared" si="5"/>
        <v>4.0308024001525888</v>
      </c>
    </row>
    <row r="10" spans="1:14" ht="15">
      <c r="A10" t="s">
        <v>711</v>
      </c>
      <c r="B10"/>
      <c r="C10" s="448"/>
      <c r="D10" s="469" t="s">
        <v>755</v>
      </c>
      <c r="E10" s="470">
        <f t="shared" si="0"/>
        <v>3.8581728062234517</v>
      </c>
      <c r="F10" s="471" t="s">
        <v>201</v>
      </c>
      <c r="G10" s="470">
        <f t="shared" si="1"/>
        <v>5.1044857608389229E-3</v>
      </c>
      <c r="H10" s="472" t="s">
        <v>201</v>
      </c>
      <c r="I10" s="473">
        <f t="shared" si="4"/>
        <v>2.2817657797488478</v>
      </c>
      <c r="J10" s="474">
        <f t="shared" si="2"/>
        <v>7.801605955276911E-3</v>
      </c>
      <c r="K10" s="475"/>
      <c r="L10" s="474">
        <f t="shared" si="3"/>
        <v>6.9754549518748438E-4</v>
      </c>
      <c r="M10" s="471"/>
      <c r="N10" s="476">
        <f t="shared" si="5"/>
        <v>3.1183302033562024</v>
      </c>
    </row>
    <row r="11" spans="1:14" ht="15">
      <c r="A11" t="s">
        <v>718</v>
      </c>
      <c r="B11"/>
      <c r="C11" s="460" t="s">
        <v>677</v>
      </c>
      <c r="D11" s="451">
        <v>53</v>
      </c>
      <c r="E11" s="478">
        <f t="shared" ref="E11:E16" si="6">VLOOKUP(A11,Results,7,FALSE)/1000</f>
        <v>0.10574847733297234</v>
      </c>
      <c r="F11" s="479"/>
      <c r="G11" s="478">
        <f t="shared" ref="G11:G16" si="7">VLOOKUP(A11,Uncertainty,4,FALSE)/1000</f>
        <v>9.3189706385159532E-5</v>
      </c>
      <c r="H11" s="458"/>
      <c r="I11" s="455">
        <f t="shared" si="4"/>
        <v>2.4654875479057492</v>
      </c>
      <c r="J11" s="456">
        <f t="shared" si="2"/>
        <v>4.0008235668086726E-3</v>
      </c>
      <c r="K11" s="457"/>
      <c r="L11" s="456">
        <f t="shared" si="3"/>
        <v>1.6351621165685608E-2</v>
      </c>
      <c r="M11" s="458"/>
      <c r="N11" s="459">
        <f t="shared" si="5"/>
        <v>4.3273149737970931</v>
      </c>
    </row>
    <row r="12" spans="1:14" ht="15">
      <c r="A12" t="s">
        <v>719</v>
      </c>
      <c r="B12"/>
      <c r="C12" s="460"/>
      <c r="D12" s="461">
        <v>400</v>
      </c>
      <c r="E12" s="480">
        <f t="shared" si="6"/>
        <v>0.10576097821689306</v>
      </c>
      <c r="F12" s="463"/>
      <c r="G12" s="480">
        <f t="shared" si="7"/>
        <v>1.2560463673100474E-5</v>
      </c>
      <c r="H12" s="463"/>
      <c r="I12" s="465">
        <f t="shared" si="4"/>
        <v>2.3058987467500871</v>
      </c>
      <c r="J12" s="466">
        <f t="shared" si="2"/>
        <v>7.6015647769364777E-3</v>
      </c>
      <c r="K12" s="467"/>
      <c r="L12" s="466">
        <f t="shared" si="3"/>
        <v>1.8318578945278375E-3</v>
      </c>
      <c r="M12" s="463"/>
      <c r="N12" s="468">
        <f t="shared" si="5"/>
        <v>3.4097430401211413</v>
      </c>
    </row>
    <row r="13" spans="1:14" ht="15">
      <c r="A13" t="s">
        <v>720</v>
      </c>
      <c r="B13"/>
      <c r="C13" s="448"/>
      <c r="D13" s="469" t="s">
        <v>755</v>
      </c>
      <c r="E13" s="481">
        <f t="shared" si="6"/>
        <v>0.1057673786694605</v>
      </c>
      <c r="F13" s="471"/>
      <c r="G13" s="481">
        <f t="shared" si="7"/>
        <v>6.2536462527740477E-6</v>
      </c>
      <c r="H13" s="471"/>
      <c r="I13" s="473">
        <f t="shared" si="4"/>
        <v>2.1236658274763913</v>
      </c>
      <c r="J13" s="474">
        <f t="shared" si="2"/>
        <v>7.2014824202556102E-3</v>
      </c>
      <c r="K13" s="475"/>
      <c r="L13" s="474">
        <f t="shared" si="3"/>
        <v>6.5740539824950966E-4</v>
      </c>
      <c r="M13" s="471"/>
      <c r="N13" s="476">
        <f t="shared" si="5"/>
        <v>2.3443834525516256</v>
      </c>
    </row>
    <row r="14" spans="1:14" ht="15">
      <c r="A14" t="s">
        <v>721</v>
      </c>
      <c r="B14"/>
      <c r="C14" s="460" t="s">
        <v>678</v>
      </c>
      <c r="D14" s="451">
        <v>53</v>
      </c>
      <c r="E14" s="478">
        <f t="shared" si="6"/>
        <v>0.98816687195390607</v>
      </c>
      <c r="F14" s="458"/>
      <c r="G14" s="478">
        <f t="shared" si="7"/>
        <v>1.0835524331305121E-4</v>
      </c>
      <c r="H14" s="458"/>
      <c r="I14" s="455">
        <f t="shared" si="4"/>
        <v>2.1215327794274721</v>
      </c>
      <c r="J14" s="456">
        <f t="shared" si="2"/>
        <v>8.0016471336173452E-3</v>
      </c>
      <c r="K14" s="457"/>
      <c r="L14" s="456">
        <f t="shared" si="3"/>
        <v>1.3624241396770874E-2</v>
      </c>
      <c r="M14" s="458"/>
      <c r="N14" s="459">
        <f t="shared" si="5"/>
        <v>3.3289953593289776</v>
      </c>
    </row>
    <row r="15" spans="1:14" ht="15">
      <c r="A15" t="s">
        <v>722</v>
      </c>
      <c r="B15"/>
      <c r="C15" s="460"/>
      <c r="D15" s="461">
        <v>400</v>
      </c>
      <c r="E15" s="482">
        <f t="shared" si="6"/>
        <v>0.98816637191854906</v>
      </c>
      <c r="F15" s="463"/>
      <c r="G15" s="482">
        <f t="shared" si="7"/>
        <v>7.269533417806385E-5</v>
      </c>
      <c r="H15" s="463"/>
      <c r="I15" s="465">
        <f t="shared" si="4"/>
        <v>2.0902276737970591</v>
      </c>
      <c r="J15" s="466">
        <f t="shared" si="2"/>
        <v>5.8011941718725752E-3</v>
      </c>
      <c r="K15" s="467"/>
      <c r="L15" s="466">
        <f t="shared" si="3"/>
        <v>3.5338335537320013E-3</v>
      </c>
      <c r="M15" s="463"/>
      <c r="N15" s="468">
        <f t="shared" si="5"/>
        <v>2.1273474722920076</v>
      </c>
    </row>
    <row r="16" spans="1:14" ht="15">
      <c r="A16" t="s">
        <v>723</v>
      </c>
      <c r="B16"/>
      <c r="C16" s="448"/>
      <c r="D16" s="469" t="s">
        <v>755</v>
      </c>
      <c r="E16" s="483">
        <f t="shared" si="6"/>
        <v>0.98816117155083816</v>
      </c>
      <c r="F16" s="471"/>
      <c r="G16" s="483">
        <f t="shared" si="7"/>
        <v>7.2221724339391173E-5</v>
      </c>
      <c r="H16" s="471"/>
      <c r="I16" s="473">
        <f t="shared" si="4"/>
        <v>2.0948813605467866</v>
      </c>
      <c r="J16" s="474">
        <f t="shared" si="2"/>
        <v>5.4011118151917085E-3</v>
      </c>
      <c r="K16" s="475"/>
      <c r="L16" s="474">
        <f t="shared" si="3"/>
        <v>3.4257453101462893E-3</v>
      </c>
      <c r="M16" s="471"/>
      <c r="N16" s="476">
        <f t="shared" si="5"/>
        <v>2.1455422027496849</v>
      </c>
    </row>
    <row r="17" spans="1:14" ht="15">
      <c r="A17" t="s">
        <v>724</v>
      </c>
      <c r="B17"/>
      <c r="C17" s="460" t="s">
        <v>679</v>
      </c>
      <c r="D17" s="451">
        <v>53</v>
      </c>
      <c r="E17" s="484">
        <f>VLOOKUP(A17,Results,7,FALSE)</f>
        <v>9.9130309371193928</v>
      </c>
      <c r="F17" s="458"/>
      <c r="G17" s="484">
        <f t="shared" ref="G17:G22" si="8">VLOOKUP(A17,Uncertainty,4,FALSE())</f>
        <v>1.0848052900017189E-3</v>
      </c>
      <c r="H17" s="458"/>
      <c r="I17" s="455">
        <f t="shared" si="4"/>
        <v>2.120930930793508</v>
      </c>
      <c r="J17" s="452">
        <f>VLOOKUP(A17,Results,5,FALSE)</f>
        <v>4.0008235668086728E-2</v>
      </c>
      <c r="K17" s="485"/>
      <c r="L17" s="452">
        <f t="shared" si="3"/>
        <v>0.13614075261769734</v>
      </c>
      <c r="M17" s="458"/>
      <c r="N17" s="459">
        <f t="shared" si="5"/>
        <v>3.3249354970747982</v>
      </c>
    </row>
    <row r="18" spans="1:14" ht="15">
      <c r="A18" t="s">
        <v>725</v>
      </c>
      <c r="B18"/>
      <c r="C18" s="460"/>
      <c r="D18" s="461">
        <v>400</v>
      </c>
      <c r="E18" s="466">
        <f>VLOOKUP(A18,Results,7,FALSE)</f>
        <v>9.9129789334422806</v>
      </c>
      <c r="F18" s="463"/>
      <c r="G18" s="466">
        <f t="shared" si="8"/>
        <v>7.2922165524110351E-4</v>
      </c>
      <c r="H18" s="463"/>
      <c r="I18" s="465">
        <f t="shared" si="4"/>
        <v>2.0902620821448168</v>
      </c>
      <c r="J18" s="477">
        <f>VLOOKUP(A18,Results,5,FALSE)</f>
        <v>5.001029458510841E-3</v>
      </c>
      <c r="K18" s="467"/>
      <c r="L18" s="462">
        <f t="shared" si="3"/>
        <v>3.5441121808203011E-2</v>
      </c>
      <c r="M18" s="463"/>
      <c r="N18" s="468">
        <f t="shared" si="5"/>
        <v>2.1274221528227022</v>
      </c>
    </row>
    <row r="19" spans="1:14" ht="15">
      <c r="A19" t="s">
        <v>726</v>
      </c>
      <c r="B19"/>
      <c r="C19" s="448"/>
      <c r="D19" s="469" t="s">
        <v>755</v>
      </c>
      <c r="E19" s="474">
        <f>VLOOKUP(A19,Results,7,FALSE)</f>
        <v>9.9128379234716544</v>
      </c>
      <c r="F19" s="471"/>
      <c r="G19" s="474">
        <f t="shared" si="8"/>
        <v>7.2449178928824345E-4</v>
      </c>
      <c r="H19" s="471"/>
      <c r="I19" s="473">
        <f t="shared" si="4"/>
        <v>2.094888752803989</v>
      </c>
      <c r="J19" s="486">
        <f>VLOOKUP(A19,Results,5,FALSE)</f>
        <v>4.0008235668086726E-3</v>
      </c>
      <c r="K19" s="475"/>
      <c r="L19" s="470">
        <f t="shared" si="3"/>
        <v>3.4364273164395796E-2</v>
      </c>
      <c r="M19" s="471"/>
      <c r="N19" s="476">
        <f t="shared" si="5"/>
        <v>2.1455868996369518</v>
      </c>
    </row>
    <row r="20" spans="1:14" ht="15">
      <c r="A20" t="s">
        <v>727</v>
      </c>
      <c r="B20"/>
      <c r="C20" s="460" t="s">
        <v>680</v>
      </c>
      <c r="D20" s="451">
        <v>53</v>
      </c>
      <c r="E20" s="456">
        <f t="shared" si="0"/>
        <v>100.03927364283821</v>
      </c>
      <c r="F20" s="458"/>
      <c r="G20" s="456">
        <f t="shared" si="8"/>
        <v>9.5498465770142097E-3</v>
      </c>
      <c r="H20" s="458"/>
      <c r="I20" s="455">
        <f t="shared" si="4"/>
        <v>2.2968780490730247</v>
      </c>
      <c r="J20" s="487">
        <f>VLOOKUP(A20,Results,5,FALSE)*1000</f>
        <v>-0.10002058917021682</v>
      </c>
      <c r="K20" s="488"/>
      <c r="L20" s="487">
        <f>VLOOKUP(A20,Uncertainty,2,FALSE)*1000</f>
        <v>1.3584770398251507</v>
      </c>
      <c r="M20" s="458"/>
      <c r="N20" s="459">
        <f t="shared" si="5"/>
        <v>3.3132022576914562</v>
      </c>
    </row>
    <row r="21" spans="1:14" ht="15">
      <c r="A21" t="s">
        <v>728</v>
      </c>
      <c r="B21"/>
      <c r="C21" s="460"/>
      <c r="D21" s="461">
        <v>400</v>
      </c>
      <c r="E21" s="462">
        <f t="shared" si="0"/>
        <v>100.03922363930253</v>
      </c>
      <c r="F21" s="463"/>
      <c r="G21" s="462">
        <f t="shared" si="8"/>
        <v>4.240736599576236E-3</v>
      </c>
      <c r="H21" s="463"/>
      <c r="I21" s="465">
        <f t="shared" si="4"/>
        <v>2.335529719874319</v>
      </c>
      <c r="J21" s="489">
        <f>VLOOKUP(A21,Results,5,FALSE)*1000</f>
        <v>5.001029458510841E-2</v>
      </c>
      <c r="K21" s="467"/>
      <c r="L21" s="489">
        <f>VLOOKUP(A21,Uncertainty,2,FALSE)*1000</f>
        <v>0.35739545507867487</v>
      </c>
      <c r="M21" s="463"/>
      <c r="N21" s="468">
        <f t="shared" si="5"/>
        <v>2.1276399169677922</v>
      </c>
    </row>
    <row r="22" spans="1:14" ht="15">
      <c r="A22" t="s">
        <v>729</v>
      </c>
      <c r="B22"/>
      <c r="C22" s="448"/>
      <c r="D22" s="469" t="s">
        <v>755</v>
      </c>
      <c r="E22" s="470">
        <f t="shared" si="0"/>
        <v>100.0388336117242</v>
      </c>
      <c r="F22" s="471"/>
      <c r="G22" s="470">
        <f t="shared" si="8"/>
        <v>4.2082492578949526E-3</v>
      </c>
      <c r="H22" s="471"/>
      <c r="I22" s="473">
        <f t="shared" si="4"/>
        <v>2.3951823360281952</v>
      </c>
      <c r="J22" s="490">
        <f>VLOOKUP(A22,Results,5,FALSE)*1000</f>
        <v>4.0008235668086728E-2</v>
      </c>
      <c r="K22" s="475"/>
      <c r="L22" s="490">
        <f>VLOOKUP(A22,Uncertainty,2,FALSE)*1000</f>
        <v>0.34675856893084722</v>
      </c>
      <c r="M22" s="471"/>
      <c r="N22" s="476">
        <f t="shared" si="5"/>
        <v>2.1457151255937377</v>
      </c>
    </row>
    <row r="23" spans="1:14" ht="15">
      <c r="A23"/>
      <c r="B23"/>
      <c r="C23" s="491"/>
      <c r="D23" s="491"/>
      <c r="E23" s="491"/>
      <c r="F23" s="491"/>
      <c r="G23" s="491"/>
      <c r="H23" s="491"/>
      <c r="I23" s="491"/>
      <c r="J23" s="491"/>
      <c r="K23" s="491"/>
      <c r="L23" s="491"/>
      <c r="M23" s="491"/>
      <c r="N23" s="491"/>
    </row>
    <row r="24" spans="1:14" ht="30">
      <c r="A24"/>
      <c r="B24"/>
      <c r="C24" s="444" t="s">
        <v>748</v>
      </c>
      <c r="D24" s="445" t="s">
        <v>143</v>
      </c>
      <c r="E24" s="594" t="s">
        <v>749</v>
      </c>
      <c r="F24" s="595"/>
      <c r="G24" s="596" t="s">
        <v>750</v>
      </c>
      <c r="H24" s="595"/>
      <c r="I24" s="446" t="s">
        <v>489</v>
      </c>
      <c r="J24" s="594" t="s">
        <v>34</v>
      </c>
      <c r="K24" s="595"/>
      <c r="L24" s="596" t="s">
        <v>750</v>
      </c>
      <c r="M24" s="595"/>
      <c r="N24" s="447" t="s">
        <v>489</v>
      </c>
    </row>
    <row r="25" spans="1:14" ht="15">
      <c r="A25"/>
      <c r="B25"/>
      <c r="C25" s="448"/>
      <c r="D25" s="448" t="s">
        <v>752</v>
      </c>
      <c r="E25" s="597" t="s">
        <v>756</v>
      </c>
      <c r="F25" s="598"/>
      <c r="G25" s="597" t="s">
        <v>756</v>
      </c>
      <c r="H25" s="598"/>
      <c r="I25" s="448"/>
      <c r="J25" s="597" t="s">
        <v>757</v>
      </c>
      <c r="K25" s="598"/>
      <c r="L25" s="597" t="s">
        <v>757</v>
      </c>
      <c r="M25" s="598"/>
      <c r="N25" s="449"/>
    </row>
    <row r="26" spans="1:14" ht="15">
      <c r="A26" t="s">
        <v>730</v>
      </c>
      <c r="B26"/>
      <c r="C26" s="460" t="s">
        <v>681</v>
      </c>
      <c r="D26" s="451">
        <v>53</v>
      </c>
      <c r="E26" s="478">
        <f t="shared" ref="E26:E31" si="9">VLOOKUP(A26,Results,7,FALSE)/1000</f>
        <v>1.0002578268891096</v>
      </c>
      <c r="F26" s="479"/>
      <c r="G26" s="478">
        <f t="shared" ref="G26:G31" si="10">VLOOKUP(A26,Uncertainty,4,FALSE())/1000</f>
        <v>9.549738309262812E-5</v>
      </c>
      <c r="H26" s="479"/>
      <c r="I26" s="455">
        <f t="shared" ref="I26:I34" si="11">VLOOKUP(A26,Uncertainty,5,FALSE())</f>
        <v>2.2969064232536369</v>
      </c>
      <c r="J26" s="492">
        <f>VLOOKUP(A26,Results,10,FALSE)</f>
        <v>-0.89972129803656686</v>
      </c>
      <c r="K26" s="493"/>
      <c r="L26" s="492">
        <f t="shared" ref="L26:L34" si="12">VLOOKUP(A26,Uncertainty,6,FALSE)</f>
        <v>13.578200757488625</v>
      </c>
      <c r="M26" s="493"/>
      <c r="N26" s="459">
        <f t="shared" ref="N26:N34" si="13">VLOOKUP(A26,Uncertainty,3,FALSE())</f>
        <v>3.3133759224109824</v>
      </c>
    </row>
    <row r="27" spans="1:14" ht="15">
      <c r="A27" t="s">
        <v>731</v>
      </c>
      <c r="B27"/>
      <c r="C27" s="460"/>
      <c r="D27" s="461">
        <v>400</v>
      </c>
      <c r="E27" s="482">
        <f t="shared" si="9"/>
        <v>1.0002583269244663</v>
      </c>
      <c r="F27" s="494"/>
      <c r="G27" s="482">
        <f t="shared" si="10"/>
        <v>4.2401832196100574E-5</v>
      </c>
      <c r="H27" s="494"/>
      <c r="I27" s="465">
        <f t="shared" si="11"/>
        <v>2.3355129227553646</v>
      </c>
      <c r="J27" s="495">
        <f t="shared" ref="J27:J34" si="14">VLOOKUP(A27,Results,10,FALSE)</f>
        <v>-0.29990679949474996</v>
      </c>
      <c r="K27" s="468"/>
      <c r="L27" s="495">
        <f t="shared" si="12"/>
        <v>3.5716692767159279</v>
      </c>
      <c r="M27" s="468"/>
      <c r="N27" s="468">
        <f t="shared" si="13"/>
        <v>2.1276366991274029</v>
      </c>
    </row>
    <row r="28" spans="1:14" ht="15">
      <c r="A28" t="s">
        <v>732</v>
      </c>
      <c r="B28"/>
      <c r="C28" s="448"/>
      <c r="D28" s="469" t="s">
        <v>755</v>
      </c>
      <c r="E28" s="483">
        <f t="shared" si="9"/>
        <v>1.0002552267052542</v>
      </c>
      <c r="F28" s="496"/>
      <c r="G28" s="483">
        <f t="shared" si="10"/>
        <v>4.2076901414460051E-5</v>
      </c>
      <c r="H28" s="496"/>
      <c r="I28" s="473">
        <f t="shared" si="11"/>
        <v>2.395177877707249</v>
      </c>
      <c r="J28" s="497">
        <f t="shared" si="14"/>
        <v>-0.39987821143571689</v>
      </c>
      <c r="K28" s="476"/>
      <c r="L28" s="497">
        <f t="shared" si="12"/>
        <v>3.4653606680480342</v>
      </c>
      <c r="M28" s="476"/>
      <c r="N28" s="476">
        <f t="shared" si="13"/>
        <v>2.1457132722074337</v>
      </c>
    </row>
    <row r="29" spans="1:14" ht="15">
      <c r="A29" t="s">
        <v>733</v>
      </c>
      <c r="B29"/>
      <c r="C29" s="460" t="s">
        <v>682</v>
      </c>
      <c r="D29" s="451">
        <v>53</v>
      </c>
      <c r="E29" s="484">
        <f t="shared" si="9"/>
        <v>10.002401256374778</v>
      </c>
      <c r="F29" s="498"/>
      <c r="G29" s="484">
        <f t="shared" si="10"/>
        <v>9.5497225015502246E-4</v>
      </c>
      <c r="H29" s="498"/>
      <c r="I29" s="455">
        <f t="shared" si="11"/>
        <v>2.2969105668420444</v>
      </c>
      <c r="J29" s="487">
        <f t="shared" si="14"/>
        <v>0.69980800015606404</v>
      </c>
      <c r="K29" s="459"/>
      <c r="L29" s="487">
        <f t="shared" si="12"/>
        <v>1.3578744538807341</v>
      </c>
      <c r="M29" s="459"/>
      <c r="N29" s="459">
        <f t="shared" si="13"/>
        <v>3.3134012827950832</v>
      </c>
    </row>
    <row r="30" spans="1:14" ht="15">
      <c r="A30" t="s">
        <v>734</v>
      </c>
      <c r="B30"/>
      <c r="C30" s="460"/>
      <c r="D30" s="461">
        <v>400</v>
      </c>
      <c r="E30" s="466">
        <f t="shared" si="9"/>
        <v>10.002403256516205</v>
      </c>
      <c r="F30" s="499"/>
      <c r="G30" s="466">
        <f t="shared" si="10"/>
        <v>4.2401013925138641E-4</v>
      </c>
      <c r="H30" s="499"/>
      <c r="I30" s="465">
        <f t="shared" si="11"/>
        <v>2.3355104356428669</v>
      </c>
      <c r="J30" s="489">
        <f t="shared" si="14"/>
        <v>0.64982145454604756</v>
      </c>
      <c r="K30" s="500"/>
      <c r="L30" s="489">
        <f t="shared" si="12"/>
        <v>0.35717328518518882</v>
      </c>
      <c r="M30" s="500"/>
      <c r="N30" s="468">
        <f t="shared" si="13"/>
        <v>2.1276362216004427</v>
      </c>
    </row>
    <row r="31" spans="1:14" ht="15">
      <c r="A31" t="s">
        <v>735</v>
      </c>
      <c r="B31"/>
      <c r="C31" s="448"/>
      <c r="D31" s="469" t="s">
        <v>755</v>
      </c>
      <c r="E31" s="474">
        <f t="shared" si="9"/>
        <v>10.002381254960506</v>
      </c>
      <c r="F31" s="501"/>
      <c r="G31" s="474">
        <f t="shared" si="10"/>
        <v>4.2076116478196034E-4</v>
      </c>
      <c r="H31" s="501"/>
      <c r="I31" s="473">
        <f t="shared" si="11"/>
        <v>2.3951772480065414</v>
      </c>
      <c r="J31" s="490">
        <f t="shared" si="14"/>
        <v>0.6498243132850392</v>
      </c>
      <c r="K31" s="502"/>
      <c r="L31" s="490">
        <f t="shared" si="12"/>
        <v>0.3465415198207637</v>
      </c>
      <c r="M31" s="502"/>
      <c r="N31" s="476">
        <f t="shared" si="13"/>
        <v>2.1457130098715815</v>
      </c>
    </row>
    <row r="32" spans="1:14" ht="15">
      <c r="A32" t="s">
        <v>736</v>
      </c>
      <c r="B32"/>
      <c r="C32" s="460" t="s">
        <v>683</v>
      </c>
      <c r="D32" s="451">
        <v>53</v>
      </c>
      <c r="E32" s="456">
        <f>VLOOKUP(A32,Results,7,FALSE)</f>
        <v>100.03087037188301</v>
      </c>
      <c r="F32" s="503"/>
      <c r="G32" s="456">
        <f>VLOOKUP(A32,Uncertainty,4,FALSE())</f>
        <v>9.5498295577333692E-3</v>
      </c>
      <c r="H32" s="503"/>
      <c r="I32" s="455">
        <f t="shared" si="11"/>
        <v>2.2968824717266578</v>
      </c>
      <c r="J32" s="452">
        <f t="shared" si="14"/>
        <v>0.83260521568113477</v>
      </c>
      <c r="K32" s="453"/>
      <c r="L32" s="452">
        <f t="shared" si="12"/>
        <v>0.13576454101329549</v>
      </c>
      <c r="M32" s="453"/>
      <c r="N32" s="459">
        <f t="shared" si="13"/>
        <v>3.3132292282999778</v>
      </c>
    </row>
    <row r="33" spans="1:14" ht="15">
      <c r="A33" t="s">
        <v>737</v>
      </c>
      <c r="B33"/>
      <c r="C33" s="460"/>
      <c r="D33" s="461">
        <v>400</v>
      </c>
      <c r="E33" s="462">
        <f>VLOOKUP(A33,Results,7,FALSE)</f>
        <v>100.0304803687235</v>
      </c>
      <c r="F33" s="504"/>
      <c r="G33" s="462">
        <f>VLOOKUP(A33,Uncertainty,4,FALSE())</f>
        <v>4.2406343623476979E-3</v>
      </c>
      <c r="H33" s="504"/>
      <c r="I33" s="465">
        <f t="shared" si="11"/>
        <v>2.3355261815128032</v>
      </c>
      <c r="J33" s="462">
        <f t="shared" si="14"/>
        <v>0.78963175196838242</v>
      </c>
      <c r="K33" s="504"/>
      <c r="L33" s="462">
        <f t="shared" si="12"/>
        <v>3.5716963046872961E-2</v>
      </c>
      <c r="M33" s="504"/>
      <c r="N33" s="468">
        <f t="shared" si="13"/>
        <v>2.1276390639234002</v>
      </c>
    </row>
    <row r="34" spans="1:14" ht="15">
      <c r="A34" t="s">
        <v>738</v>
      </c>
      <c r="B34"/>
      <c r="C34" s="448"/>
      <c r="D34" s="469" t="s">
        <v>755</v>
      </c>
      <c r="E34" s="470">
        <f>VLOOKUP(A34,Results,7,FALSE)</f>
        <v>100.02948036062223</v>
      </c>
      <c r="F34" s="505"/>
      <c r="G34" s="470">
        <f>VLOOKUP(A34,Uncertainty,4,FALSE())</f>
        <v>4.2081192685225043E-3</v>
      </c>
      <c r="H34" s="505"/>
      <c r="I34" s="473">
        <f t="shared" si="11"/>
        <v>2.3951807651364567</v>
      </c>
      <c r="J34" s="470">
        <f t="shared" si="14"/>
        <v>0.78265066321779853</v>
      </c>
      <c r="K34" s="505"/>
      <c r="L34" s="470">
        <f t="shared" si="12"/>
        <v>3.4654368769809776E-2</v>
      </c>
      <c r="M34" s="505"/>
      <c r="N34" s="476">
        <f t="shared" si="13"/>
        <v>2.1457143904065035</v>
      </c>
    </row>
    <row r="35" spans="1:14" ht="15">
      <c r="A35"/>
      <c r="B35"/>
      <c r="C35" s="491"/>
      <c r="D35" s="491"/>
      <c r="E35" s="491"/>
      <c r="F35" s="491"/>
      <c r="G35" s="491"/>
      <c r="H35" s="491"/>
      <c r="I35" s="491"/>
      <c r="J35" s="491"/>
      <c r="K35" s="491"/>
      <c r="L35" s="491"/>
      <c r="M35" s="491"/>
      <c r="N35" s="491"/>
    </row>
    <row r="36" spans="1:14" ht="30">
      <c r="A36"/>
      <c r="B36"/>
      <c r="C36" s="444" t="s">
        <v>748</v>
      </c>
      <c r="D36" s="445" t="s">
        <v>143</v>
      </c>
      <c r="E36" s="594" t="s">
        <v>35</v>
      </c>
      <c r="F36" s="595"/>
      <c r="G36" s="596" t="s">
        <v>750</v>
      </c>
      <c r="H36" s="595"/>
      <c r="I36" s="446" t="s">
        <v>489</v>
      </c>
      <c r="J36" s="594" t="s">
        <v>34</v>
      </c>
      <c r="K36" s="595"/>
      <c r="L36" s="596" t="s">
        <v>750</v>
      </c>
      <c r="M36" s="595"/>
      <c r="N36" s="447" t="s">
        <v>489</v>
      </c>
    </row>
    <row r="37" spans="1:14" ht="15">
      <c r="A37"/>
      <c r="B37"/>
      <c r="C37" s="448"/>
      <c r="D37" s="448" t="s">
        <v>752</v>
      </c>
      <c r="E37" s="599" t="s">
        <v>758</v>
      </c>
      <c r="F37" s="599"/>
      <c r="G37" s="599" t="s">
        <v>758</v>
      </c>
      <c r="H37" s="599"/>
      <c r="I37" s="448"/>
      <c r="J37" s="599" t="s">
        <v>757</v>
      </c>
      <c r="K37" s="599"/>
      <c r="L37" s="599" t="s">
        <v>757</v>
      </c>
      <c r="M37" s="599"/>
      <c r="N37" s="449"/>
    </row>
    <row r="38" spans="1:14" ht="15">
      <c r="A38" t="s">
        <v>745</v>
      </c>
      <c r="B38"/>
      <c r="C38" s="460" t="s">
        <v>684</v>
      </c>
      <c r="D38" s="451">
        <v>53</v>
      </c>
      <c r="E38" s="452">
        <f>VLOOKUP(A38,Results,7,FALSE)</f>
        <v>-3.9997107118056627E-4</v>
      </c>
      <c r="F38" s="453"/>
      <c r="G38" s="452">
        <f>VLOOKUP(A38,Uncertainty,4,FALSE())</f>
        <v>9.3192121073167572E-2</v>
      </c>
      <c r="H38" s="453"/>
      <c r="I38" s="455">
        <f>VLOOKUP(A38,Uncertainty,5,FALSE())</f>
        <v>2.4687245295700877</v>
      </c>
      <c r="J38" s="456">
        <f>VLOOKUP(A38,Results,5,FALSE())</f>
        <v>-8.00050284796E-4</v>
      </c>
      <c r="K38" s="503"/>
      <c r="L38" s="456">
        <f>VLOOKUP(A38,Uncertainty,2,FALSE)</f>
        <v>1.6402607693742629E-2</v>
      </c>
      <c r="M38" s="453"/>
      <c r="N38" s="459">
        <f>VLOOKUP(A38,Uncertainty,3,FALSE())</f>
        <v>4.3451656101089782</v>
      </c>
    </row>
    <row r="39" spans="1:14" ht="15">
      <c r="A39" t="s">
        <v>746</v>
      </c>
      <c r="B39"/>
      <c r="C39" s="460"/>
      <c r="D39" s="461">
        <v>400</v>
      </c>
      <c r="E39" s="462">
        <f>VLOOKUP(A39,Results,7,FALSE)</f>
        <v>0</v>
      </c>
      <c r="F39" s="504"/>
      <c r="G39" s="462">
        <f>VLOOKUP(A39,Uncertainty,4,FALSE())</f>
        <v>1.2358154466386669E-2</v>
      </c>
      <c r="H39" s="500"/>
      <c r="I39" s="465">
        <f>VLOOKUP(A39,Uncertainty,5,FALSE())</f>
        <v>2.4236334909180508</v>
      </c>
      <c r="J39" s="466">
        <f>VLOOKUP(A39,Results,5,FALSE())</f>
        <v>0</v>
      </c>
      <c r="K39" s="499"/>
      <c r="L39" s="466">
        <f>VLOOKUP(A39,Uncertainty,2,FALSE)</f>
        <v>2.055874065355063E-3</v>
      </c>
      <c r="M39" s="504"/>
      <c r="N39" s="468">
        <f>VLOOKUP(A39,Uncertainty,3,FALSE())</f>
        <v>4.0319007593173728</v>
      </c>
    </row>
    <row r="40" spans="1:14" ht="15">
      <c r="A40" t="s">
        <v>747</v>
      </c>
      <c r="B40"/>
      <c r="C40" s="448"/>
      <c r="D40" s="469" t="s">
        <v>755</v>
      </c>
      <c r="E40" s="470">
        <f>VLOOKUP(A40,Results,7,FALSE)</f>
        <v>2.9997830338542475E-4</v>
      </c>
      <c r="F40" s="505"/>
      <c r="G40" s="470">
        <f>VLOOKUP(A40,Uncertainty,4,FALSE())</f>
        <v>5.1036638239982486E-3</v>
      </c>
      <c r="H40" s="502"/>
      <c r="I40" s="473">
        <f>VLOOKUP(A40,Uncertainty,5,FALSE())</f>
        <v>2.2824278465729773</v>
      </c>
      <c r="J40" s="474">
        <f>VLOOKUP(A40,Results,5,FALSE())</f>
        <v>0</v>
      </c>
      <c r="K40" s="501"/>
      <c r="L40" s="474">
        <f>VLOOKUP(A40,Uncertainty,2,FALSE)</f>
        <v>6.978902891203165E-4</v>
      </c>
      <c r="M40" s="505"/>
      <c r="N40" s="476">
        <f>VLOOKUP(A40,Uncertainty,3,FALSE())</f>
        <v>3.1210602506459733</v>
      </c>
    </row>
    <row r="41" spans="1:14" ht="15">
      <c r="A41"/>
      <c r="B41"/>
      <c r="C41" s="231"/>
      <c r="D41" s="231"/>
      <c r="E41" s="231"/>
      <c r="F41" s="231"/>
      <c r="G41" s="231"/>
      <c r="H41" s="231"/>
      <c r="I41" s="231"/>
      <c r="J41" s="231"/>
      <c r="K41" s="231"/>
      <c r="L41" s="231"/>
      <c r="M41" s="231"/>
      <c r="N41" s="231"/>
    </row>
    <row r="42" spans="1:14" ht="15">
      <c r="A42"/>
      <c r="B42"/>
      <c r="C42" s="231"/>
      <c r="D42" s="231"/>
      <c r="E42" s="231"/>
      <c r="F42" s="231"/>
      <c r="G42" s="231"/>
      <c r="H42" s="231"/>
      <c r="I42" s="231"/>
      <c r="J42" s="231"/>
      <c r="K42" s="231"/>
      <c r="L42" s="231"/>
      <c r="M42" s="231"/>
      <c r="N42" s="231"/>
    </row>
    <row r="43" spans="1:14" ht="15">
      <c r="A43"/>
      <c r="B43"/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231"/>
    </row>
    <row r="44" spans="1:14" ht="30">
      <c r="A44"/>
      <c r="B44"/>
      <c r="C44" s="444" t="s">
        <v>748</v>
      </c>
      <c r="D44" s="445" t="s">
        <v>143</v>
      </c>
      <c r="E44" s="594" t="s">
        <v>749</v>
      </c>
      <c r="F44" s="595"/>
      <c r="G44" s="596" t="s">
        <v>750</v>
      </c>
      <c r="H44" s="595"/>
      <c r="I44" s="446" t="s">
        <v>489</v>
      </c>
      <c r="J44" s="594" t="s">
        <v>751</v>
      </c>
      <c r="K44" s="595"/>
      <c r="L44" s="596" t="s">
        <v>750</v>
      </c>
      <c r="M44" s="595"/>
      <c r="N44" s="447" t="s">
        <v>489</v>
      </c>
    </row>
    <row r="45" spans="1:14" ht="15">
      <c r="A45"/>
      <c r="B45"/>
      <c r="C45" s="448"/>
      <c r="D45" s="448" t="s">
        <v>759</v>
      </c>
      <c r="E45" s="597" t="s">
        <v>753</v>
      </c>
      <c r="F45" s="598"/>
      <c r="G45" s="597" t="s">
        <v>753</v>
      </c>
      <c r="H45" s="598"/>
      <c r="I45" s="448"/>
      <c r="J45" s="597" t="s">
        <v>760</v>
      </c>
      <c r="K45" s="598"/>
      <c r="L45" s="597" t="s">
        <v>760</v>
      </c>
      <c r="M45" s="598"/>
      <c r="N45" s="449"/>
    </row>
    <row r="46" spans="1:14" ht="15">
      <c r="A46" t="s">
        <v>740</v>
      </c>
      <c r="B46"/>
      <c r="C46" s="451" t="s">
        <v>685</v>
      </c>
      <c r="D46" s="451">
        <v>1.6</v>
      </c>
      <c r="E46" s="456">
        <f>VLOOKUP(A46,Results,7,FALSE)</f>
        <v>632.50472356050807</v>
      </c>
      <c r="F46" s="458"/>
      <c r="G46" s="456">
        <f>VLOOKUP(A46,Uncertainty,4,FALSE())</f>
        <v>2.6615291797955114E-2</v>
      </c>
      <c r="H46" s="458"/>
      <c r="I46" s="455">
        <f>VLOOKUP(A46,Uncertainty,5,FALSE())</f>
        <v>2.3904695775300739</v>
      </c>
      <c r="J46" s="487">
        <f>VLOOKUP(A46,Results,5,FALSE())*1000</f>
        <v>100.12060975938702</v>
      </c>
      <c r="K46" s="454" t="s">
        <v>761</v>
      </c>
      <c r="L46" s="487">
        <f>VLOOKUP(A46,Uncertainty,2,FALSE)*1000</f>
        <v>2.1963368258022826</v>
      </c>
      <c r="M46" s="454" t="s">
        <v>761</v>
      </c>
      <c r="N46" s="459">
        <f>VLOOKUP(A46,Uncertainty,3,FALSE())</f>
        <v>2.1435191283678097</v>
      </c>
    </row>
    <row r="47" spans="1:14" ht="15">
      <c r="A47" t="s">
        <v>741</v>
      </c>
      <c r="B47"/>
      <c r="C47" s="469" t="s">
        <v>686</v>
      </c>
      <c r="D47" s="469">
        <v>1.6</v>
      </c>
      <c r="E47" s="483">
        <f>VLOOKUP(A47,Results,7,FALSE)/1000</f>
        <v>2.0005704576533274</v>
      </c>
      <c r="F47" s="472" t="s">
        <v>17</v>
      </c>
      <c r="G47" s="483">
        <f>VLOOKUP(A47,Uncertainty,4,FALSE())/1000</f>
        <v>9.0331094585346445E-5</v>
      </c>
      <c r="H47" s="472" t="s">
        <v>17</v>
      </c>
      <c r="I47" s="473">
        <f>VLOOKUP(A47,Uncertainty,5,FALSE())</f>
        <v>2.1742566166891666</v>
      </c>
      <c r="J47" s="470">
        <f>VLOOKUP(A47,Results,5,FALSE())</f>
        <v>99.884561168945325</v>
      </c>
      <c r="K47" s="472" t="s">
        <v>201</v>
      </c>
      <c r="L47" s="470">
        <f>VLOOKUP(A47,Uncertainty,2,FALSE)</f>
        <v>3.6511103502476092E-2</v>
      </c>
      <c r="M47" s="472" t="s">
        <v>201</v>
      </c>
      <c r="N47" s="476">
        <f>VLOOKUP(A47,Uncertainty,3,FALSE())</f>
        <v>2.247005150745025</v>
      </c>
    </row>
  </sheetData>
  <mergeCells count="32">
    <mergeCell ref="E44:F44"/>
    <mergeCell ref="G44:H44"/>
    <mergeCell ref="J44:K44"/>
    <mergeCell ref="L44:M44"/>
    <mergeCell ref="E45:F45"/>
    <mergeCell ref="G45:H45"/>
    <mergeCell ref="J45:K45"/>
    <mergeCell ref="L45:M45"/>
    <mergeCell ref="E36:F36"/>
    <mergeCell ref="G36:H36"/>
    <mergeCell ref="J36:K36"/>
    <mergeCell ref="L36:M36"/>
    <mergeCell ref="E37:F37"/>
    <mergeCell ref="G37:H37"/>
    <mergeCell ref="J37:K37"/>
    <mergeCell ref="L37:M37"/>
    <mergeCell ref="E24:F24"/>
    <mergeCell ref="G24:H24"/>
    <mergeCell ref="J24:K24"/>
    <mergeCell ref="L24:M24"/>
    <mergeCell ref="E25:F25"/>
    <mergeCell ref="G25:H25"/>
    <mergeCell ref="J25:K25"/>
    <mergeCell ref="L25:M25"/>
    <mergeCell ref="E3:F3"/>
    <mergeCell ref="G3:H3"/>
    <mergeCell ref="J3:K3"/>
    <mergeCell ref="L3:M3"/>
    <mergeCell ref="E4:F4"/>
    <mergeCell ref="G4:H4"/>
    <mergeCell ref="J4:K4"/>
    <mergeCell ref="L4:M4"/>
  </mergeCells>
  <pageMargins left="0.7" right="0.7" top="0.75" bottom="0.75" header="0.3" footer="0.3"/>
  <pageSetup paperSize="9" scale="7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>
      <selection activeCell="C7" sqref="C7"/>
    </sheetView>
  </sheetViews>
  <sheetFormatPr defaultRowHeight="12.75"/>
  <sheetData>
    <row r="1" spans="1:8">
      <c r="C1" t="s">
        <v>482</v>
      </c>
      <c r="F1" t="s">
        <v>444</v>
      </c>
    </row>
    <row r="2" spans="1:8">
      <c r="A2" s="178" t="s">
        <v>480</v>
      </c>
      <c r="B2" s="178"/>
      <c r="C2" s="277">
        <f>AVERAGE(Results!N12:N20)</f>
        <v>20.216666666666665</v>
      </c>
      <c r="D2" s="277">
        <f>STDEV(Results!N12:N20)</f>
        <v>7.8102496759066484E-2</v>
      </c>
      <c r="F2" s="172"/>
      <c r="G2" s="80"/>
      <c r="H2" s="80"/>
    </row>
    <row r="4" spans="1:8">
      <c r="A4" s="178" t="s">
        <v>481</v>
      </c>
      <c r="B4" s="178"/>
      <c r="C4" s="277">
        <f>RoomLogger!B62</f>
        <v>21.4</v>
      </c>
      <c r="D4" s="277">
        <f>RoomLogger!B63</f>
        <v>21.3</v>
      </c>
      <c r="E4" s="178"/>
      <c r="F4" s="277">
        <f>RoomLogger!C62</f>
        <v>50</v>
      </c>
      <c r="G4" s="277">
        <f>RoomLogger!C63</f>
        <v>50.1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16"/>
  <sheetViews>
    <sheetView topLeftCell="A13" workbookViewId="0">
      <selection activeCell="G16" sqref="G16"/>
    </sheetView>
  </sheetViews>
  <sheetFormatPr defaultRowHeight="12.75"/>
  <cols>
    <col min="1" max="1" width="21.140625" customWidth="1"/>
  </cols>
  <sheetData>
    <row r="1" spans="1:3">
      <c r="A1" s="179">
        <v>43034.364583333336</v>
      </c>
      <c r="B1">
        <v>21.4</v>
      </c>
      <c r="C1">
        <v>49.4</v>
      </c>
    </row>
    <row r="2" spans="1:3">
      <c r="A2" s="179">
        <v>43034.368055555555</v>
      </c>
      <c r="B2">
        <v>21.4</v>
      </c>
      <c r="C2">
        <v>49.3</v>
      </c>
    </row>
    <row r="3" spans="1:3">
      <c r="A3" s="179">
        <v>43034.371527777781</v>
      </c>
      <c r="B3">
        <v>21.4</v>
      </c>
      <c r="C3">
        <v>49.3</v>
      </c>
    </row>
    <row r="4" spans="1:3">
      <c r="A4" s="179">
        <v>43034.375</v>
      </c>
      <c r="B4">
        <v>21.4</v>
      </c>
      <c r="C4">
        <v>49.4</v>
      </c>
    </row>
    <row r="5" spans="1:3">
      <c r="A5" s="179">
        <v>43034.378472222219</v>
      </c>
      <c r="B5">
        <v>21.4</v>
      </c>
      <c r="C5">
        <v>49.5</v>
      </c>
    </row>
    <row r="6" spans="1:3">
      <c r="A6" s="179">
        <v>43034.381944444445</v>
      </c>
      <c r="B6">
        <v>21.4</v>
      </c>
      <c r="C6">
        <v>49.7</v>
      </c>
    </row>
    <row r="7" spans="1:3">
      <c r="A7" s="179">
        <v>43034.385416666664</v>
      </c>
      <c r="B7">
        <v>21.3</v>
      </c>
      <c r="C7">
        <v>49.9</v>
      </c>
    </row>
    <row r="8" spans="1:3">
      <c r="A8" s="179">
        <v>43034.388888888891</v>
      </c>
      <c r="B8">
        <v>21.4</v>
      </c>
      <c r="C8">
        <v>49.7</v>
      </c>
    </row>
    <row r="9" spans="1:3">
      <c r="A9" s="179">
        <v>43034.392361111109</v>
      </c>
      <c r="B9">
        <v>21.4</v>
      </c>
      <c r="C9">
        <v>49.6</v>
      </c>
    </row>
    <row r="10" spans="1:3">
      <c r="A10" s="179">
        <v>43034.395833333336</v>
      </c>
      <c r="B10">
        <v>21.4</v>
      </c>
      <c r="C10">
        <v>49.5</v>
      </c>
    </row>
    <row r="11" spans="1:3">
      <c r="A11" s="179">
        <v>43034.399305555555</v>
      </c>
      <c r="B11">
        <v>21.4</v>
      </c>
      <c r="C11">
        <v>49.8</v>
      </c>
    </row>
    <row r="12" spans="1:3">
      <c r="A12" s="179">
        <v>43034.402777777781</v>
      </c>
      <c r="B12">
        <v>21.4</v>
      </c>
      <c r="C12">
        <v>49.9</v>
      </c>
    </row>
    <row r="13" spans="1:3">
      <c r="A13" s="179">
        <v>43034.40625</v>
      </c>
      <c r="B13">
        <v>21.3</v>
      </c>
      <c r="C13">
        <v>50.1</v>
      </c>
    </row>
    <row r="14" spans="1:3">
      <c r="A14" s="179">
        <v>43034.409722222219</v>
      </c>
      <c r="B14">
        <v>21.3</v>
      </c>
      <c r="C14">
        <v>50</v>
      </c>
    </row>
    <row r="15" spans="1:3">
      <c r="A15" s="179">
        <v>43034.413194444445</v>
      </c>
      <c r="B15">
        <v>21.4</v>
      </c>
      <c r="C15">
        <v>49.8</v>
      </c>
    </row>
    <row r="16" spans="1:3">
      <c r="A16" s="179">
        <v>43034.416666666664</v>
      </c>
      <c r="B16">
        <v>21.4</v>
      </c>
      <c r="C16">
        <v>49.8</v>
      </c>
    </row>
    <row r="17" spans="1:6">
      <c r="A17" s="179">
        <v>43034.420138888891</v>
      </c>
      <c r="B17">
        <v>21.4</v>
      </c>
      <c r="C17">
        <v>49.8</v>
      </c>
    </row>
    <row r="18" spans="1:6">
      <c r="A18" s="179">
        <v>43034.423611111109</v>
      </c>
      <c r="B18">
        <v>21.4</v>
      </c>
      <c r="C18">
        <v>49.7</v>
      </c>
    </row>
    <row r="19" spans="1:6">
      <c r="A19" s="179">
        <v>43034.427083333336</v>
      </c>
      <c r="B19">
        <v>21.4</v>
      </c>
      <c r="C19">
        <v>49.7</v>
      </c>
    </row>
    <row r="20" spans="1:6">
      <c r="A20" s="179">
        <v>43034.430555555555</v>
      </c>
      <c r="B20">
        <v>21.4</v>
      </c>
      <c r="C20">
        <v>49.7</v>
      </c>
    </row>
    <row r="21" spans="1:6">
      <c r="A21" s="179">
        <v>43034.434027777781</v>
      </c>
      <c r="B21">
        <v>21.4</v>
      </c>
      <c r="C21">
        <v>49.8</v>
      </c>
    </row>
    <row r="22" spans="1:6">
      <c r="A22" s="179">
        <v>43034.4375</v>
      </c>
      <c r="B22">
        <v>21.4</v>
      </c>
      <c r="C22">
        <v>49.6</v>
      </c>
    </row>
    <row r="23" spans="1:6">
      <c r="A23" s="179">
        <v>43034.440972222219</v>
      </c>
      <c r="B23">
        <v>21.4</v>
      </c>
      <c r="C23">
        <v>49.6</v>
      </c>
    </row>
    <row r="24" spans="1:6">
      <c r="A24" s="359">
        <v>43034.444444444445</v>
      </c>
      <c r="B24" s="276">
        <v>21.3</v>
      </c>
      <c r="C24" s="276">
        <v>49.8</v>
      </c>
      <c r="D24" s="276"/>
      <c r="E24" s="276">
        <f>AVERAGE(B24:B39)</f>
        <v>21.312500000000004</v>
      </c>
      <c r="F24" s="276">
        <f>AVERAGE(C24:C39)</f>
        <v>50.106249999999996</v>
      </c>
    </row>
    <row r="25" spans="1:6">
      <c r="A25" s="359">
        <v>43034.447916666664</v>
      </c>
      <c r="B25" s="276">
        <v>21.4</v>
      </c>
      <c r="C25" s="276">
        <v>49.8</v>
      </c>
      <c r="D25" s="276"/>
      <c r="E25" s="276">
        <f>STDEV(B24:B39)</f>
        <v>3.4156502553197923E-2</v>
      </c>
      <c r="F25" s="276">
        <f>STDEV(C24:C39)</f>
        <v>0.16520189667999216</v>
      </c>
    </row>
    <row r="26" spans="1:6">
      <c r="A26" s="359">
        <v>43034.451388888891</v>
      </c>
      <c r="B26" s="276">
        <v>21.3</v>
      </c>
      <c r="C26" s="276">
        <v>50.1</v>
      </c>
      <c r="D26" s="276"/>
      <c r="E26" s="276"/>
      <c r="F26" s="276"/>
    </row>
    <row r="27" spans="1:6">
      <c r="A27" s="359">
        <v>43034.454861111109</v>
      </c>
      <c r="B27" s="276">
        <v>21.3</v>
      </c>
      <c r="C27" s="276">
        <v>50.1</v>
      </c>
      <c r="D27" s="276"/>
      <c r="E27" s="276"/>
      <c r="F27" s="276"/>
    </row>
    <row r="28" spans="1:6">
      <c r="A28" s="359">
        <v>43034.458333333336</v>
      </c>
      <c r="B28" s="276">
        <v>21.3</v>
      </c>
      <c r="C28" s="276">
        <v>50.1</v>
      </c>
      <c r="D28" s="276"/>
      <c r="E28" s="276"/>
      <c r="F28" s="276"/>
    </row>
    <row r="29" spans="1:6">
      <c r="A29" s="359">
        <v>43034.461805555555</v>
      </c>
      <c r="B29" s="276">
        <v>21.3</v>
      </c>
      <c r="C29" s="276">
        <v>50</v>
      </c>
      <c r="D29" s="276"/>
      <c r="E29" s="276"/>
      <c r="F29" s="276"/>
    </row>
    <row r="30" spans="1:6">
      <c r="A30" s="359">
        <v>43034.465277777781</v>
      </c>
      <c r="B30" s="276">
        <v>21.4</v>
      </c>
      <c r="C30" s="276">
        <v>50</v>
      </c>
      <c r="D30" s="276"/>
      <c r="E30" s="276"/>
      <c r="F30" s="276"/>
    </row>
    <row r="31" spans="1:6">
      <c r="A31" s="359">
        <v>43034.46875</v>
      </c>
      <c r="B31" s="276">
        <v>21.3</v>
      </c>
      <c r="C31" s="276">
        <v>50.1</v>
      </c>
      <c r="D31" s="276"/>
      <c r="E31" s="276"/>
      <c r="F31" s="276"/>
    </row>
    <row r="32" spans="1:6">
      <c r="A32" s="359">
        <v>43034.472222222219</v>
      </c>
      <c r="B32" s="276">
        <v>21.3</v>
      </c>
      <c r="C32" s="276">
        <v>50</v>
      </c>
      <c r="D32" s="276"/>
      <c r="E32" s="276"/>
      <c r="F32" s="276"/>
    </row>
    <row r="33" spans="1:6">
      <c r="A33" s="359">
        <v>43034.475694444445</v>
      </c>
      <c r="B33" s="276">
        <v>21.3</v>
      </c>
      <c r="C33" s="276">
        <v>50.2</v>
      </c>
      <c r="D33" s="276"/>
      <c r="E33" s="276"/>
      <c r="F33" s="276"/>
    </row>
    <row r="34" spans="1:6">
      <c r="A34" s="359">
        <v>43034.479166666664</v>
      </c>
      <c r="B34" s="276">
        <v>21.3</v>
      </c>
      <c r="C34" s="276">
        <v>50.2</v>
      </c>
      <c r="D34" s="276"/>
      <c r="E34" s="276"/>
      <c r="F34" s="276"/>
    </row>
    <row r="35" spans="1:6">
      <c r="A35" s="359">
        <v>43034.482638888891</v>
      </c>
      <c r="B35" s="276">
        <v>21.3</v>
      </c>
      <c r="C35" s="276">
        <v>50.1</v>
      </c>
      <c r="D35" s="276"/>
      <c r="E35" s="276"/>
      <c r="F35" s="276"/>
    </row>
    <row r="36" spans="1:6">
      <c r="A36" s="359">
        <v>43034.486111111109</v>
      </c>
      <c r="B36" s="276">
        <v>21.3</v>
      </c>
      <c r="C36" s="276">
        <v>50.3</v>
      </c>
      <c r="D36" s="276"/>
      <c r="E36" s="276"/>
      <c r="F36" s="276"/>
    </row>
    <row r="37" spans="1:6">
      <c r="A37" s="359">
        <v>43034.489583333336</v>
      </c>
      <c r="B37" s="276">
        <v>21.3</v>
      </c>
      <c r="C37" s="276">
        <v>50.3</v>
      </c>
      <c r="D37" s="276"/>
      <c r="E37" s="276"/>
      <c r="F37" s="276"/>
    </row>
    <row r="38" spans="1:6">
      <c r="A38" s="359">
        <v>43034.493055555555</v>
      </c>
      <c r="B38" s="276">
        <v>21.3</v>
      </c>
      <c r="C38" s="276">
        <v>50.2</v>
      </c>
      <c r="D38" s="276"/>
      <c r="E38" s="276"/>
      <c r="F38" s="276"/>
    </row>
    <row r="39" spans="1:6">
      <c r="A39" s="359">
        <v>43034.496527777781</v>
      </c>
      <c r="B39" s="276">
        <v>21.3</v>
      </c>
      <c r="C39" s="276">
        <v>50.4</v>
      </c>
      <c r="D39" s="276"/>
      <c r="E39" s="276"/>
      <c r="F39" s="276"/>
    </row>
    <row r="40" spans="1:6">
      <c r="A40" s="179">
        <v>43034.5</v>
      </c>
      <c r="B40">
        <v>21.3</v>
      </c>
      <c r="C40">
        <v>50.3</v>
      </c>
    </row>
    <row r="41" spans="1:6">
      <c r="A41" s="179">
        <v>43034.503472222219</v>
      </c>
      <c r="B41">
        <v>21.3</v>
      </c>
      <c r="C41">
        <v>50.1</v>
      </c>
    </row>
    <row r="42" spans="1:6">
      <c r="A42" s="179">
        <v>43034.506944444445</v>
      </c>
      <c r="B42">
        <v>21.3</v>
      </c>
      <c r="C42">
        <v>49.9</v>
      </c>
    </row>
    <row r="43" spans="1:6">
      <c r="A43" s="179">
        <v>43034.510416666664</v>
      </c>
      <c r="B43">
        <v>21.3</v>
      </c>
      <c r="C43">
        <v>49.9</v>
      </c>
    </row>
    <row r="44" spans="1:6">
      <c r="A44" s="179">
        <v>43034.513888888891</v>
      </c>
      <c r="B44">
        <v>21.3</v>
      </c>
      <c r="C44">
        <v>49.8</v>
      </c>
    </row>
    <row r="45" spans="1:6">
      <c r="A45" s="179">
        <v>43034.517361111109</v>
      </c>
      <c r="B45">
        <v>21.4</v>
      </c>
      <c r="C45">
        <v>49.8</v>
      </c>
    </row>
    <row r="46" spans="1:6">
      <c r="A46" s="179">
        <v>43034.520833333336</v>
      </c>
      <c r="B46">
        <v>21.3</v>
      </c>
      <c r="C46">
        <v>49.8</v>
      </c>
    </row>
    <row r="47" spans="1:6">
      <c r="A47" s="179">
        <v>43034.524305555555</v>
      </c>
      <c r="B47">
        <v>21.3</v>
      </c>
      <c r="C47">
        <v>49.8</v>
      </c>
    </row>
    <row r="48" spans="1:6">
      <c r="A48" s="179">
        <v>43034.527777777781</v>
      </c>
      <c r="B48">
        <v>21.3</v>
      </c>
      <c r="C48">
        <v>49.8</v>
      </c>
    </row>
    <row r="49" spans="1:3">
      <c r="A49" s="179">
        <v>43034.53125</v>
      </c>
      <c r="B49">
        <v>21.4</v>
      </c>
      <c r="C49">
        <v>49.7</v>
      </c>
    </row>
    <row r="50" spans="1:3">
      <c r="A50" s="179">
        <v>43034.534722222219</v>
      </c>
      <c r="B50">
        <v>21.4</v>
      </c>
      <c r="C50">
        <v>49.7</v>
      </c>
    </row>
    <row r="51" spans="1:3">
      <c r="A51" s="179">
        <v>43034.538194444445</v>
      </c>
      <c r="B51">
        <v>21.3</v>
      </c>
      <c r="C51">
        <v>49.8</v>
      </c>
    </row>
    <row r="52" spans="1:3">
      <c r="A52" s="179">
        <v>43034.541666666664</v>
      </c>
      <c r="B52">
        <v>21.3</v>
      </c>
      <c r="C52">
        <v>49.7</v>
      </c>
    </row>
    <row r="53" spans="1:3">
      <c r="A53" s="179">
        <v>43034.545138888891</v>
      </c>
      <c r="B53">
        <v>21.3</v>
      </c>
      <c r="C53">
        <v>49.7</v>
      </c>
    </row>
    <row r="54" spans="1:3">
      <c r="A54" s="179">
        <v>43034.548611111109</v>
      </c>
      <c r="B54">
        <v>21.3</v>
      </c>
      <c r="C54">
        <v>49.9</v>
      </c>
    </row>
    <row r="55" spans="1:3">
      <c r="A55" s="179">
        <v>43034.552083333336</v>
      </c>
      <c r="B55">
        <v>21.3</v>
      </c>
      <c r="C55">
        <v>49.8</v>
      </c>
    </row>
    <row r="56" spans="1:3">
      <c r="A56" s="179">
        <v>43034.555555555555</v>
      </c>
      <c r="B56">
        <v>21.3</v>
      </c>
      <c r="C56">
        <v>49.9</v>
      </c>
    </row>
    <row r="57" spans="1:3">
      <c r="A57" s="179">
        <v>43034.559027777781</v>
      </c>
      <c r="B57">
        <v>21.3</v>
      </c>
      <c r="C57">
        <v>50.1</v>
      </c>
    </row>
    <row r="58" spans="1:3">
      <c r="A58" s="179">
        <v>43034.5625</v>
      </c>
      <c r="B58">
        <v>21.3</v>
      </c>
      <c r="C58">
        <v>50.1</v>
      </c>
    </row>
    <row r="59" spans="1:3">
      <c r="A59" s="179">
        <v>43034.565972222219</v>
      </c>
      <c r="B59">
        <v>21.3</v>
      </c>
      <c r="C59">
        <v>50.2</v>
      </c>
    </row>
    <row r="60" spans="1:3">
      <c r="A60" s="179">
        <v>43034.569444444445</v>
      </c>
      <c r="B60">
        <v>21.4</v>
      </c>
      <c r="C60">
        <v>50</v>
      </c>
    </row>
    <row r="61" spans="1:3">
      <c r="A61" s="179">
        <v>43034.572916666664</v>
      </c>
      <c r="B61">
        <v>21.4</v>
      </c>
      <c r="C61">
        <v>49.9</v>
      </c>
    </row>
    <row r="62" spans="1:3">
      <c r="A62" s="179">
        <v>43034.576388888891</v>
      </c>
      <c r="B62">
        <v>21.4</v>
      </c>
      <c r="C62">
        <v>50</v>
      </c>
    </row>
    <row r="63" spans="1:3">
      <c r="A63" s="179">
        <v>43034.579861111109</v>
      </c>
      <c r="B63">
        <v>21.3</v>
      </c>
      <c r="C63">
        <v>50.1</v>
      </c>
    </row>
    <row r="64" spans="1:3">
      <c r="A64" s="179">
        <v>43034.583333333336</v>
      </c>
      <c r="B64">
        <v>21.4</v>
      </c>
      <c r="C64">
        <v>50.2</v>
      </c>
    </row>
    <row r="65" spans="1:3">
      <c r="A65" s="179">
        <v>43034.586805555555</v>
      </c>
      <c r="B65">
        <v>21.4</v>
      </c>
      <c r="C65">
        <v>50</v>
      </c>
    </row>
    <row r="66" spans="1:3">
      <c r="A66" s="179">
        <v>43034.590277777781</v>
      </c>
      <c r="B66">
        <v>21.4</v>
      </c>
      <c r="C66">
        <v>49.8</v>
      </c>
    </row>
    <row r="67" spans="1:3">
      <c r="A67" s="179">
        <v>43034.59375</v>
      </c>
      <c r="B67">
        <v>21.4</v>
      </c>
      <c r="C67">
        <v>49.7</v>
      </c>
    </row>
    <row r="68" spans="1:3">
      <c r="A68" s="179">
        <v>43034.597222222219</v>
      </c>
      <c r="B68">
        <v>21.4</v>
      </c>
      <c r="C68">
        <v>49.6</v>
      </c>
    </row>
    <row r="69" spans="1:3">
      <c r="A69" s="179">
        <v>43034.600694444445</v>
      </c>
      <c r="B69">
        <v>21.3</v>
      </c>
      <c r="C69">
        <v>49.6</v>
      </c>
    </row>
    <row r="70" spans="1:3">
      <c r="A70" s="179">
        <v>43034.604166666664</v>
      </c>
      <c r="B70">
        <v>21.4</v>
      </c>
      <c r="C70">
        <v>49.5</v>
      </c>
    </row>
    <row r="71" spans="1:3">
      <c r="A71" s="179">
        <v>43034.607638888891</v>
      </c>
      <c r="B71">
        <v>21.3</v>
      </c>
      <c r="C71">
        <v>49.5</v>
      </c>
    </row>
    <row r="72" spans="1:3">
      <c r="A72" s="179">
        <v>43034.611111111109</v>
      </c>
      <c r="B72">
        <v>21.3</v>
      </c>
      <c r="C72">
        <v>49.6</v>
      </c>
    </row>
    <row r="73" spans="1:3">
      <c r="A73" s="179">
        <v>43034.614583333336</v>
      </c>
      <c r="B73">
        <v>21.3</v>
      </c>
      <c r="C73">
        <v>49.7</v>
      </c>
    </row>
    <row r="74" spans="1:3">
      <c r="A74" s="179">
        <v>43034.618055555555</v>
      </c>
      <c r="B74">
        <v>21.4</v>
      </c>
      <c r="C74">
        <v>49.7</v>
      </c>
    </row>
    <row r="75" spans="1:3">
      <c r="A75" s="179">
        <v>43034.621527777781</v>
      </c>
      <c r="B75">
        <v>21.4</v>
      </c>
      <c r="C75">
        <v>49.7</v>
      </c>
    </row>
    <row r="76" spans="1:3">
      <c r="A76" s="179">
        <v>43034.625</v>
      </c>
      <c r="B76">
        <v>21.3</v>
      </c>
      <c r="C76">
        <v>49.7</v>
      </c>
    </row>
    <row r="77" spans="1:3">
      <c r="A77" s="179">
        <v>43034.628472222219</v>
      </c>
      <c r="B77">
        <v>21.3</v>
      </c>
      <c r="C77">
        <v>49.7</v>
      </c>
    </row>
    <row r="78" spans="1:3">
      <c r="A78" s="179">
        <v>43034.631944444445</v>
      </c>
      <c r="B78">
        <v>21.3</v>
      </c>
      <c r="C78">
        <v>49.6</v>
      </c>
    </row>
    <row r="79" spans="1:3">
      <c r="A79" s="179">
        <v>43034.635416666664</v>
      </c>
      <c r="B79">
        <v>21.3</v>
      </c>
      <c r="C79">
        <v>49.6</v>
      </c>
    </row>
    <row r="80" spans="1:3">
      <c r="A80" s="179">
        <v>43034.638888888891</v>
      </c>
      <c r="B80">
        <v>21.3</v>
      </c>
      <c r="C80">
        <v>49.7</v>
      </c>
    </row>
    <row r="81" spans="1:3">
      <c r="A81" s="179">
        <v>43034.642361111109</v>
      </c>
      <c r="B81">
        <v>21.3</v>
      </c>
      <c r="C81">
        <v>49.6</v>
      </c>
    </row>
    <row r="82" spans="1:3">
      <c r="A82" s="179">
        <v>43034.645833333336</v>
      </c>
      <c r="B82">
        <v>21.3</v>
      </c>
      <c r="C82">
        <v>49.6</v>
      </c>
    </row>
    <row r="83" spans="1:3">
      <c r="A83" s="179">
        <v>43034.649305555555</v>
      </c>
      <c r="B83">
        <v>21.2</v>
      </c>
      <c r="C83">
        <v>49.8</v>
      </c>
    </row>
    <row r="84" spans="1:3">
      <c r="A84" s="179">
        <v>43034.652777777781</v>
      </c>
      <c r="B84">
        <v>21.2</v>
      </c>
      <c r="C84">
        <v>49.8</v>
      </c>
    </row>
    <row r="85" spans="1:3">
      <c r="A85" s="179">
        <v>43034.65625</v>
      </c>
      <c r="B85">
        <v>21.3</v>
      </c>
      <c r="C85">
        <v>49.7</v>
      </c>
    </row>
    <row r="86" spans="1:3">
      <c r="A86" s="179">
        <v>43034.659722222219</v>
      </c>
      <c r="B86">
        <v>21.3</v>
      </c>
      <c r="C86">
        <v>49.6</v>
      </c>
    </row>
    <row r="87" spans="1:3">
      <c r="A87" s="179">
        <v>43034.663194444445</v>
      </c>
      <c r="B87">
        <v>21.3</v>
      </c>
      <c r="C87">
        <v>49.6</v>
      </c>
    </row>
    <row r="88" spans="1:3">
      <c r="A88" s="179">
        <v>43034.666666666664</v>
      </c>
      <c r="B88">
        <v>21.3</v>
      </c>
      <c r="C88">
        <v>49.8</v>
      </c>
    </row>
    <row r="89" spans="1:3">
      <c r="A89" s="179">
        <v>43034.670138888891</v>
      </c>
      <c r="B89">
        <v>21.3</v>
      </c>
      <c r="C89">
        <v>49.8</v>
      </c>
    </row>
    <row r="90" spans="1:3">
      <c r="A90" s="179">
        <v>43034.673611111109</v>
      </c>
      <c r="B90">
        <v>21.3</v>
      </c>
      <c r="C90">
        <v>49.6</v>
      </c>
    </row>
    <row r="91" spans="1:3">
      <c r="A91" s="179">
        <v>43034.677083333336</v>
      </c>
      <c r="B91">
        <v>21.3</v>
      </c>
      <c r="C91">
        <v>49.6</v>
      </c>
    </row>
    <row r="92" spans="1:3">
      <c r="A92" s="179">
        <v>43034.680555555555</v>
      </c>
      <c r="B92">
        <v>21.3</v>
      </c>
      <c r="C92">
        <v>49.7</v>
      </c>
    </row>
    <row r="93" spans="1:3">
      <c r="A93" s="179">
        <v>43034.684027777781</v>
      </c>
      <c r="B93">
        <v>21.3</v>
      </c>
      <c r="C93">
        <v>49.6</v>
      </c>
    </row>
    <row r="94" spans="1:3">
      <c r="A94" s="179">
        <v>43034.6875</v>
      </c>
      <c r="B94">
        <v>21.3</v>
      </c>
      <c r="C94">
        <v>49.6</v>
      </c>
    </row>
    <row r="95" spans="1:3">
      <c r="A95" s="179">
        <v>43034.690972222219</v>
      </c>
      <c r="B95">
        <v>21.3</v>
      </c>
      <c r="C95">
        <v>49.4</v>
      </c>
    </row>
    <row r="96" spans="1:3">
      <c r="A96" s="179">
        <v>43034.694444444445</v>
      </c>
      <c r="B96">
        <v>21.3</v>
      </c>
      <c r="C96">
        <v>49.5</v>
      </c>
    </row>
    <row r="97" spans="1:3">
      <c r="A97" s="179">
        <v>43034.697916666664</v>
      </c>
      <c r="B97">
        <v>21.3</v>
      </c>
      <c r="C97">
        <v>49.4</v>
      </c>
    </row>
    <row r="98" spans="1:3">
      <c r="A98" s="179">
        <v>43034.701388888891</v>
      </c>
      <c r="B98">
        <v>21.3</v>
      </c>
      <c r="C98">
        <v>49.5</v>
      </c>
    </row>
    <row r="99" spans="1:3">
      <c r="A99" s="179">
        <v>43034.704861111109</v>
      </c>
      <c r="B99">
        <v>21.3</v>
      </c>
      <c r="C99">
        <v>49.4</v>
      </c>
    </row>
    <row r="100" spans="1:3">
      <c r="A100" s="179">
        <v>43034.708333333336</v>
      </c>
      <c r="B100">
        <v>21.3</v>
      </c>
      <c r="C100">
        <v>49.4</v>
      </c>
    </row>
    <row r="101" spans="1:3">
      <c r="A101" s="179">
        <v>43034.711805555555</v>
      </c>
      <c r="B101">
        <v>21.3</v>
      </c>
      <c r="C101">
        <v>49.5</v>
      </c>
    </row>
    <row r="102" spans="1:3">
      <c r="A102" s="179">
        <v>43034.715277777781</v>
      </c>
      <c r="B102">
        <v>21.3</v>
      </c>
      <c r="C102">
        <v>49.5</v>
      </c>
    </row>
    <row r="103" spans="1:3">
      <c r="A103" s="179">
        <v>43034.71875</v>
      </c>
      <c r="B103">
        <v>21.3</v>
      </c>
      <c r="C103">
        <v>49.5</v>
      </c>
    </row>
    <row r="104" spans="1:3">
      <c r="A104" s="179">
        <v>43034.722222222219</v>
      </c>
      <c r="B104">
        <v>21.3</v>
      </c>
      <c r="C104">
        <v>49.3</v>
      </c>
    </row>
    <row r="105" spans="1:3">
      <c r="A105" s="179">
        <v>43034.725694444445</v>
      </c>
      <c r="B105">
        <v>21.3</v>
      </c>
      <c r="C105">
        <v>49.3</v>
      </c>
    </row>
    <row r="106" spans="1:3">
      <c r="A106" s="179">
        <v>43034.729166666664</v>
      </c>
      <c r="B106">
        <v>21.2</v>
      </c>
      <c r="C106">
        <v>49.4</v>
      </c>
    </row>
    <row r="107" spans="1:3">
      <c r="A107" s="179">
        <v>43034.732638888891</v>
      </c>
      <c r="B107">
        <v>21.3</v>
      </c>
      <c r="C107">
        <v>49.4</v>
      </c>
    </row>
    <row r="108" spans="1:3">
      <c r="A108" s="179">
        <v>43034.736111111109</v>
      </c>
      <c r="B108">
        <v>21.3</v>
      </c>
      <c r="C108">
        <v>49.4</v>
      </c>
    </row>
    <row r="109" spans="1:3">
      <c r="A109" s="179">
        <v>43034.739583333336</v>
      </c>
      <c r="B109">
        <v>21.3</v>
      </c>
      <c r="C109">
        <v>49.3</v>
      </c>
    </row>
    <row r="110" spans="1:3">
      <c r="A110" s="179">
        <v>43034.743055555555</v>
      </c>
      <c r="B110">
        <v>21.3</v>
      </c>
      <c r="C110">
        <v>49.3</v>
      </c>
    </row>
    <row r="111" spans="1:3">
      <c r="A111" s="179">
        <v>43034.746527777781</v>
      </c>
      <c r="B111">
        <v>21.3</v>
      </c>
      <c r="C111">
        <v>49.2</v>
      </c>
    </row>
    <row r="112" spans="1:3">
      <c r="A112" s="179">
        <v>43034.75</v>
      </c>
      <c r="B112">
        <v>21.3</v>
      </c>
      <c r="C112">
        <v>49.2</v>
      </c>
    </row>
    <row r="113" spans="1:3">
      <c r="A113" s="179">
        <v>43034.753472222219</v>
      </c>
      <c r="B113">
        <v>21.3</v>
      </c>
      <c r="C113">
        <v>49.2</v>
      </c>
    </row>
    <row r="114" spans="1:3">
      <c r="A114" s="179">
        <v>43034.756944444445</v>
      </c>
      <c r="B114">
        <v>21.3</v>
      </c>
      <c r="C114">
        <v>49.3</v>
      </c>
    </row>
    <row r="115" spans="1:3">
      <c r="A115" s="179">
        <v>43034.760416666664</v>
      </c>
      <c r="B115">
        <v>21.3</v>
      </c>
      <c r="C115">
        <v>49.2</v>
      </c>
    </row>
    <row r="116" spans="1:3">
      <c r="A116" s="179">
        <v>43034.763888888891</v>
      </c>
      <c r="B116">
        <v>21.3</v>
      </c>
      <c r="C116">
        <v>49.2</v>
      </c>
    </row>
    <row r="117" spans="1:3">
      <c r="A117" s="179">
        <v>43034.767361111109</v>
      </c>
      <c r="B117">
        <v>21.3</v>
      </c>
      <c r="C117">
        <v>49.3</v>
      </c>
    </row>
    <row r="118" spans="1:3">
      <c r="A118" s="179">
        <v>43034.770833333336</v>
      </c>
      <c r="B118">
        <v>21.3</v>
      </c>
      <c r="C118">
        <v>49.4</v>
      </c>
    </row>
    <row r="119" spans="1:3">
      <c r="A119" s="179">
        <v>43034.774305555555</v>
      </c>
      <c r="B119">
        <v>21.3</v>
      </c>
      <c r="C119">
        <v>49.4</v>
      </c>
    </row>
    <row r="120" spans="1:3">
      <c r="A120" s="179">
        <v>43034.777777777781</v>
      </c>
      <c r="B120">
        <v>21.3</v>
      </c>
      <c r="C120">
        <v>49.5</v>
      </c>
    </row>
    <row r="121" spans="1:3">
      <c r="A121" s="179">
        <v>43034.78125</v>
      </c>
      <c r="B121">
        <v>21.2</v>
      </c>
      <c r="C121">
        <v>49.5</v>
      </c>
    </row>
    <row r="122" spans="1:3">
      <c r="A122" s="179">
        <v>43034.784722222219</v>
      </c>
      <c r="B122">
        <v>21.3</v>
      </c>
      <c r="C122">
        <v>49.5</v>
      </c>
    </row>
    <row r="123" spans="1:3">
      <c r="A123" s="179">
        <v>43034.788194444445</v>
      </c>
      <c r="B123">
        <v>21.3</v>
      </c>
      <c r="C123">
        <v>49.5</v>
      </c>
    </row>
    <row r="124" spans="1:3">
      <c r="A124" s="179">
        <v>43034.791666666664</v>
      </c>
      <c r="B124">
        <v>21.3</v>
      </c>
      <c r="C124">
        <v>49.6</v>
      </c>
    </row>
    <row r="125" spans="1:3">
      <c r="A125" s="179">
        <v>43034.795138888891</v>
      </c>
      <c r="B125">
        <v>21.3</v>
      </c>
      <c r="C125">
        <v>49.6</v>
      </c>
    </row>
    <row r="126" spans="1:3">
      <c r="A126" s="179">
        <v>43034.798611111109</v>
      </c>
      <c r="B126">
        <v>21.3</v>
      </c>
      <c r="C126">
        <v>49.6</v>
      </c>
    </row>
    <row r="127" spans="1:3">
      <c r="A127" s="179">
        <v>43034.802083333336</v>
      </c>
      <c r="B127">
        <v>21.3</v>
      </c>
      <c r="C127">
        <v>49.7</v>
      </c>
    </row>
    <row r="128" spans="1:3">
      <c r="A128" s="179">
        <v>43034.805555555555</v>
      </c>
      <c r="B128">
        <v>21.3</v>
      </c>
      <c r="C128">
        <v>49.8</v>
      </c>
    </row>
    <row r="129" spans="1:3">
      <c r="A129" s="179">
        <v>43034.809027777781</v>
      </c>
      <c r="B129">
        <v>21.3</v>
      </c>
      <c r="C129">
        <v>49.8</v>
      </c>
    </row>
    <row r="130" spans="1:3">
      <c r="A130" s="179">
        <v>43034.8125</v>
      </c>
      <c r="B130">
        <v>21.3</v>
      </c>
      <c r="C130">
        <v>49.8</v>
      </c>
    </row>
    <row r="131" spans="1:3">
      <c r="A131" s="179">
        <v>43034.815972222219</v>
      </c>
      <c r="B131">
        <v>21.3</v>
      </c>
      <c r="C131">
        <v>49.7</v>
      </c>
    </row>
    <row r="132" spans="1:3">
      <c r="A132" s="179">
        <v>43034.819444444445</v>
      </c>
      <c r="B132">
        <v>21.3</v>
      </c>
      <c r="C132">
        <v>49.7</v>
      </c>
    </row>
    <row r="133" spans="1:3">
      <c r="A133" s="179">
        <v>43034.822916666664</v>
      </c>
      <c r="B133">
        <v>21.3</v>
      </c>
      <c r="C133">
        <v>49.6</v>
      </c>
    </row>
    <row r="134" spans="1:3">
      <c r="A134" s="179">
        <v>43034.826388888891</v>
      </c>
      <c r="B134">
        <v>21.3</v>
      </c>
      <c r="C134">
        <v>49.8</v>
      </c>
    </row>
    <row r="135" spans="1:3">
      <c r="A135" s="179">
        <v>43034.829861111109</v>
      </c>
      <c r="B135">
        <v>21.3</v>
      </c>
      <c r="C135">
        <v>49.7</v>
      </c>
    </row>
    <row r="136" spans="1:3">
      <c r="A136" s="179">
        <v>43034.833333333336</v>
      </c>
      <c r="B136">
        <v>21.4</v>
      </c>
      <c r="C136">
        <v>49.6</v>
      </c>
    </row>
    <row r="137" spans="1:3">
      <c r="A137" s="179">
        <v>43034.836805555555</v>
      </c>
      <c r="B137">
        <v>21.4</v>
      </c>
      <c r="C137">
        <v>49.7</v>
      </c>
    </row>
    <row r="138" spans="1:3">
      <c r="A138" s="179">
        <v>43034.840277777781</v>
      </c>
      <c r="B138">
        <v>21.3</v>
      </c>
      <c r="C138">
        <v>49.8</v>
      </c>
    </row>
    <row r="139" spans="1:3">
      <c r="A139" s="179">
        <v>43034.84375</v>
      </c>
      <c r="B139">
        <v>21.4</v>
      </c>
      <c r="C139">
        <v>49.8</v>
      </c>
    </row>
    <row r="140" spans="1:3">
      <c r="A140" s="179">
        <v>43034.847222222219</v>
      </c>
      <c r="B140">
        <v>21.3</v>
      </c>
      <c r="C140">
        <v>49.9</v>
      </c>
    </row>
    <row r="141" spans="1:3">
      <c r="A141" s="179">
        <v>43034.850694444445</v>
      </c>
      <c r="B141">
        <v>21.4</v>
      </c>
      <c r="C141">
        <v>49.7</v>
      </c>
    </row>
    <row r="142" spans="1:3">
      <c r="A142" s="179">
        <v>43034.854166666664</v>
      </c>
      <c r="B142">
        <v>21.3</v>
      </c>
      <c r="C142">
        <v>49.9</v>
      </c>
    </row>
    <row r="143" spans="1:3">
      <c r="A143" s="179">
        <v>43034.857638888891</v>
      </c>
      <c r="B143">
        <v>21.4</v>
      </c>
      <c r="C143">
        <v>49.8</v>
      </c>
    </row>
    <row r="144" spans="1:3">
      <c r="A144" s="179">
        <v>43034.861111111109</v>
      </c>
      <c r="B144">
        <v>21.4</v>
      </c>
      <c r="C144">
        <v>49.8</v>
      </c>
    </row>
    <row r="145" spans="1:3">
      <c r="A145" s="179">
        <v>43034.864583333336</v>
      </c>
      <c r="B145">
        <v>21.3</v>
      </c>
      <c r="C145">
        <v>50</v>
      </c>
    </row>
    <row r="146" spans="1:3">
      <c r="A146" s="179">
        <v>43034.868055555555</v>
      </c>
      <c r="B146">
        <v>21.4</v>
      </c>
      <c r="C146">
        <v>49.7</v>
      </c>
    </row>
    <row r="147" spans="1:3">
      <c r="A147" s="179">
        <v>43034.871527777781</v>
      </c>
      <c r="B147">
        <v>21.3</v>
      </c>
      <c r="C147">
        <v>49.8</v>
      </c>
    </row>
    <row r="148" spans="1:3">
      <c r="A148" s="179">
        <v>43034.875</v>
      </c>
      <c r="B148">
        <v>21.3</v>
      </c>
      <c r="C148">
        <v>49.8</v>
      </c>
    </row>
    <row r="149" spans="1:3">
      <c r="A149" s="179">
        <v>43034.878472222219</v>
      </c>
      <c r="B149">
        <v>21.3</v>
      </c>
      <c r="C149">
        <v>49.8</v>
      </c>
    </row>
    <row r="150" spans="1:3">
      <c r="A150" s="179">
        <v>43034.881944444445</v>
      </c>
      <c r="B150">
        <v>21.3</v>
      </c>
      <c r="C150">
        <v>49.9</v>
      </c>
    </row>
    <row r="151" spans="1:3">
      <c r="A151" s="179">
        <v>43034.885416666664</v>
      </c>
      <c r="B151">
        <v>21.4</v>
      </c>
      <c r="C151">
        <v>49.7</v>
      </c>
    </row>
    <row r="152" spans="1:3">
      <c r="A152" s="179">
        <v>43034.888888888891</v>
      </c>
      <c r="B152">
        <v>21.3</v>
      </c>
      <c r="C152">
        <v>49.7</v>
      </c>
    </row>
    <row r="153" spans="1:3">
      <c r="A153" s="179">
        <v>43034.892361111109</v>
      </c>
      <c r="B153">
        <v>21.3</v>
      </c>
      <c r="C153">
        <v>49.7</v>
      </c>
    </row>
    <row r="154" spans="1:3">
      <c r="A154" s="179">
        <v>43034.895833333336</v>
      </c>
      <c r="B154">
        <v>21.3</v>
      </c>
      <c r="C154">
        <v>49.7</v>
      </c>
    </row>
    <row r="155" spans="1:3">
      <c r="A155" s="179">
        <v>43034.899305555555</v>
      </c>
      <c r="B155">
        <v>21.3</v>
      </c>
      <c r="C155">
        <v>49.7</v>
      </c>
    </row>
    <row r="156" spans="1:3">
      <c r="A156" s="179">
        <v>43034.902777777781</v>
      </c>
      <c r="B156">
        <v>21.4</v>
      </c>
      <c r="C156">
        <v>49.7</v>
      </c>
    </row>
    <row r="157" spans="1:3">
      <c r="A157" s="179">
        <v>43034.90625</v>
      </c>
      <c r="B157">
        <v>21.3</v>
      </c>
      <c r="C157">
        <v>49.7</v>
      </c>
    </row>
    <row r="158" spans="1:3">
      <c r="A158" s="179">
        <v>43034.909722222219</v>
      </c>
      <c r="B158">
        <v>21.4</v>
      </c>
      <c r="C158">
        <v>49.7</v>
      </c>
    </row>
    <row r="159" spans="1:3">
      <c r="A159" s="179">
        <v>43034.913194444445</v>
      </c>
      <c r="B159">
        <v>21.4</v>
      </c>
      <c r="C159">
        <v>49.6</v>
      </c>
    </row>
    <row r="160" spans="1:3">
      <c r="A160" s="179">
        <v>43034.916666666664</v>
      </c>
      <c r="B160">
        <v>21.4</v>
      </c>
      <c r="C160">
        <v>49.7</v>
      </c>
    </row>
    <row r="161" spans="1:3">
      <c r="A161" s="179">
        <v>43034.920138888891</v>
      </c>
      <c r="B161">
        <v>21.4</v>
      </c>
      <c r="C161">
        <v>49.7</v>
      </c>
    </row>
    <row r="162" spans="1:3">
      <c r="A162" s="179">
        <v>43034.923611111109</v>
      </c>
      <c r="B162">
        <v>21.4</v>
      </c>
      <c r="C162">
        <v>49.7</v>
      </c>
    </row>
    <row r="163" spans="1:3">
      <c r="A163" s="179">
        <v>43034.927083333336</v>
      </c>
      <c r="B163">
        <v>21.3</v>
      </c>
      <c r="C163">
        <v>49.7</v>
      </c>
    </row>
    <row r="164" spans="1:3">
      <c r="A164" s="179">
        <v>43034.930555555555</v>
      </c>
      <c r="B164">
        <v>21.3</v>
      </c>
      <c r="C164">
        <v>49.7</v>
      </c>
    </row>
    <row r="165" spans="1:3">
      <c r="A165" s="179">
        <v>43034.934027777781</v>
      </c>
      <c r="B165">
        <v>21.4</v>
      </c>
      <c r="C165">
        <v>49.6</v>
      </c>
    </row>
    <row r="166" spans="1:3">
      <c r="A166" s="179">
        <v>43034.9375</v>
      </c>
      <c r="B166">
        <v>21.3</v>
      </c>
      <c r="C166">
        <v>49.7</v>
      </c>
    </row>
    <row r="167" spans="1:3">
      <c r="A167" s="179">
        <v>43034.940972222219</v>
      </c>
      <c r="B167">
        <v>21.4</v>
      </c>
      <c r="C167">
        <v>49.5</v>
      </c>
    </row>
    <row r="168" spans="1:3">
      <c r="A168" s="179">
        <v>43034.944444444445</v>
      </c>
      <c r="B168">
        <v>21.4</v>
      </c>
      <c r="C168">
        <v>49.5</v>
      </c>
    </row>
    <row r="169" spans="1:3">
      <c r="A169" s="179">
        <v>43034.947916666664</v>
      </c>
      <c r="B169">
        <v>21.4</v>
      </c>
      <c r="C169">
        <v>49.4</v>
      </c>
    </row>
    <row r="170" spans="1:3">
      <c r="A170" s="179">
        <v>43034.951388888891</v>
      </c>
      <c r="B170">
        <v>21.4</v>
      </c>
      <c r="C170">
        <v>49.4</v>
      </c>
    </row>
    <row r="171" spans="1:3">
      <c r="A171" s="179">
        <v>43034.954861111109</v>
      </c>
      <c r="B171">
        <v>21.3</v>
      </c>
      <c r="C171">
        <v>49.4</v>
      </c>
    </row>
    <row r="172" spans="1:3">
      <c r="A172" s="179">
        <v>43034.958333333336</v>
      </c>
      <c r="B172">
        <v>21.3</v>
      </c>
      <c r="C172">
        <v>49.4</v>
      </c>
    </row>
    <row r="173" spans="1:3">
      <c r="A173" s="179">
        <v>43034.961805555555</v>
      </c>
      <c r="B173">
        <v>21.3</v>
      </c>
      <c r="C173">
        <v>49.4</v>
      </c>
    </row>
    <row r="174" spans="1:3">
      <c r="A174" s="179">
        <v>43034.965277777781</v>
      </c>
      <c r="B174">
        <v>21.4</v>
      </c>
      <c r="C174">
        <v>49.3</v>
      </c>
    </row>
    <row r="175" spans="1:3">
      <c r="A175" s="179">
        <v>43034.96875</v>
      </c>
      <c r="B175">
        <v>21.4</v>
      </c>
      <c r="C175">
        <v>49.4</v>
      </c>
    </row>
    <row r="176" spans="1:3">
      <c r="A176" s="179">
        <v>43034.972222222219</v>
      </c>
      <c r="B176">
        <v>21.3</v>
      </c>
      <c r="C176">
        <v>49.5</v>
      </c>
    </row>
    <row r="177" spans="1:3">
      <c r="A177" s="179">
        <v>43034.975694444445</v>
      </c>
      <c r="B177">
        <v>21.3</v>
      </c>
      <c r="C177">
        <v>49.5</v>
      </c>
    </row>
    <row r="178" spans="1:3">
      <c r="A178" s="179">
        <v>43034.979166666664</v>
      </c>
      <c r="B178">
        <v>21.4</v>
      </c>
      <c r="C178">
        <v>49.3</v>
      </c>
    </row>
    <row r="179" spans="1:3">
      <c r="A179" s="179">
        <v>43034.982638888891</v>
      </c>
      <c r="B179">
        <v>21.3</v>
      </c>
      <c r="C179">
        <v>49.5</v>
      </c>
    </row>
    <row r="180" spans="1:3">
      <c r="A180" s="179">
        <v>43034.986111111109</v>
      </c>
      <c r="B180">
        <v>21.4</v>
      </c>
      <c r="C180">
        <v>49.4</v>
      </c>
    </row>
    <row r="181" spans="1:3">
      <c r="A181" s="179">
        <v>43034.989583333336</v>
      </c>
      <c r="B181">
        <v>21.3</v>
      </c>
      <c r="C181">
        <v>49.5</v>
      </c>
    </row>
    <row r="182" spans="1:3">
      <c r="A182" s="179">
        <v>43034.993055555555</v>
      </c>
      <c r="B182">
        <v>21.4</v>
      </c>
      <c r="C182">
        <v>49.3</v>
      </c>
    </row>
    <row r="183" spans="1:3">
      <c r="A183" s="179">
        <v>43034.996527777781</v>
      </c>
      <c r="B183">
        <v>21.3</v>
      </c>
      <c r="C183">
        <v>49.4</v>
      </c>
    </row>
    <row r="184" spans="1:3">
      <c r="A184" s="179">
        <v>43035</v>
      </c>
      <c r="B184">
        <v>21.4</v>
      </c>
      <c r="C184">
        <v>49.3</v>
      </c>
    </row>
    <row r="185" spans="1:3">
      <c r="A185" s="179">
        <v>43035.003472222219</v>
      </c>
      <c r="B185">
        <v>21.4</v>
      </c>
      <c r="C185">
        <v>49.3</v>
      </c>
    </row>
    <row r="186" spans="1:3">
      <c r="A186" s="179">
        <v>43035.006944444445</v>
      </c>
      <c r="B186">
        <v>21.4</v>
      </c>
      <c r="C186">
        <v>49.2</v>
      </c>
    </row>
    <row r="187" spans="1:3">
      <c r="A187" s="179">
        <v>43035.010416666664</v>
      </c>
      <c r="B187">
        <v>21.4</v>
      </c>
      <c r="C187">
        <v>49.2</v>
      </c>
    </row>
    <row r="188" spans="1:3">
      <c r="A188" s="179">
        <v>43035.013888888891</v>
      </c>
      <c r="B188">
        <v>21.4</v>
      </c>
      <c r="C188">
        <v>49.2</v>
      </c>
    </row>
    <row r="189" spans="1:3">
      <c r="A189" s="179">
        <v>43035.017361111109</v>
      </c>
      <c r="B189">
        <v>21.4</v>
      </c>
      <c r="C189">
        <v>49.2</v>
      </c>
    </row>
    <row r="190" spans="1:3">
      <c r="A190" s="179">
        <v>43035.020833333336</v>
      </c>
      <c r="B190">
        <v>21.4</v>
      </c>
      <c r="C190">
        <v>49.3</v>
      </c>
    </row>
    <row r="191" spans="1:3">
      <c r="A191" s="179">
        <v>43035.024305555555</v>
      </c>
      <c r="B191">
        <v>21.4</v>
      </c>
      <c r="C191">
        <v>49.3</v>
      </c>
    </row>
    <row r="192" spans="1:3">
      <c r="A192" s="179">
        <v>43035.027777777781</v>
      </c>
      <c r="B192">
        <v>21.4</v>
      </c>
      <c r="C192">
        <v>49.2</v>
      </c>
    </row>
    <row r="193" spans="1:3">
      <c r="A193" s="179">
        <v>43035.03125</v>
      </c>
      <c r="B193">
        <v>21.3</v>
      </c>
      <c r="C193">
        <v>49.4</v>
      </c>
    </row>
    <row r="194" spans="1:3">
      <c r="A194" s="179">
        <v>43035.034722222219</v>
      </c>
      <c r="B194">
        <v>21.4</v>
      </c>
      <c r="C194">
        <v>49.4</v>
      </c>
    </row>
    <row r="195" spans="1:3">
      <c r="A195" s="179">
        <v>43035.038194444445</v>
      </c>
      <c r="B195">
        <v>21.4</v>
      </c>
      <c r="C195">
        <v>49.4</v>
      </c>
    </row>
    <row r="196" spans="1:3">
      <c r="A196" s="179">
        <v>43035.041666666664</v>
      </c>
      <c r="B196">
        <v>21.4</v>
      </c>
      <c r="C196">
        <v>49.2</v>
      </c>
    </row>
    <row r="197" spans="1:3">
      <c r="A197" s="179">
        <v>43035.045138888891</v>
      </c>
      <c r="B197">
        <v>21.4</v>
      </c>
      <c r="C197">
        <v>49.2</v>
      </c>
    </row>
    <row r="198" spans="1:3">
      <c r="A198" s="179">
        <v>43035.048611111109</v>
      </c>
      <c r="B198">
        <v>21.4</v>
      </c>
      <c r="C198">
        <v>49.2</v>
      </c>
    </row>
    <row r="199" spans="1:3">
      <c r="A199" s="179">
        <v>43035.052083333336</v>
      </c>
      <c r="B199">
        <v>21.4</v>
      </c>
      <c r="C199">
        <v>49.2</v>
      </c>
    </row>
    <row r="200" spans="1:3">
      <c r="A200" s="179">
        <v>43035.055555555555</v>
      </c>
      <c r="B200">
        <v>21.4</v>
      </c>
      <c r="C200">
        <v>49.2</v>
      </c>
    </row>
    <row r="201" spans="1:3">
      <c r="A201" s="179">
        <v>43035.059027777781</v>
      </c>
      <c r="B201">
        <v>21.4</v>
      </c>
      <c r="C201">
        <v>49.2</v>
      </c>
    </row>
    <row r="202" spans="1:3">
      <c r="A202" s="179">
        <v>43035.0625</v>
      </c>
      <c r="B202">
        <v>21.4</v>
      </c>
      <c r="C202">
        <v>49.2</v>
      </c>
    </row>
    <row r="203" spans="1:3">
      <c r="A203" s="179">
        <v>43035.065972222219</v>
      </c>
      <c r="B203">
        <v>21.3</v>
      </c>
      <c r="C203">
        <v>49.3</v>
      </c>
    </row>
    <row r="204" spans="1:3">
      <c r="A204" s="179">
        <v>43035.069444444445</v>
      </c>
      <c r="B204">
        <v>21.3</v>
      </c>
      <c r="C204">
        <v>49.3</v>
      </c>
    </row>
    <row r="205" spans="1:3">
      <c r="A205" s="179">
        <v>43035.072916666664</v>
      </c>
      <c r="B205">
        <v>21.4</v>
      </c>
      <c r="C205">
        <v>49.1</v>
      </c>
    </row>
    <row r="206" spans="1:3">
      <c r="A206" s="179">
        <v>43035.076388888891</v>
      </c>
      <c r="B206">
        <v>21.3</v>
      </c>
      <c r="C206">
        <v>49.2</v>
      </c>
    </row>
    <row r="207" spans="1:3">
      <c r="A207" s="179">
        <v>43035.079861111109</v>
      </c>
      <c r="B207">
        <v>21.4</v>
      </c>
      <c r="C207">
        <v>49.1</v>
      </c>
    </row>
    <row r="208" spans="1:3">
      <c r="A208" s="179">
        <v>43035.083333333336</v>
      </c>
      <c r="B208">
        <v>21.4</v>
      </c>
      <c r="C208">
        <v>49.2</v>
      </c>
    </row>
    <row r="209" spans="1:3">
      <c r="A209" s="179">
        <v>43035.086805555555</v>
      </c>
      <c r="B209">
        <v>21.4</v>
      </c>
      <c r="C209">
        <v>49.1</v>
      </c>
    </row>
    <row r="210" spans="1:3">
      <c r="A210" s="179">
        <v>43035.090277777781</v>
      </c>
      <c r="B210">
        <v>21.4</v>
      </c>
      <c r="C210">
        <v>49.1</v>
      </c>
    </row>
    <row r="211" spans="1:3">
      <c r="A211" s="179">
        <v>43035.09375</v>
      </c>
      <c r="B211">
        <v>21.4</v>
      </c>
      <c r="C211">
        <v>49.2</v>
      </c>
    </row>
    <row r="212" spans="1:3">
      <c r="A212" s="179">
        <v>43035.097222222219</v>
      </c>
      <c r="B212">
        <v>21.4</v>
      </c>
      <c r="C212">
        <v>49</v>
      </c>
    </row>
    <row r="213" spans="1:3">
      <c r="A213" s="179">
        <v>43035.100694444445</v>
      </c>
      <c r="B213">
        <v>21.4</v>
      </c>
      <c r="C213">
        <v>49.1</v>
      </c>
    </row>
    <row r="214" spans="1:3">
      <c r="A214" s="179">
        <v>43035.104166666664</v>
      </c>
      <c r="B214">
        <v>21.4</v>
      </c>
      <c r="C214">
        <v>49.1</v>
      </c>
    </row>
    <row r="215" spans="1:3">
      <c r="A215" s="179">
        <v>43035.107638888891</v>
      </c>
      <c r="B215">
        <v>21.3</v>
      </c>
      <c r="C215">
        <v>49.1</v>
      </c>
    </row>
    <row r="216" spans="1:3">
      <c r="A216" s="179">
        <v>43035.111111111109</v>
      </c>
      <c r="B216">
        <v>21.4</v>
      </c>
      <c r="C216">
        <v>49.1</v>
      </c>
    </row>
    <row r="217" spans="1:3">
      <c r="A217" s="179">
        <v>43035.114583333336</v>
      </c>
      <c r="B217">
        <v>21.4</v>
      </c>
      <c r="C217">
        <v>49</v>
      </c>
    </row>
    <row r="218" spans="1:3">
      <c r="A218" s="179">
        <v>43035.118055555555</v>
      </c>
      <c r="B218">
        <v>21.4</v>
      </c>
      <c r="C218">
        <v>49</v>
      </c>
    </row>
    <row r="219" spans="1:3">
      <c r="A219" s="179">
        <v>43035.121527777781</v>
      </c>
      <c r="B219">
        <v>21.4</v>
      </c>
      <c r="C219">
        <v>49</v>
      </c>
    </row>
    <row r="220" spans="1:3">
      <c r="A220" s="179">
        <v>43035.125</v>
      </c>
      <c r="B220">
        <v>21.4</v>
      </c>
      <c r="C220">
        <v>49</v>
      </c>
    </row>
    <row r="221" spans="1:3">
      <c r="A221" s="179">
        <v>43035.128472222219</v>
      </c>
      <c r="B221">
        <v>21.4</v>
      </c>
      <c r="C221">
        <v>49.1</v>
      </c>
    </row>
    <row r="222" spans="1:3">
      <c r="A222" s="179">
        <v>43035.131944444445</v>
      </c>
      <c r="B222">
        <v>21.4</v>
      </c>
      <c r="C222">
        <v>48.9</v>
      </c>
    </row>
    <row r="223" spans="1:3">
      <c r="A223" s="179">
        <v>43035.135416666664</v>
      </c>
      <c r="B223">
        <v>21.4</v>
      </c>
      <c r="C223">
        <v>48.8</v>
      </c>
    </row>
    <row r="224" spans="1:3">
      <c r="A224" s="179">
        <v>43035.138888888891</v>
      </c>
      <c r="B224">
        <v>21.4</v>
      </c>
      <c r="C224">
        <v>49</v>
      </c>
    </row>
    <row r="225" spans="1:3">
      <c r="A225" s="179">
        <v>43035.142361111109</v>
      </c>
      <c r="B225">
        <v>21.4</v>
      </c>
      <c r="C225">
        <v>48.9</v>
      </c>
    </row>
    <row r="226" spans="1:3">
      <c r="A226" s="179">
        <v>43035.145833333336</v>
      </c>
      <c r="B226">
        <v>21.4</v>
      </c>
      <c r="C226">
        <v>49</v>
      </c>
    </row>
    <row r="227" spans="1:3">
      <c r="A227" s="179">
        <v>43035.149305555555</v>
      </c>
      <c r="B227">
        <v>21.4</v>
      </c>
      <c r="C227">
        <v>48.9</v>
      </c>
    </row>
    <row r="228" spans="1:3">
      <c r="A228" s="179">
        <v>43035.152777777781</v>
      </c>
      <c r="B228">
        <v>21.4</v>
      </c>
      <c r="C228">
        <v>48.9</v>
      </c>
    </row>
    <row r="229" spans="1:3">
      <c r="A229" s="179">
        <v>43035.15625</v>
      </c>
      <c r="B229">
        <v>21.3</v>
      </c>
      <c r="C229">
        <v>49</v>
      </c>
    </row>
    <row r="230" spans="1:3">
      <c r="A230" s="179">
        <v>43035.159722222219</v>
      </c>
      <c r="B230">
        <v>21.4</v>
      </c>
      <c r="C230">
        <v>48.8</v>
      </c>
    </row>
    <row r="231" spans="1:3">
      <c r="A231" s="179">
        <v>43035.163194444445</v>
      </c>
      <c r="B231">
        <v>21.4</v>
      </c>
      <c r="C231">
        <v>48.8</v>
      </c>
    </row>
    <row r="232" spans="1:3">
      <c r="A232" s="179">
        <v>43035.166666666664</v>
      </c>
      <c r="B232">
        <v>21.4</v>
      </c>
      <c r="C232">
        <v>48.7</v>
      </c>
    </row>
    <row r="233" spans="1:3">
      <c r="A233" s="179">
        <v>43035.170138888891</v>
      </c>
      <c r="B233">
        <v>21.4</v>
      </c>
      <c r="C233">
        <v>48.7</v>
      </c>
    </row>
    <row r="234" spans="1:3">
      <c r="A234" s="179">
        <v>43035.173611111109</v>
      </c>
      <c r="B234">
        <v>21.4</v>
      </c>
      <c r="C234">
        <v>48.7</v>
      </c>
    </row>
    <row r="235" spans="1:3">
      <c r="A235" s="179">
        <v>43035.177083333336</v>
      </c>
      <c r="B235">
        <v>21.4</v>
      </c>
      <c r="C235">
        <v>48.6</v>
      </c>
    </row>
    <row r="236" spans="1:3">
      <c r="A236" s="179">
        <v>43035.180555555555</v>
      </c>
      <c r="B236">
        <v>21.4</v>
      </c>
      <c r="C236">
        <v>48.6</v>
      </c>
    </row>
    <row r="237" spans="1:3">
      <c r="A237" s="179">
        <v>43035.184027777781</v>
      </c>
      <c r="B237">
        <v>21.4</v>
      </c>
      <c r="C237">
        <v>48.6</v>
      </c>
    </row>
    <row r="238" spans="1:3">
      <c r="A238" s="179">
        <v>43035.1875</v>
      </c>
      <c r="B238">
        <v>21.4</v>
      </c>
      <c r="C238">
        <v>48.5</v>
      </c>
    </row>
    <row r="239" spans="1:3">
      <c r="A239" s="179">
        <v>43035.190972222219</v>
      </c>
      <c r="B239">
        <v>21.4</v>
      </c>
      <c r="C239">
        <v>48.5</v>
      </c>
    </row>
    <row r="240" spans="1:3">
      <c r="A240" s="179">
        <v>43035.194444444445</v>
      </c>
      <c r="B240">
        <v>21.4</v>
      </c>
      <c r="C240">
        <v>48.5</v>
      </c>
    </row>
    <row r="241" spans="1:3">
      <c r="A241" s="179">
        <v>43035.197916666664</v>
      </c>
      <c r="B241">
        <v>21.4</v>
      </c>
      <c r="C241">
        <v>48.5</v>
      </c>
    </row>
    <row r="242" spans="1:3">
      <c r="A242" s="179">
        <v>43035.201388888891</v>
      </c>
      <c r="B242">
        <v>21.4</v>
      </c>
      <c r="C242">
        <v>48.4</v>
      </c>
    </row>
    <row r="243" spans="1:3">
      <c r="A243" s="179">
        <v>43035.204861111109</v>
      </c>
      <c r="B243">
        <v>21.4</v>
      </c>
      <c r="C243">
        <v>48.4</v>
      </c>
    </row>
    <row r="244" spans="1:3">
      <c r="A244" s="179">
        <v>43035.208333333336</v>
      </c>
      <c r="B244">
        <v>21.4</v>
      </c>
      <c r="C244">
        <v>48.3</v>
      </c>
    </row>
    <row r="245" spans="1:3">
      <c r="A245" s="179">
        <v>43035.211805555555</v>
      </c>
      <c r="B245">
        <v>21.4</v>
      </c>
      <c r="C245">
        <v>48.3</v>
      </c>
    </row>
    <row r="246" spans="1:3">
      <c r="A246" s="179">
        <v>43035.215277777781</v>
      </c>
      <c r="B246">
        <v>21.5</v>
      </c>
      <c r="C246">
        <v>48.2</v>
      </c>
    </row>
    <row r="247" spans="1:3">
      <c r="A247" s="179">
        <v>43035.21875</v>
      </c>
      <c r="B247">
        <v>21.4</v>
      </c>
      <c r="C247">
        <v>48.3</v>
      </c>
    </row>
    <row r="248" spans="1:3">
      <c r="A248" s="179">
        <v>43035.222222222219</v>
      </c>
      <c r="B248">
        <v>21.4</v>
      </c>
      <c r="C248">
        <v>48.2</v>
      </c>
    </row>
    <row r="249" spans="1:3">
      <c r="A249" s="179">
        <v>43035.225694444445</v>
      </c>
      <c r="B249">
        <v>21.4</v>
      </c>
      <c r="C249">
        <v>48.1</v>
      </c>
    </row>
    <row r="250" spans="1:3">
      <c r="A250" s="179">
        <v>43035.229166666664</v>
      </c>
      <c r="B250">
        <v>21.4</v>
      </c>
      <c r="C250">
        <v>48.1</v>
      </c>
    </row>
    <row r="251" spans="1:3">
      <c r="A251" s="179">
        <v>43035.232638888891</v>
      </c>
      <c r="B251">
        <v>21.4</v>
      </c>
      <c r="C251">
        <v>48</v>
      </c>
    </row>
    <row r="252" spans="1:3">
      <c r="A252" s="179">
        <v>43035.236111111109</v>
      </c>
      <c r="B252">
        <v>21.4</v>
      </c>
      <c r="C252">
        <v>48.2</v>
      </c>
    </row>
    <row r="253" spans="1:3">
      <c r="A253" s="179">
        <v>43035.239583333336</v>
      </c>
      <c r="B253">
        <v>21.4</v>
      </c>
      <c r="C253">
        <v>48</v>
      </c>
    </row>
    <row r="254" spans="1:3">
      <c r="A254" s="179">
        <v>43035.243055555555</v>
      </c>
      <c r="B254">
        <v>21.4</v>
      </c>
      <c r="C254">
        <v>48</v>
      </c>
    </row>
    <row r="255" spans="1:3">
      <c r="A255" s="179">
        <v>43035.246527777781</v>
      </c>
      <c r="B255">
        <v>21.4</v>
      </c>
      <c r="C255">
        <v>48</v>
      </c>
    </row>
    <row r="256" spans="1:3">
      <c r="A256" s="179">
        <v>43035.25</v>
      </c>
      <c r="B256">
        <v>21.4</v>
      </c>
      <c r="C256">
        <v>48</v>
      </c>
    </row>
    <row r="257" spans="1:3">
      <c r="A257" s="179">
        <v>43035.253472222219</v>
      </c>
      <c r="B257">
        <v>21.4</v>
      </c>
      <c r="C257">
        <v>48</v>
      </c>
    </row>
    <row r="258" spans="1:3">
      <c r="A258" s="179">
        <v>43035.256944444445</v>
      </c>
      <c r="B258">
        <v>21.4</v>
      </c>
      <c r="C258">
        <v>47.9</v>
      </c>
    </row>
    <row r="259" spans="1:3">
      <c r="A259" s="179">
        <v>43035.260416666664</v>
      </c>
      <c r="B259">
        <v>21.4</v>
      </c>
      <c r="C259">
        <v>48</v>
      </c>
    </row>
    <row r="260" spans="1:3">
      <c r="A260" s="179">
        <v>43035.263888888891</v>
      </c>
      <c r="B260">
        <v>21.4</v>
      </c>
      <c r="C260">
        <v>47.8</v>
      </c>
    </row>
    <row r="261" spans="1:3">
      <c r="A261" s="179">
        <v>43035.267361111109</v>
      </c>
      <c r="B261">
        <v>21.4</v>
      </c>
      <c r="C261">
        <v>47.8</v>
      </c>
    </row>
    <row r="262" spans="1:3">
      <c r="A262" s="179">
        <v>43035.270833333336</v>
      </c>
      <c r="B262">
        <v>21.4</v>
      </c>
      <c r="C262">
        <v>47.8</v>
      </c>
    </row>
    <row r="263" spans="1:3">
      <c r="A263" s="179">
        <v>43035.274305555555</v>
      </c>
      <c r="B263">
        <v>21.4</v>
      </c>
      <c r="C263">
        <v>47.8</v>
      </c>
    </row>
    <row r="264" spans="1:3">
      <c r="A264" s="179">
        <v>43035.277777777781</v>
      </c>
      <c r="B264">
        <v>21.4</v>
      </c>
      <c r="C264">
        <v>47.8</v>
      </c>
    </row>
    <row r="265" spans="1:3">
      <c r="A265" s="179">
        <v>43035.28125</v>
      </c>
      <c r="B265">
        <v>21.3</v>
      </c>
      <c r="C265">
        <v>47.9</v>
      </c>
    </row>
    <row r="266" spans="1:3">
      <c r="A266" s="179">
        <v>43035.284722222219</v>
      </c>
      <c r="B266">
        <v>21.4</v>
      </c>
      <c r="C266">
        <v>47.7</v>
      </c>
    </row>
    <row r="267" spans="1:3">
      <c r="A267" s="179">
        <v>43035.288194444445</v>
      </c>
      <c r="B267">
        <v>21.4</v>
      </c>
      <c r="C267">
        <v>47.6</v>
      </c>
    </row>
    <row r="268" spans="1:3">
      <c r="A268" s="179">
        <v>43035.291666666664</v>
      </c>
      <c r="B268">
        <v>21.4</v>
      </c>
      <c r="C268">
        <v>47.6</v>
      </c>
    </row>
    <row r="269" spans="1:3">
      <c r="A269" s="179">
        <v>43035.295138888891</v>
      </c>
      <c r="B269">
        <v>21.4</v>
      </c>
      <c r="C269">
        <v>47.6</v>
      </c>
    </row>
    <row r="270" spans="1:3">
      <c r="A270" s="179">
        <v>43035.298611111109</v>
      </c>
      <c r="B270">
        <v>21.4</v>
      </c>
      <c r="C270">
        <v>47.6</v>
      </c>
    </row>
    <row r="271" spans="1:3">
      <c r="A271" s="179">
        <v>43035.302083333336</v>
      </c>
      <c r="B271">
        <v>21.4</v>
      </c>
      <c r="C271">
        <v>47.5</v>
      </c>
    </row>
    <row r="272" spans="1:3">
      <c r="A272" s="179">
        <v>43035.305555555555</v>
      </c>
      <c r="B272">
        <v>21.5</v>
      </c>
      <c r="C272">
        <v>47.4</v>
      </c>
    </row>
    <row r="273" spans="1:3">
      <c r="A273" s="179">
        <v>43035.309027777781</v>
      </c>
      <c r="B273">
        <v>21.4</v>
      </c>
      <c r="C273">
        <v>47.5</v>
      </c>
    </row>
    <row r="274" spans="1:3">
      <c r="A274" s="179">
        <v>43035.3125</v>
      </c>
      <c r="B274">
        <v>21.4</v>
      </c>
      <c r="C274">
        <v>47.5</v>
      </c>
    </row>
    <row r="275" spans="1:3">
      <c r="A275" s="179">
        <v>43035.315972222219</v>
      </c>
      <c r="B275">
        <v>21.4</v>
      </c>
      <c r="C275">
        <v>47.4</v>
      </c>
    </row>
    <row r="276" spans="1:3">
      <c r="A276" s="179">
        <v>43035.319444444445</v>
      </c>
      <c r="B276">
        <v>21.4</v>
      </c>
      <c r="C276">
        <v>47.5</v>
      </c>
    </row>
    <row r="277" spans="1:3">
      <c r="A277" s="179">
        <v>43035.322916666664</v>
      </c>
      <c r="B277">
        <v>21.4</v>
      </c>
      <c r="C277">
        <v>47.4</v>
      </c>
    </row>
    <row r="278" spans="1:3">
      <c r="A278" s="179">
        <v>43035.326388888891</v>
      </c>
      <c r="B278">
        <v>21.4</v>
      </c>
      <c r="C278">
        <v>47.4</v>
      </c>
    </row>
    <row r="279" spans="1:3">
      <c r="A279" s="179">
        <v>43035.329861111109</v>
      </c>
      <c r="B279">
        <v>21.4</v>
      </c>
      <c r="C279">
        <v>47.4</v>
      </c>
    </row>
    <row r="280" spans="1:3">
      <c r="A280" s="179">
        <v>43035.333333333336</v>
      </c>
      <c r="B280">
        <v>21.4</v>
      </c>
      <c r="C280">
        <v>47.4</v>
      </c>
    </row>
    <row r="281" spans="1:3">
      <c r="A281" s="179">
        <v>43035.336805555555</v>
      </c>
      <c r="B281">
        <v>21.4</v>
      </c>
      <c r="C281">
        <v>47.4</v>
      </c>
    </row>
    <row r="282" spans="1:3">
      <c r="A282" s="179">
        <v>43035.340277777781</v>
      </c>
      <c r="B282">
        <v>21.5</v>
      </c>
      <c r="C282">
        <v>47.2</v>
      </c>
    </row>
    <row r="283" spans="1:3">
      <c r="A283" s="179">
        <v>43035.34375</v>
      </c>
      <c r="B283">
        <v>21.4</v>
      </c>
      <c r="C283">
        <v>47.3</v>
      </c>
    </row>
    <row r="284" spans="1:3">
      <c r="A284" s="179">
        <v>43035.347222222219</v>
      </c>
      <c r="B284">
        <v>21.4</v>
      </c>
      <c r="C284">
        <v>47.3</v>
      </c>
    </row>
    <row r="285" spans="1:3">
      <c r="A285" s="179">
        <v>43035.350694444445</v>
      </c>
      <c r="B285">
        <v>21.5</v>
      </c>
      <c r="C285">
        <v>47.2</v>
      </c>
    </row>
    <row r="286" spans="1:3">
      <c r="A286" s="179">
        <v>43035.354166666664</v>
      </c>
      <c r="B286">
        <v>21.5</v>
      </c>
      <c r="C286">
        <v>47.1</v>
      </c>
    </row>
    <row r="287" spans="1:3">
      <c r="A287" s="179">
        <v>43035.357638888891</v>
      </c>
      <c r="B287">
        <v>21.4</v>
      </c>
      <c r="C287">
        <v>47.2</v>
      </c>
    </row>
    <row r="288" spans="1:3">
      <c r="A288" s="179">
        <v>43035.361111111109</v>
      </c>
      <c r="B288">
        <v>21.4</v>
      </c>
      <c r="C288">
        <v>47.2</v>
      </c>
    </row>
    <row r="289" spans="1:1">
      <c r="A289" s="179"/>
    </row>
    <row r="290" spans="1:1">
      <c r="A290" s="179"/>
    </row>
    <row r="291" spans="1:1">
      <c r="A291" s="179"/>
    </row>
    <row r="292" spans="1:1">
      <c r="A292" s="179"/>
    </row>
    <row r="293" spans="1:1">
      <c r="A293" s="179"/>
    </row>
    <row r="294" spans="1:1">
      <c r="A294" s="179"/>
    </row>
    <row r="295" spans="1:1">
      <c r="A295" s="179"/>
    </row>
    <row r="296" spans="1:1">
      <c r="A296" s="179"/>
    </row>
    <row r="297" spans="1:1">
      <c r="A297" s="179"/>
    </row>
    <row r="298" spans="1:1">
      <c r="A298" s="179"/>
    </row>
    <row r="299" spans="1:1">
      <c r="A299" s="179"/>
    </row>
    <row r="300" spans="1:1">
      <c r="A300" s="179"/>
    </row>
    <row r="301" spans="1:1">
      <c r="A301" s="179"/>
    </row>
    <row r="302" spans="1:1">
      <c r="A302" s="179"/>
    </row>
    <row r="303" spans="1:1">
      <c r="A303" s="179"/>
    </row>
    <row r="304" spans="1:1">
      <c r="A304" s="179"/>
    </row>
    <row r="305" spans="1:1">
      <c r="A305" s="179"/>
    </row>
    <row r="306" spans="1:1">
      <c r="A306" s="179"/>
    </row>
    <row r="307" spans="1:1">
      <c r="A307" s="179"/>
    </row>
    <row r="308" spans="1:1">
      <c r="A308" s="179"/>
    </row>
    <row r="309" spans="1:1">
      <c r="A309" s="179"/>
    </row>
    <row r="310" spans="1:1">
      <c r="A310" s="179"/>
    </row>
    <row r="311" spans="1:1">
      <c r="A311" s="179"/>
    </row>
    <row r="312" spans="1:1">
      <c r="A312" s="179"/>
    </row>
    <row r="313" spans="1:1">
      <c r="A313" s="179"/>
    </row>
    <row r="314" spans="1:1">
      <c r="A314" s="179"/>
    </row>
    <row r="315" spans="1:1">
      <c r="A315" s="179"/>
    </row>
    <row r="316" spans="1:1">
      <c r="A316" s="179"/>
    </row>
    <row r="317" spans="1:1">
      <c r="A317" s="179"/>
    </row>
    <row r="318" spans="1:1">
      <c r="A318" s="179"/>
    </row>
    <row r="319" spans="1:1">
      <c r="A319" s="179"/>
    </row>
    <row r="320" spans="1:1">
      <c r="A320" s="179"/>
    </row>
    <row r="321" spans="1:1">
      <c r="A321" s="179"/>
    </row>
    <row r="322" spans="1:1">
      <c r="A322" s="179"/>
    </row>
    <row r="323" spans="1:1">
      <c r="A323" s="179"/>
    </row>
    <row r="324" spans="1:1">
      <c r="A324" s="179"/>
    </row>
    <row r="325" spans="1:1">
      <c r="A325" s="179"/>
    </row>
    <row r="326" spans="1:1">
      <c r="A326" s="179"/>
    </row>
    <row r="327" spans="1:1">
      <c r="A327" s="179"/>
    </row>
    <row r="328" spans="1:1">
      <c r="A328" s="179"/>
    </row>
    <row r="329" spans="1:1">
      <c r="A329" s="179"/>
    </row>
    <row r="330" spans="1:1">
      <c r="A330" s="179"/>
    </row>
    <row r="331" spans="1:1">
      <c r="A331" s="179"/>
    </row>
    <row r="332" spans="1:1">
      <c r="A332" s="179"/>
    </row>
    <row r="333" spans="1:1">
      <c r="A333" s="179"/>
    </row>
    <row r="334" spans="1:1">
      <c r="A334" s="179"/>
    </row>
    <row r="335" spans="1:1">
      <c r="A335" s="179"/>
    </row>
    <row r="336" spans="1:1">
      <c r="A336" s="179"/>
    </row>
    <row r="337" spans="1:1">
      <c r="A337" s="179"/>
    </row>
    <row r="338" spans="1:1">
      <c r="A338" s="179"/>
    </row>
    <row r="339" spans="1:1">
      <c r="A339" s="179"/>
    </row>
    <row r="340" spans="1:1">
      <c r="A340" s="179"/>
    </row>
    <row r="341" spans="1:1">
      <c r="A341" s="179"/>
    </row>
    <row r="342" spans="1:1">
      <c r="A342" s="179"/>
    </row>
    <row r="343" spans="1:1">
      <c r="A343" s="179"/>
    </row>
    <row r="344" spans="1:1">
      <c r="A344" s="179"/>
    </row>
    <row r="345" spans="1:1">
      <c r="A345" s="179"/>
    </row>
    <row r="346" spans="1:1">
      <c r="A346" s="179"/>
    </row>
    <row r="347" spans="1:1">
      <c r="A347" s="179"/>
    </row>
    <row r="348" spans="1:1">
      <c r="A348" s="179"/>
    </row>
    <row r="349" spans="1:1">
      <c r="A349" s="179"/>
    </row>
    <row r="350" spans="1:1">
      <c r="A350" s="179"/>
    </row>
    <row r="351" spans="1:1">
      <c r="A351" s="179"/>
    </row>
    <row r="352" spans="1:1">
      <c r="A352" s="179"/>
    </row>
    <row r="353" spans="1:1">
      <c r="A353" s="179"/>
    </row>
    <row r="354" spans="1:1">
      <c r="A354" s="179"/>
    </row>
    <row r="355" spans="1:1">
      <c r="A355" s="179"/>
    </row>
    <row r="356" spans="1:1">
      <c r="A356" s="179"/>
    </row>
    <row r="357" spans="1:1">
      <c r="A357" s="179"/>
    </row>
    <row r="358" spans="1:1">
      <c r="A358" s="179"/>
    </row>
    <row r="359" spans="1:1">
      <c r="A359" s="179"/>
    </row>
    <row r="360" spans="1:1">
      <c r="A360" s="179"/>
    </row>
    <row r="361" spans="1:1">
      <c r="A361" s="179"/>
    </row>
    <row r="362" spans="1:1">
      <c r="A362" s="179"/>
    </row>
    <row r="363" spans="1:1">
      <c r="A363" s="179"/>
    </row>
    <row r="364" spans="1:1">
      <c r="A364" s="179"/>
    </row>
    <row r="365" spans="1:1">
      <c r="A365" s="179"/>
    </row>
    <row r="366" spans="1:1">
      <c r="A366" s="179"/>
    </row>
    <row r="367" spans="1:1">
      <c r="A367" s="179"/>
    </row>
    <row r="368" spans="1:1">
      <c r="A368" s="179"/>
    </row>
    <row r="369" spans="1:1">
      <c r="A369" s="179"/>
    </row>
    <row r="370" spans="1:1">
      <c r="A370" s="179"/>
    </row>
    <row r="371" spans="1:1">
      <c r="A371" s="179"/>
    </row>
    <row r="372" spans="1:1">
      <c r="A372" s="179"/>
    </row>
    <row r="373" spans="1:1">
      <c r="A373" s="179"/>
    </row>
    <row r="374" spans="1:1">
      <c r="A374" s="179"/>
    </row>
    <row r="375" spans="1:1">
      <c r="A375" s="179"/>
    </row>
    <row r="376" spans="1:1">
      <c r="A376" s="179"/>
    </row>
    <row r="377" spans="1:1">
      <c r="A377" s="179"/>
    </row>
    <row r="378" spans="1:1">
      <c r="A378" s="179"/>
    </row>
    <row r="379" spans="1:1">
      <c r="A379" s="179"/>
    </row>
    <row r="380" spans="1:1">
      <c r="A380" s="179"/>
    </row>
    <row r="381" spans="1:1">
      <c r="A381" s="179"/>
    </row>
    <row r="382" spans="1:1">
      <c r="A382" s="179"/>
    </row>
    <row r="383" spans="1:1">
      <c r="A383" s="179"/>
    </row>
    <row r="384" spans="1:1">
      <c r="A384" s="179"/>
    </row>
    <row r="385" spans="1:1">
      <c r="A385" s="179"/>
    </row>
    <row r="386" spans="1:1">
      <c r="A386" s="179"/>
    </row>
    <row r="387" spans="1:1">
      <c r="A387" s="179"/>
    </row>
    <row r="388" spans="1:1">
      <c r="A388" s="179"/>
    </row>
    <row r="389" spans="1:1">
      <c r="A389" s="179"/>
    </row>
    <row r="390" spans="1:1">
      <c r="A390" s="179"/>
    </row>
    <row r="391" spans="1:1">
      <c r="A391" s="179"/>
    </row>
    <row r="392" spans="1:1">
      <c r="A392" s="179"/>
    </row>
    <row r="393" spans="1:1">
      <c r="A393" s="179"/>
    </row>
    <row r="394" spans="1:1">
      <c r="A394" s="179"/>
    </row>
    <row r="395" spans="1:1">
      <c r="A395" s="179"/>
    </row>
    <row r="396" spans="1:1">
      <c r="A396" s="179"/>
    </row>
    <row r="397" spans="1:1">
      <c r="A397" s="179"/>
    </row>
    <row r="398" spans="1:1">
      <c r="A398" s="179"/>
    </row>
    <row r="399" spans="1:1">
      <c r="A399" s="179"/>
    </row>
    <row r="400" spans="1:1">
      <c r="A400" s="179"/>
    </row>
    <row r="401" spans="1:1">
      <c r="A401" s="179"/>
    </row>
    <row r="402" spans="1:1">
      <c r="A402" s="179"/>
    </row>
    <row r="403" spans="1:1">
      <c r="A403" s="179"/>
    </row>
    <row r="404" spans="1:1">
      <c r="A404" s="179"/>
    </row>
    <row r="405" spans="1:1">
      <c r="A405" s="179"/>
    </row>
    <row r="406" spans="1:1">
      <c r="A406" s="179"/>
    </row>
    <row r="407" spans="1:1">
      <c r="A407" s="179"/>
    </row>
    <row r="408" spans="1:1">
      <c r="A408" s="179"/>
    </row>
    <row r="409" spans="1:1">
      <c r="A409" s="179"/>
    </row>
    <row r="410" spans="1:1">
      <c r="A410" s="179"/>
    </row>
    <row r="411" spans="1:1">
      <c r="A411" s="179"/>
    </row>
    <row r="412" spans="1:1">
      <c r="A412" s="179"/>
    </row>
    <row r="413" spans="1:1">
      <c r="A413" s="179"/>
    </row>
    <row r="414" spans="1:1">
      <c r="A414" s="179"/>
    </row>
    <row r="415" spans="1:1">
      <c r="A415" s="179"/>
    </row>
    <row r="416" spans="1:1">
      <c r="A416" s="179"/>
    </row>
    <row r="417" spans="1:1">
      <c r="A417" s="179"/>
    </row>
    <row r="418" spans="1:1">
      <c r="A418" s="179"/>
    </row>
    <row r="419" spans="1:1">
      <c r="A419" s="179"/>
    </row>
    <row r="420" spans="1:1">
      <c r="A420" s="179"/>
    </row>
    <row r="421" spans="1:1">
      <c r="A421" s="179"/>
    </row>
    <row r="422" spans="1:1">
      <c r="A422" s="179"/>
    </row>
    <row r="423" spans="1:1">
      <c r="A423" s="179"/>
    </row>
    <row r="424" spans="1:1">
      <c r="A424" s="179"/>
    </row>
    <row r="425" spans="1:1">
      <c r="A425" s="179"/>
    </row>
    <row r="426" spans="1:1">
      <c r="A426" s="179"/>
    </row>
    <row r="427" spans="1:1">
      <c r="A427" s="179"/>
    </row>
    <row r="428" spans="1:1">
      <c r="A428" s="179"/>
    </row>
    <row r="429" spans="1:1">
      <c r="A429" s="179"/>
    </row>
    <row r="430" spans="1:1">
      <c r="A430" s="179"/>
    </row>
    <row r="431" spans="1:1">
      <c r="A431" s="179"/>
    </row>
    <row r="432" spans="1:1">
      <c r="A432" s="179"/>
    </row>
    <row r="433" spans="1:1">
      <c r="A433" s="179"/>
    </row>
    <row r="434" spans="1:1">
      <c r="A434" s="179"/>
    </row>
    <row r="435" spans="1:1">
      <c r="A435" s="179"/>
    </row>
    <row r="436" spans="1:1">
      <c r="A436" s="179"/>
    </row>
    <row r="437" spans="1:1">
      <c r="A437" s="179"/>
    </row>
    <row r="438" spans="1:1">
      <c r="A438" s="179"/>
    </row>
    <row r="439" spans="1:1">
      <c r="A439" s="179"/>
    </row>
    <row r="440" spans="1:1">
      <c r="A440" s="179"/>
    </row>
    <row r="441" spans="1:1">
      <c r="A441" s="179"/>
    </row>
    <row r="442" spans="1:1">
      <c r="A442" s="179"/>
    </row>
    <row r="443" spans="1:1">
      <c r="A443" s="179"/>
    </row>
    <row r="444" spans="1:1">
      <c r="A444" s="179"/>
    </row>
    <row r="445" spans="1:1">
      <c r="A445" s="179"/>
    </row>
    <row r="446" spans="1:1">
      <c r="A446" s="179"/>
    </row>
    <row r="447" spans="1:1">
      <c r="A447" s="179"/>
    </row>
    <row r="448" spans="1:1">
      <c r="A448" s="179"/>
    </row>
    <row r="449" spans="1:1">
      <c r="A449" s="179"/>
    </row>
    <row r="450" spans="1:1">
      <c r="A450" s="179"/>
    </row>
    <row r="451" spans="1:1">
      <c r="A451" s="179"/>
    </row>
    <row r="452" spans="1:1">
      <c r="A452" s="179"/>
    </row>
    <row r="453" spans="1:1">
      <c r="A453" s="179"/>
    </row>
    <row r="454" spans="1:1">
      <c r="A454" s="179"/>
    </row>
    <row r="455" spans="1:1">
      <c r="A455" s="179"/>
    </row>
    <row r="456" spans="1:1">
      <c r="A456" s="179"/>
    </row>
    <row r="457" spans="1:1">
      <c r="A457" s="179"/>
    </row>
    <row r="458" spans="1:1">
      <c r="A458" s="179"/>
    </row>
    <row r="459" spans="1:1">
      <c r="A459" s="179"/>
    </row>
    <row r="460" spans="1:1">
      <c r="A460" s="179"/>
    </row>
    <row r="461" spans="1:1">
      <c r="A461" s="179"/>
    </row>
    <row r="462" spans="1:1">
      <c r="A462" s="179"/>
    </row>
    <row r="463" spans="1:1">
      <c r="A463" s="179"/>
    </row>
    <row r="464" spans="1:1">
      <c r="A464" s="179"/>
    </row>
    <row r="465" spans="1:1">
      <c r="A465" s="179"/>
    </row>
    <row r="466" spans="1:1">
      <c r="A466" s="179"/>
    </row>
    <row r="467" spans="1:1">
      <c r="A467" s="179"/>
    </row>
    <row r="468" spans="1:1">
      <c r="A468" s="179"/>
    </row>
    <row r="469" spans="1:1">
      <c r="A469" s="179"/>
    </row>
    <row r="470" spans="1:1">
      <c r="A470" s="179"/>
    </row>
    <row r="471" spans="1:1">
      <c r="A471" s="179"/>
    </row>
    <row r="472" spans="1:1">
      <c r="A472" s="179"/>
    </row>
    <row r="473" spans="1:1">
      <c r="A473" s="179"/>
    </row>
    <row r="474" spans="1:1">
      <c r="A474" s="179"/>
    </row>
    <row r="475" spans="1:1">
      <c r="A475" s="179"/>
    </row>
    <row r="476" spans="1:1">
      <c r="A476" s="179"/>
    </row>
    <row r="477" spans="1:1">
      <c r="A477" s="179"/>
    </row>
    <row r="478" spans="1:1">
      <c r="A478" s="179"/>
    </row>
    <row r="479" spans="1:1">
      <c r="A479" s="179"/>
    </row>
    <row r="480" spans="1:1">
      <c r="A480" s="179"/>
    </row>
    <row r="481" spans="1:1">
      <c r="A481" s="179"/>
    </row>
    <row r="482" spans="1:1">
      <c r="A482" s="179"/>
    </row>
    <row r="483" spans="1:1">
      <c r="A483" s="179"/>
    </row>
    <row r="484" spans="1:1">
      <c r="A484" s="179"/>
    </row>
    <row r="485" spans="1:1">
      <c r="A485" s="179"/>
    </row>
    <row r="486" spans="1:1">
      <c r="A486" s="179"/>
    </row>
    <row r="487" spans="1:1">
      <c r="A487" s="179"/>
    </row>
    <row r="488" spans="1:1">
      <c r="A488" s="179"/>
    </row>
    <row r="489" spans="1:1">
      <c r="A489" s="179"/>
    </row>
    <row r="490" spans="1:1">
      <c r="A490" s="179"/>
    </row>
    <row r="491" spans="1:1">
      <c r="A491" s="179"/>
    </row>
    <row r="492" spans="1:1">
      <c r="A492" s="179"/>
    </row>
    <row r="493" spans="1:1">
      <c r="A493" s="179"/>
    </row>
    <row r="494" spans="1:1">
      <c r="A494" s="179"/>
    </row>
    <row r="495" spans="1:1">
      <c r="A495" s="179"/>
    </row>
    <row r="496" spans="1:1">
      <c r="A496" s="179"/>
    </row>
    <row r="497" spans="1:1">
      <c r="A497" s="179"/>
    </row>
    <row r="498" spans="1:1">
      <c r="A498" s="179"/>
    </row>
    <row r="499" spans="1:1">
      <c r="A499" s="179"/>
    </row>
    <row r="500" spans="1:1">
      <c r="A500" s="179"/>
    </row>
    <row r="501" spans="1:1">
      <c r="A501" s="179"/>
    </row>
    <row r="502" spans="1:1">
      <c r="A502" s="179"/>
    </row>
    <row r="503" spans="1:1">
      <c r="A503" s="179"/>
    </row>
    <row r="504" spans="1:1">
      <c r="A504" s="179"/>
    </row>
    <row r="505" spans="1:1">
      <c r="A505" s="179"/>
    </row>
    <row r="506" spans="1:1">
      <c r="A506" s="179"/>
    </row>
    <row r="507" spans="1:1">
      <c r="A507" s="179"/>
    </row>
    <row r="508" spans="1:1">
      <c r="A508" s="179"/>
    </row>
    <row r="509" spans="1:1">
      <c r="A509" s="179"/>
    </row>
    <row r="510" spans="1:1">
      <c r="A510" s="179"/>
    </row>
    <row r="511" spans="1:1">
      <c r="A511" s="179"/>
    </row>
    <row r="512" spans="1:1">
      <c r="A512" s="179"/>
    </row>
    <row r="513" spans="1:1">
      <c r="A513" s="179"/>
    </row>
    <row r="514" spans="1:1">
      <c r="A514" s="179"/>
    </row>
    <row r="515" spans="1:1">
      <c r="A515" s="179"/>
    </row>
    <row r="516" spans="1:1">
      <c r="A516" s="179"/>
    </row>
    <row r="517" spans="1:1">
      <c r="A517" s="179"/>
    </row>
    <row r="518" spans="1:1">
      <c r="A518" s="179"/>
    </row>
    <row r="519" spans="1:1">
      <c r="A519" s="179"/>
    </row>
    <row r="520" spans="1:1">
      <c r="A520" s="179"/>
    </row>
    <row r="521" spans="1:1">
      <c r="A521" s="179"/>
    </row>
    <row r="522" spans="1:1">
      <c r="A522" s="179"/>
    </row>
    <row r="523" spans="1:1">
      <c r="A523" s="179"/>
    </row>
    <row r="524" spans="1:1">
      <c r="A524" s="179"/>
    </row>
    <row r="525" spans="1:1">
      <c r="A525" s="179"/>
    </row>
    <row r="526" spans="1:1">
      <c r="A526" s="179"/>
    </row>
    <row r="527" spans="1:1">
      <c r="A527" s="179"/>
    </row>
    <row r="528" spans="1:1">
      <c r="A528" s="179"/>
    </row>
    <row r="529" spans="1:1">
      <c r="A529" s="179"/>
    </row>
    <row r="530" spans="1:1">
      <c r="A530" s="179"/>
    </row>
    <row r="531" spans="1:1">
      <c r="A531" s="179"/>
    </row>
    <row r="532" spans="1:1">
      <c r="A532" s="179"/>
    </row>
    <row r="533" spans="1:1">
      <c r="A533" s="179"/>
    </row>
    <row r="534" spans="1:1">
      <c r="A534" s="179"/>
    </row>
    <row r="535" spans="1:1">
      <c r="A535" s="179"/>
    </row>
    <row r="536" spans="1:1">
      <c r="A536" s="179"/>
    </row>
    <row r="537" spans="1:1">
      <c r="A537" s="179"/>
    </row>
    <row r="538" spans="1:1">
      <c r="A538" s="179"/>
    </row>
    <row r="539" spans="1:1">
      <c r="A539" s="179"/>
    </row>
    <row r="540" spans="1:1">
      <c r="A540" s="179"/>
    </row>
    <row r="541" spans="1:1">
      <c r="A541" s="179"/>
    </row>
    <row r="542" spans="1:1">
      <c r="A542" s="179"/>
    </row>
    <row r="543" spans="1:1">
      <c r="A543" s="179"/>
    </row>
    <row r="544" spans="1:1">
      <c r="A544" s="179"/>
    </row>
    <row r="545" spans="1:1">
      <c r="A545" s="179"/>
    </row>
    <row r="546" spans="1:1">
      <c r="A546" s="179"/>
    </row>
    <row r="547" spans="1:1">
      <c r="A547" s="179"/>
    </row>
    <row r="548" spans="1:1">
      <c r="A548" s="179"/>
    </row>
    <row r="549" spans="1:1">
      <c r="A549" s="179"/>
    </row>
    <row r="550" spans="1:1">
      <c r="A550" s="179"/>
    </row>
    <row r="551" spans="1:1">
      <c r="A551" s="179"/>
    </row>
    <row r="552" spans="1:1">
      <c r="A552" s="179"/>
    </row>
    <row r="553" spans="1:1">
      <c r="A553" s="179"/>
    </row>
    <row r="554" spans="1:1">
      <c r="A554" s="179"/>
    </row>
    <row r="555" spans="1:1">
      <c r="A555" s="179"/>
    </row>
    <row r="556" spans="1:1">
      <c r="A556" s="179"/>
    </row>
    <row r="557" spans="1:1">
      <c r="A557" s="179"/>
    </row>
    <row r="558" spans="1:1">
      <c r="A558" s="179"/>
    </row>
    <row r="559" spans="1:1">
      <c r="A559" s="179"/>
    </row>
    <row r="560" spans="1:1">
      <c r="A560" s="179"/>
    </row>
    <row r="561" spans="1:1">
      <c r="A561" s="179"/>
    </row>
    <row r="562" spans="1:1">
      <c r="A562" s="179"/>
    </row>
    <row r="563" spans="1:1">
      <c r="A563" s="179"/>
    </row>
    <row r="564" spans="1:1">
      <c r="A564" s="179"/>
    </row>
    <row r="565" spans="1:1">
      <c r="A565" s="179"/>
    </row>
    <row r="566" spans="1:1">
      <c r="A566" s="179"/>
    </row>
    <row r="567" spans="1:1">
      <c r="A567" s="179"/>
    </row>
    <row r="568" spans="1:1">
      <c r="A568" s="179"/>
    </row>
    <row r="569" spans="1:1">
      <c r="A569" s="179"/>
    </row>
    <row r="570" spans="1:1">
      <c r="A570" s="179"/>
    </row>
    <row r="571" spans="1:1">
      <c r="A571" s="179"/>
    </row>
    <row r="572" spans="1:1">
      <c r="A572" s="179"/>
    </row>
    <row r="573" spans="1:1">
      <c r="A573" s="179"/>
    </row>
    <row r="574" spans="1:1">
      <c r="A574" s="179"/>
    </row>
    <row r="575" spans="1:1">
      <c r="A575" s="179"/>
    </row>
    <row r="576" spans="1:1">
      <c r="A576" s="179"/>
    </row>
    <row r="577" spans="1:1">
      <c r="A577" s="179"/>
    </row>
    <row r="578" spans="1:1">
      <c r="A578" s="179"/>
    </row>
    <row r="579" spans="1:1">
      <c r="A579" s="179"/>
    </row>
    <row r="580" spans="1:1">
      <c r="A580" s="179"/>
    </row>
    <row r="581" spans="1:1">
      <c r="A581" s="179"/>
    </row>
    <row r="582" spans="1:1">
      <c r="A582" s="179"/>
    </row>
    <row r="583" spans="1:1">
      <c r="A583" s="179"/>
    </row>
    <row r="584" spans="1:1">
      <c r="A584" s="179"/>
    </row>
    <row r="585" spans="1:1">
      <c r="A585" s="179"/>
    </row>
    <row r="586" spans="1:1">
      <c r="A586" s="179"/>
    </row>
    <row r="587" spans="1:1">
      <c r="A587" s="179"/>
    </row>
    <row r="588" spans="1:1">
      <c r="A588" s="179"/>
    </row>
    <row r="589" spans="1:1">
      <c r="A589" s="179"/>
    </row>
    <row r="590" spans="1:1">
      <c r="A590" s="179"/>
    </row>
    <row r="591" spans="1:1">
      <c r="A591" s="179"/>
    </row>
    <row r="592" spans="1:1">
      <c r="A592" s="179"/>
    </row>
    <row r="593" spans="1:1">
      <c r="A593" s="179"/>
    </row>
    <row r="594" spans="1:1">
      <c r="A594" s="179"/>
    </row>
    <row r="595" spans="1:1">
      <c r="A595" s="179"/>
    </row>
    <row r="596" spans="1:1">
      <c r="A596" s="179"/>
    </row>
    <row r="597" spans="1:1">
      <c r="A597" s="179"/>
    </row>
    <row r="598" spans="1:1">
      <c r="A598" s="179"/>
    </row>
    <row r="599" spans="1:1">
      <c r="A599" s="179"/>
    </row>
    <row r="600" spans="1:1">
      <c r="A600" s="179"/>
    </row>
    <row r="601" spans="1:1">
      <c r="A601" s="179"/>
    </row>
    <row r="602" spans="1:1">
      <c r="A602" s="179"/>
    </row>
    <row r="603" spans="1:1">
      <c r="A603" s="179"/>
    </row>
    <row r="604" spans="1:1">
      <c r="A604" s="179"/>
    </row>
    <row r="605" spans="1:1">
      <c r="A605" s="179"/>
    </row>
    <row r="606" spans="1:1">
      <c r="A606" s="179"/>
    </row>
    <row r="607" spans="1:1">
      <c r="A607" s="179"/>
    </row>
    <row r="608" spans="1:1">
      <c r="A608" s="179"/>
    </row>
    <row r="609" spans="1:1">
      <c r="A609" s="179"/>
    </row>
    <row r="610" spans="1:1">
      <c r="A610" s="179"/>
    </row>
    <row r="611" spans="1:1">
      <c r="A611" s="179"/>
    </row>
    <row r="612" spans="1:1">
      <c r="A612" s="179"/>
    </row>
    <row r="613" spans="1:1">
      <c r="A613" s="179"/>
    </row>
    <row r="614" spans="1:1">
      <c r="A614" s="179"/>
    </row>
    <row r="615" spans="1:1">
      <c r="A615" s="179"/>
    </row>
    <row r="616" spans="1:1">
      <c r="A616" s="179"/>
    </row>
    <row r="617" spans="1:1">
      <c r="A617" s="179"/>
    </row>
    <row r="618" spans="1:1">
      <c r="A618" s="179"/>
    </row>
    <row r="619" spans="1:1">
      <c r="A619" s="179"/>
    </row>
    <row r="620" spans="1:1">
      <c r="A620" s="179"/>
    </row>
    <row r="621" spans="1:1">
      <c r="A621" s="179"/>
    </row>
    <row r="622" spans="1:1">
      <c r="A622" s="179"/>
    </row>
    <row r="623" spans="1:1">
      <c r="A623" s="179"/>
    </row>
    <row r="624" spans="1:1">
      <c r="A624" s="179"/>
    </row>
    <row r="625" spans="1:1">
      <c r="A625" s="179"/>
    </row>
    <row r="626" spans="1:1">
      <c r="A626" s="179"/>
    </row>
    <row r="627" spans="1:1">
      <c r="A627" s="179"/>
    </row>
    <row r="628" spans="1:1">
      <c r="A628" s="179"/>
    </row>
    <row r="629" spans="1:1">
      <c r="A629" s="179"/>
    </row>
    <row r="630" spans="1:1">
      <c r="A630" s="179"/>
    </row>
    <row r="631" spans="1:1">
      <c r="A631" s="179"/>
    </row>
    <row r="632" spans="1:1">
      <c r="A632" s="179"/>
    </row>
    <row r="633" spans="1:1">
      <c r="A633" s="179"/>
    </row>
    <row r="634" spans="1:1">
      <c r="A634" s="179"/>
    </row>
    <row r="635" spans="1:1">
      <c r="A635" s="179"/>
    </row>
    <row r="636" spans="1:1">
      <c r="A636" s="179"/>
    </row>
    <row r="637" spans="1:1">
      <c r="A637" s="179"/>
    </row>
    <row r="638" spans="1:1">
      <c r="A638" s="179"/>
    </row>
    <row r="639" spans="1:1">
      <c r="A639" s="179"/>
    </row>
    <row r="640" spans="1:1">
      <c r="A640" s="179"/>
    </row>
    <row r="641" spans="1:1">
      <c r="A641" s="179"/>
    </row>
    <row r="642" spans="1:1">
      <c r="A642" s="179"/>
    </row>
    <row r="643" spans="1:1">
      <c r="A643" s="179"/>
    </row>
    <row r="644" spans="1:1">
      <c r="A644" s="179"/>
    </row>
    <row r="645" spans="1:1">
      <c r="A645" s="179"/>
    </row>
    <row r="646" spans="1:1">
      <c r="A646" s="179"/>
    </row>
    <row r="647" spans="1:1">
      <c r="A647" s="179"/>
    </row>
    <row r="648" spans="1:1">
      <c r="A648" s="179"/>
    </row>
    <row r="649" spans="1:1">
      <c r="A649" s="179"/>
    </row>
    <row r="650" spans="1:1">
      <c r="A650" s="179"/>
    </row>
    <row r="651" spans="1:1">
      <c r="A651" s="179"/>
    </row>
    <row r="652" spans="1:1">
      <c r="A652" s="179"/>
    </row>
    <row r="653" spans="1:1">
      <c r="A653" s="179"/>
    </row>
    <row r="654" spans="1:1">
      <c r="A654" s="179"/>
    </row>
    <row r="655" spans="1:1">
      <c r="A655" s="179"/>
    </row>
    <row r="656" spans="1:1">
      <c r="A656" s="179"/>
    </row>
    <row r="657" spans="1:1">
      <c r="A657" s="179"/>
    </row>
    <row r="658" spans="1:1">
      <c r="A658" s="179"/>
    </row>
    <row r="659" spans="1:1">
      <c r="A659" s="179"/>
    </row>
    <row r="660" spans="1:1">
      <c r="A660" s="179"/>
    </row>
    <row r="661" spans="1:1">
      <c r="A661" s="179"/>
    </row>
    <row r="662" spans="1:1">
      <c r="A662" s="179"/>
    </row>
    <row r="663" spans="1:1">
      <c r="A663" s="179"/>
    </row>
    <row r="664" spans="1:1">
      <c r="A664" s="179"/>
    </row>
    <row r="665" spans="1:1">
      <c r="A665" s="179"/>
    </row>
    <row r="666" spans="1:1">
      <c r="A666" s="179"/>
    </row>
    <row r="667" spans="1:1">
      <c r="A667" s="179"/>
    </row>
    <row r="668" spans="1:1">
      <c r="A668" s="179"/>
    </row>
    <row r="669" spans="1:1">
      <c r="A669" s="179"/>
    </row>
    <row r="670" spans="1:1">
      <c r="A670" s="179"/>
    </row>
    <row r="671" spans="1:1">
      <c r="A671" s="179"/>
    </row>
    <row r="672" spans="1:1">
      <c r="A672" s="179"/>
    </row>
    <row r="673" spans="1:1">
      <c r="A673" s="179"/>
    </row>
    <row r="674" spans="1:1">
      <c r="A674" s="179"/>
    </row>
    <row r="675" spans="1:1">
      <c r="A675" s="179"/>
    </row>
    <row r="676" spans="1:1">
      <c r="A676" s="179"/>
    </row>
    <row r="677" spans="1:1">
      <c r="A677" s="179"/>
    </row>
    <row r="678" spans="1:1">
      <c r="A678" s="179"/>
    </row>
    <row r="679" spans="1:1">
      <c r="A679" s="179"/>
    </row>
    <row r="680" spans="1:1">
      <c r="A680" s="179"/>
    </row>
    <row r="681" spans="1:1">
      <c r="A681" s="179"/>
    </row>
    <row r="682" spans="1:1">
      <c r="A682" s="179"/>
    </row>
    <row r="683" spans="1:1">
      <c r="A683" s="179"/>
    </row>
    <row r="684" spans="1:1">
      <c r="A684" s="179"/>
    </row>
    <row r="685" spans="1:1">
      <c r="A685" s="179"/>
    </row>
    <row r="686" spans="1:1">
      <c r="A686" s="179"/>
    </row>
    <row r="687" spans="1:1">
      <c r="A687" s="179"/>
    </row>
    <row r="688" spans="1:1">
      <c r="A688" s="179"/>
    </row>
    <row r="689" spans="1:1">
      <c r="A689" s="179"/>
    </row>
    <row r="690" spans="1:1">
      <c r="A690" s="179"/>
    </row>
    <row r="691" spans="1:1">
      <c r="A691" s="179"/>
    </row>
    <row r="692" spans="1:1">
      <c r="A692" s="179"/>
    </row>
    <row r="693" spans="1:1">
      <c r="A693" s="179"/>
    </row>
    <row r="694" spans="1:1">
      <c r="A694" s="179"/>
    </row>
    <row r="695" spans="1:1">
      <c r="A695" s="179"/>
    </row>
    <row r="696" spans="1:1">
      <c r="A696" s="179"/>
    </row>
    <row r="697" spans="1:1">
      <c r="A697" s="179"/>
    </row>
    <row r="698" spans="1:1">
      <c r="A698" s="179"/>
    </row>
    <row r="699" spans="1:1">
      <c r="A699" s="179"/>
    </row>
    <row r="700" spans="1:1">
      <c r="A700" s="179"/>
    </row>
    <row r="701" spans="1:1">
      <c r="A701" s="179"/>
    </row>
    <row r="702" spans="1:1">
      <c r="A702" s="179"/>
    </row>
    <row r="703" spans="1:1">
      <c r="A703" s="179"/>
    </row>
    <row r="704" spans="1:1">
      <c r="A704" s="179"/>
    </row>
    <row r="705" spans="1:1">
      <c r="A705" s="179"/>
    </row>
    <row r="706" spans="1:1">
      <c r="A706" s="179"/>
    </row>
    <row r="707" spans="1:1">
      <c r="A707" s="179"/>
    </row>
    <row r="708" spans="1:1">
      <c r="A708" s="179"/>
    </row>
    <row r="709" spans="1:1">
      <c r="A709" s="179"/>
    </row>
    <row r="710" spans="1:1">
      <c r="A710" s="179"/>
    </row>
    <row r="711" spans="1:1">
      <c r="A711" s="179"/>
    </row>
    <row r="712" spans="1:1">
      <c r="A712" s="179"/>
    </row>
    <row r="713" spans="1:1">
      <c r="A713" s="179"/>
    </row>
    <row r="714" spans="1:1">
      <c r="A714" s="179"/>
    </row>
    <row r="715" spans="1:1">
      <c r="A715" s="179"/>
    </row>
    <row r="716" spans="1:1">
      <c r="A716" s="179"/>
    </row>
    <row r="717" spans="1:1">
      <c r="A717" s="179"/>
    </row>
    <row r="718" spans="1:1">
      <c r="A718" s="179"/>
    </row>
    <row r="719" spans="1:1">
      <c r="A719" s="179"/>
    </row>
    <row r="720" spans="1:1">
      <c r="A720" s="179"/>
    </row>
    <row r="721" spans="1:1">
      <c r="A721" s="179"/>
    </row>
    <row r="722" spans="1:1">
      <c r="A722" s="179"/>
    </row>
    <row r="723" spans="1:1">
      <c r="A723" s="179"/>
    </row>
    <row r="724" spans="1:1">
      <c r="A724" s="179"/>
    </row>
    <row r="725" spans="1:1">
      <c r="A725" s="179"/>
    </row>
    <row r="726" spans="1:1">
      <c r="A726" s="179"/>
    </row>
    <row r="727" spans="1:1">
      <c r="A727" s="179"/>
    </row>
    <row r="728" spans="1:1">
      <c r="A728" s="179"/>
    </row>
    <row r="729" spans="1:1">
      <c r="A729" s="179"/>
    </row>
    <row r="730" spans="1:1">
      <c r="A730" s="179"/>
    </row>
    <row r="731" spans="1:1">
      <c r="A731" s="179"/>
    </row>
    <row r="732" spans="1:1">
      <c r="A732" s="179"/>
    </row>
    <row r="733" spans="1:1">
      <c r="A733" s="179"/>
    </row>
    <row r="734" spans="1:1">
      <c r="A734" s="179"/>
    </row>
    <row r="735" spans="1:1">
      <c r="A735" s="179"/>
    </row>
    <row r="736" spans="1:1">
      <c r="A736" s="179"/>
    </row>
    <row r="737" spans="1:1">
      <c r="A737" s="179"/>
    </row>
    <row r="738" spans="1:1">
      <c r="A738" s="179"/>
    </row>
    <row r="739" spans="1:1">
      <c r="A739" s="179"/>
    </row>
    <row r="740" spans="1:1">
      <c r="A740" s="179"/>
    </row>
    <row r="741" spans="1:1">
      <c r="A741" s="179"/>
    </row>
    <row r="742" spans="1:1">
      <c r="A742" s="179"/>
    </row>
    <row r="743" spans="1:1">
      <c r="A743" s="179"/>
    </row>
    <row r="744" spans="1:1">
      <c r="A744" s="179"/>
    </row>
    <row r="745" spans="1:1">
      <c r="A745" s="179"/>
    </row>
    <row r="746" spans="1:1">
      <c r="A746" s="179"/>
    </row>
    <row r="747" spans="1:1">
      <c r="A747" s="179"/>
    </row>
    <row r="748" spans="1:1">
      <c r="A748" s="179"/>
    </row>
    <row r="749" spans="1:1">
      <c r="A749" s="179"/>
    </row>
    <row r="750" spans="1:1">
      <c r="A750" s="179"/>
    </row>
    <row r="751" spans="1:1">
      <c r="A751" s="179"/>
    </row>
    <row r="752" spans="1:1">
      <c r="A752" s="179"/>
    </row>
    <row r="753" spans="1:1">
      <c r="A753" s="179"/>
    </row>
    <row r="754" spans="1:1">
      <c r="A754" s="179"/>
    </row>
    <row r="755" spans="1:1">
      <c r="A755" s="179"/>
    </row>
    <row r="756" spans="1:1">
      <c r="A756" s="179"/>
    </row>
    <row r="757" spans="1:1">
      <c r="A757" s="179"/>
    </row>
    <row r="758" spans="1:1">
      <c r="A758" s="179"/>
    </row>
    <row r="759" spans="1:1">
      <c r="A759" s="179"/>
    </row>
    <row r="760" spans="1:1">
      <c r="A760" s="179"/>
    </row>
    <row r="761" spans="1:1">
      <c r="A761" s="179"/>
    </row>
    <row r="762" spans="1:1">
      <c r="A762" s="179"/>
    </row>
    <row r="763" spans="1:1">
      <c r="A763" s="179"/>
    </row>
    <row r="764" spans="1:1">
      <c r="A764" s="179"/>
    </row>
    <row r="765" spans="1:1">
      <c r="A765" s="179"/>
    </row>
    <row r="766" spans="1:1">
      <c r="A766" s="179"/>
    </row>
    <row r="767" spans="1:1">
      <c r="A767" s="179"/>
    </row>
    <row r="768" spans="1:1">
      <c r="A768" s="179"/>
    </row>
    <row r="769" spans="1:1">
      <c r="A769" s="179"/>
    </row>
    <row r="770" spans="1:1">
      <c r="A770" s="179"/>
    </row>
    <row r="771" spans="1:1">
      <c r="A771" s="179"/>
    </row>
    <row r="772" spans="1:1">
      <c r="A772" s="179"/>
    </row>
    <row r="773" spans="1:1">
      <c r="A773" s="179"/>
    </row>
    <row r="774" spans="1:1">
      <c r="A774" s="179"/>
    </row>
    <row r="775" spans="1:1">
      <c r="A775" s="179"/>
    </row>
    <row r="776" spans="1:1">
      <c r="A776" s="179"/>
    </row>
    <row r="777" spans="1:1">
      <c r="A777" s="179"/>
    </row>
    <row r="778" spans="1:1">
      <c r="A778" s="179"/>
    </row>
    <row r="779" spans="1:1">
      <c r="A779" s="179"/>
    </row>
    <row r="780" spans="1:1">
      <c r="A780" s="179"/>
    </row>
    <row r="781" spans="1:1">
      <c r="A781" s="179"/>
    </row>
    <row r="782" spans="1:1">
      <c r="A782" s="179"/>
    </row>
    <row r="783" spans="1:1">
      <c r="A783" s="179"/>
    </row>
    <row r="784" spans="1:1">
      <c r="A784" s="179"/>
    </row>
    <row r="785" spans="1:1">
      <c r="A785" s="179"/>
    </row>
    <row r="786" spans="1:1">
      <c r="A786" s="179"/>
    </row>
    <row r="787" spans="1:1">
      <c r="A787" s="179"/>
    </row>
    <row r="788" spans="1:1">
      <c r="A788" s="179"/>
    </row>
    <row r="789" spans="1:1">
      <c r="A789" s="179"/>
    </row>
    <row r="790" spans="1:1">
      <c r="A790" s="179"/>
    </row>
    <row r="791" spans="1:1">
      <c r="A791" s="179"/>
    </row>
    <row r="792" spans="1:1">
      <c r="A792" s="179"/>
    </row>
    <row r="793" spans="1:1">
      <c r="A793" s="179"/>
    </row>
    <row r="794" spans="1:1">
      <c r="A794" s="179"/>
    </row>
    <row r="795" spans="1:1">
      <c r="A795" s="179"/>
    </row>
    <row r="796" spans="1:1">
      <c r="A796" s="179"/>
    </row>
    <row r="797" spans="1:1">
      <c r="A797" s="179"/>
    </row>
    <row r="798" spans="1:1">
      <c r="A798" s="179"/>
    </row>
    <row r="799" spans="1:1">
      <c r="A799" s="179"/>
    </row>
    <row r="800" spans="1:1">
      <c r="A800" s="179"/>
    </row>
    <row r="801" spans="1:1">
      <c r="A801" s="179"/>
    </row>
    <row r="802" spans="1:1">
      <c r="A802" s="179"/>
    </row>
    <row r="803" spans="1:1">
      <c r="A803" s="179"/>
    </row>
    <row r="804" spans="1:1">
      <c r="A804" s="179"/>
    </row>
    <row r="805" spans="1:1">
      <c r="A805" s="179"/>
    </row>
    <row r="806" spans="1:1">
      <c r="A806" s="179"/>
    </row>
    <row r="807" spans="1:1">
      <c r="A807" s="179"/>
    </row>
    <row r="808" spans="1:1">
      <c r="A808" s="179"/>
    </row>
    <row r="809" spans="1:1">
      <c r="A809" s="179"/>
    </row>
    <row r="810" spans="1:1">
      <c r="A810" s="179"/>
    </row>
    <row r="811" spans="1:1">
      <c r="A811" s="179"/>
    </row>
    <row r="812" spans="1:1">
      <c r="A812" s="179"/>
    </row>
    <row r="813" spans="1:1">
      <c r="A813" s="179"/>
    </row>
    <row r="814" spans="1:1">
      <c r="A814" s="179"/>
    </row>
    <row r="815" spans="1:1">
      <c r="A815" s="179"/>
    </row>
    <row r="816" spans="1:1">
      <c r="A816" s="179"/>
    </row>
    <row r="817" spans="1:1">
      <c r="A817" s="179"/>
    </row>
    <row r="818" spans="1:1">
      <c r="A818" s="179"/>
    </row>
    <row r="819" spans="1:1">
      <c r="A819" s="179"/>
    </row>
    <row r="820" spans="1:1">
      <c r="A820" s="179"/>
    </row>
    <row r="821" spans="1:1">
      <c r="A821" s="179"/>
    </row>
    <row r="822" spans="1:1">
      <c r="A822" s="179"/>
    </row>
    <row r="823" spans="1:1">
      <c r="A823" s="179"/>
    </row>
    <row r="824" spans="1:1">
      <c r="A824" s="179"/>
    </row>
    <row r="825" spans="1:1">
      <c r="A825" s="179"/>
    </row>
    <row r="826" spans="1:1">
      <c r="A826" s="179"/>
    </row>
    <row r="827" spans="1:1">
      <c r="A827" s="179"/>
    </row>
    <row r="828" spans="1:1">
      <c r="A828" s="179"/>
    </row>
    <row r="829" spans="1:1">
      <c r="A829" s="179"/>
    </row>
    <row r="830" spans="1:1">
      <c r="A830" s="179"/>
    </row>
    <row r="831" spans="1:1">
      <c r="A831" s="179"/>
    </row>
    <row r="832" spans="1:1">
      <c r="A832" s="179"/>
    </row>
    <row r="833" spans="1:1">
      <c r="A833" s="179"/>
    </row>
    <row r="834" spans="1:1">
      <c r="A834" s="179"/>
    </row>
    <row r="835" spans="1:1">
      <c r="A835" s="179"/>
    </row>
    <row r="836" spans="1:1">
      <c r="A836" s="179"/>
    </row>
    <row r="837" spans="1:1">
      <c r="A837" s="179"/>
    </row>
    <row r="838" spans="1:1">
      <c r="A838" s="179"/>
    </row>
    <row r="839" spans="1:1">
      <c r="A839" s="179"/>
    </row>
    <row r="840" spans="1:1">
      <c r="A840" s="179"/>
    </row>
    <row r="841" spans="1:1">
      <c r="A841" s="179"/>
    </row>
    <row r="842" spans="1:1">
      <c r="A842" s="179"/>
    </row>
    <row r="843" spans="1:1">
      <c r="A843" s="179"/>
    </row>
    <row r="844" spans="1:1">
      <c r="A844" s="179"/>
    </row>
    <row r="845" spans="1:1">
      <c r="A845" s="179"/>
    </row>
    <row r="846" spans="1:1">
      <c r="A846" s="179"/>
    </row>
    <row r="847" spans="1:1">
      <c r="A847" s="179"/>
    </row>
    <row r="848" spans="1:1">
      <c r="A848" s="179"/>
    </row>
    <row r="849" spans="1:1">
      <c r="A849" s="179"/>
    </row>
    <row r="850" spans="1:1">
      <c r="A850" s="179"/>
    </row>
    <row r="851" spans="1:1">
      <c r="A851" s="179"/>
    </row>
    <row r="852" spans="1:1">
      <c r="A852" s="179"/>
    </row>
    <row r="853" spans="1:1">
      <c r="A853" s="179"/>
    </row>
    <row r="854" spans="1:1">
      <c r="A854" s="179"/>
    </row>
    <row r="855" spans="1:1">
      <c r="A855" s="179"/>
    </row>
    <row r="856" spans="1:1">
      <c r="A856" s="179"/>
    </row>
    <row r="857" spans="1:1">
      <c r="A857" s="179"/>
    </row>
    <row r="858" spans="1:1">
      <c r="A858" s="179"/>
    </row>
    <row r="859" spans="1:1">
      <c r="A859" s="179"/>
    </row>
    <row r="860" spans="1:1">
      <c r="A860" s="179"/>
    </row>
    <row r="861" spans="1:1">
      <c r="A861" s="179"/>
    </row>
    <row r="862" spans="1:1">
      <c r="A862" s="179"/>
    </row>
    <row r="863" spans="1:1">
      <c r="A863" s="179"/>
    </row>
    <row r="864" spans="1:1">
      <c r="A864" s="179"/>
    </row>
    <row r="865" spans="1:1">
      <c r="A865" s="179"/>
    </row>
    <row r="866" spans="1:1">
      <c r="A866" s="179"/>
    </row>
    <row r="867" spans="1:1">
      <c r="A867" s="179"/>
    </row>
    <row r="868" spans="1:1">
      <c r="A868" s="179"/>
    </row>
    <row r="869" spans="1:1">
      <c r="A869" s="179"/>
    </row>
    <row r="870" spans="1:1">
      <c r="A870" s="179"/>
    </row>
    <row r="871" spans="1:1">
      <c r="A871" s="179"/>
    </row>
    <row r="872" spans="1:1">
      <c r="A872" s="179"/>
    </row>
    <row r="873" spans="1:1">
      <c r="A873" s="179"/>
    </row>
    <row r="874" spans="1:1">
      <c r="A874" s="179"/>
    </row>
    <row r="875" spans="1:1">
      <c r="A875" s="179"/>
    </row>
    <row r="876" spans="1:1">
      <c r="A876" s="179"/>
    </row>
    <row r="877" spans="1:1">
      <c r="A877" s="179"/>
    </row>
    <row r="878" spans="1:1">
      <c r="A878" s="179"/>
    </row>
    <row r="879" spans="1:1">
      <c r="A879" s="179"/>
    </row>
    <row r="880" spans="1:1">
      <c r="A880" s="179"/>
    </row>
    <row r="881" spans="1:1">
      <c r="A881" s="179"/>
    </row>
    <row r="882" spans="1:1">
      <c r="A882" s="179"/>
    </row>
    <row r="883" spans="1:1">
      <c r="A883" s="179"/>
    </row>
    <row r="884" spans="1:1">
      <c r="A884" s="179"/>
    </row>
    <row r="885" spans="1:1">
      <c r="A885" s="179"/>
    </row>
    <row r="886" spans="1:1">
      <c r="A886" s="179"/>
    </row>
    <row r="887" spans="1:1">
      <c r="A887" s="179"/>
    </row>
    <row r="888" spans="1:1">
      <c r="A888" s="179"/>
    </row>
    <row r="889" spans="1:1">
      <c r="A889" s="179"/>
    </row>
    <row r="890" spans="1:1">
      <c r="A890" s="179"/>
    </row>
    <row r="891" spans="1:1">
      <c r="A891" s="179"/>
    </row>
    <row r="892" spans="1:1">
      <c r="A892" s="179"/>
    </row>
    <row r="893" spans="1:1">
      <c r="A893" s="179"/>
    </row>
    <row r="894" spans="1:1">
      <c r="A894" s="179"/>
    </row>
    <row r="895" spans="1:1">
      <c r="A895" s="179"/>
    </row>
    <row r="896" spans="1:1">
      <c r="A896" s="179"/>
    </row>
    <row r="897" spans="1:1">
      <c r="A897" s="179"/>
    </row>
    <row r="898" spans="1:1">
      <c r="A898" s="179"/>
    </row>
    <row r="899" spans="1:1">
      <c r="A899" s="179"/>
    </row>
    <row r="900" spans="1:1">
      <c r="A900" s="179"/>
    </row>
    <row r="901" spans="1:1">
      <c r="A901" s="179"/>
    </row>
    <row r="902" spans="1:1">
      <c r="A902" s="179"/>
    </row>
    <row r="903" spans="1:1">
      <c r="A903" s="179"/>
    </row>
    <row r="904" spans="1:1">
      <c r="A904" s="179"/>
    </row>
    <row r="905" spans="1:1">
      <c r="A905" s="179"/>
    </row>
    <row r="906" spans="1:1">
      <c r="A906" s="179"/>
    </row>
    <row r="907" spans="1:1">
      <c r="A907" s="179"/>
    </row>
    <row r="908" spans="1:1">
      <c r="A908" s="179"/>
    </row>
    <row r="909" spans="1:1">
      <c r="A909" s="179"/>
    </row>
    <row r="910" spans="1:1">
      <c r="A910" s="179"/>
    </row>
    <row r="911" spans="1:1">
      <c r="A911" s="179"/>
    </row>
    <row r="912" spans="1:1">
      <c r="A912" s="179"/>
    </row>
    <row r="913" spans="1:1">
      <c r="A913" s="179"/>
    </row>
    <row r="914" spans="1:1">
      <c r="A914" s="179"/>
    </row>
    <row r="915" spans="1:1">
      <c r="A915" s="179"/>
    </row>
    <row r="916" spans="1:1">
      <c r="A916" s="179"/>
    </row>
    <row r="917" spans="1:1">
      <c r="A917" s="179"/>
    </row>
    <row r="918" spans="1:1">
      <c r="A918" s="179"/>
    </row>
    <row r="919" spans="1:1">
      <c r="A919" s="179"/>
    </row>
    <row r="920" spans="1:1">
      <c r="A920" s="179"/>
    </row>
    <row r="921" spans="1:1">
      <c r="A921" s="179"/>
    </row>
    <row r="922" spans="1:1">
      <c r="A922" s="179"/>
    </row>
    <row r="923" spans="1:1">
      <c r="A923" s="179"/>
    </row>
    <row r="924" spans="1:1">
      <c r="A924" s="179"/>
    </row>
    <row r="925" spans="1:1">
      <c r="A925" s="179"/>
    </row>
    <row r="926" spans="1:1">
      <c r="A926" s="179"/>
    </row>
    <row r="927" spans="1:1">
      <c r="A927" s="179"/>
    </row>
    <row r="928" spans="1:1">
      <c r="A928" s="179"/>
    </row>
    <row r="929" spans="1:1">
      <c r="A929" s="179"/>
    </row>
    <row r="930" spans="1:1">
      <c r="A930" s="179"/>
    </row>
    <row r="931" spans="1:1">
      <c r="A931" s="179"/>
    </row>
    <row r="932" spans="1:1">
      <c r="A932" s="179"/>
    </row>
    <row r="933" spans="1:1">
      <c r="A933" s="179"/>
    </row>
    <row r="934" spans="1:1">
      <c r="A934" s="179"/>
    </row>
    <row r="935" spans="1:1">
      <c r="A935" s="179"/>
    </row>
    <row r="936" spans="1:1">
      <c r="A936" s="179"/>
    </row>
    <row r="937" spans="1:1">
      <c r="A937" s="179"/>
    </row>
    <row r="938" spans="1:1">
      <c r="A938" s="179"/>
    </row>
    <row r="939" spans="1:1">
      <c r="A939" s="179"/>
    </row>
    <row r="940" spans="1:1">
      <c r="A940" s="179"/>
    </row>
    <row r="941" spans="1:1">
      <c r="A941" s="179"/>
    </row>
    <row r="942" spans="1:1">
      <c r="A942" s="179"/>
    </row>
    <row r="943" spans="1:1">
      <c r="A943" s="179"/>
    </row>
    <row r="944" spans="1:1">
      <c r="A944" s="179"/>
    </row>
    <row r="945" spans="1:1">
      <c r="A945" s="179"/>
    </row>
    <row r="946" spans="1:1">
      <c r="A946" s="179"/>
    </row>
    <row r="947" spans="1:1">
      <c r="A947" s="179"/>
    </row>
    <row r="948" spans="1:1">
      <c r="A948" s="179"/>
    </row>
    <row r="949" spans="1:1">
      <c r="A949" s="179"/>
    </row>
    <row r="950" spans="1:1">
      <c r="A950" s="179"/>
    </row>
    <row r="951" spans="1:1">
      <c r="A951" s="179"/>
    </row>
    <row r="952" spans="1:1">
      <c r="A952" s="179"/>
    </row>
    <row r="953" spans="1:1">
      <c r="A953" s="179"/>
    </row>
    <row r="954" spans="1:1">
      <c r="A954" s="179"/>
    </row>
    <row r="955" spans="1:1">
      <c r="A955" s="179"/>
    </row>
    <row r="956" spans="1:1">
      <c r="A956" s="179"/>
    </row>
    <row r="957" spans="1:1">
      <c r="A957" s="179"/>
    </row>
    <row r="958" spans="1:1">
      <c r="A958" s="179"/>
    </row>
    <row r="959" spans="1:1">
      <c r="A959" s="179"/>
    </row>
    <row r="960" spans="1:1">
      <c r="A960" s="179"/>
    </row>
    <row r="961" spans="1:1">
      <c r="A961" s="179"/>
    </row>
    <row r="962" spans="1:1">
      <c r="A962" s="179"/>
    </row>
    <row r="963" spans="1:1">
      <c r="A963" s="179"/>
    </row>
    <row r="964" spans="1:1">
      <c r="A964" s="179"/>
    </row>
    <row r="965" spans="1:1">
      <c r="A965" s="179"/>
    </row>
    <row r="966" spans="1:1">
      <c r="A966" s="179"/>
    </row>
    <row r="967" spans="1:1">
      <c r="A967" s="179"/>
    </row>
    <row r="968" spans="1:1">
      <c r="A968" s="179"/>
    </row>
    <row r="969" spans="1:1">
      <c r="A969" s="179"/>
    </row>
    <row r="970" spans="1:1">
      <c r="A970" s="179"/>
    </row>
    <row r="971" spans="1:1">
      <c r="A971" s="179"/>
    </row>
    <row r="972" spans="1:1">
      <c r="A972" s="179"/>
    </row>
    <row r="973" spans="1:1">
      <c r="A973" s="179"/>
    </row>
    <row r="974" spans="1:1">
      <c r="A974" s="179"/>
    </row>
    <row r="975" spans="1:1">
      <c r="A975" s="179"/>
    </row>
    <row r="976" spans="1:1">
      <c r="A976" s="179"/>
    </row>
    <row r="977" spans="1:1">
      <c r="A977" s="179"/>
    </row>
    <row r="978" spans="1:1">
      <c r="A978" s="179"/>
    </row>
    <row r="979" spans="1:1">
      <c r="A979" s="179"/>
    </row>
    <row r="980" spans="1:1">
      <c r="A980" s="179"/>
    </row>
    <row r="981" spans="1:1">
      <c r="A981" s="179"/>
    </row>
    <row r="982" spans="1:1">
      <c r="A982" s="179"/>
    </row>
    <row r="983" spans="1:1">
      <c r="A983" s="179"/>
    </row>
    <row r="984" spans="1:1">
      <c r="A984" s="179"/>
    </row>
    <row r="985" spans="1:1">
      <c r="A985" s="179"/>
    </row>
    <row r="986" spans="1:1">
      <c r="A986" s="179"/>
    </row>
    <row r="987" spans="1:1">
      <c r="A987" s="179"/>
    </row>
    <row r="988" spans="1:1">
      <c r="A988" s="179"/>
    </row>
    <row r="989" spans="1:1">
      <c r="A989" s="179"/>
    </row>
    <row r="990" spans="1:1">
      <c r="A990" s="179"/>
    </row>
    <row r="991" spans="1:1">
      <c r="A991" s="179"/>
    </row>
    <row r="992" spans="1:1">
      <c r="A992" s="179"/>
    </row>
    <row r="993" spans="1:1">
      <c r="A993" s="179"/>
    </row>
    <row r="994" spans="1:1">
      <c r="A994" s="179"/>
    </row>
    <row r="995" spans="1:1">
      <c r="A995" s="179"/>
    </row>
    <row r="996" spans="1:1">
      <c r="A996" s="179"/>
    </row>
    <row r="997" spans="1:1">
      <c r="A997" s="179"/>
    </row>
    <row r="998" spans="1:1">
      <c r="A998" s="179"/>
    </row>
    <row r="999" spans="1:1">
      <c r="A999" s="179"/>
    </row>
    <row r="1000" spans="1:1">
      <c r="A1000" s="179"/>
    </row>
    <row r="1001" spans="1:1">
      <c r="A1001" s="179"/>
    </row>
    <row r="1002" spans="1:1">
      <c r="A1002" s="179"/>
    </row>
    <row r="1003" spans="1:1">
      <c r="A1003" s="179"/>
    </row>
    <row r="1004" spans="1:1">
      <c r="A1004" s="179"/>
    </row>
    <row r="1005" spans="1:1">
      <c r="A1005" s="179"/>
    </row>
    <row r="1006" spans="1:1">
      <c r="A1006" s="179"/>
    </row>
    <row r="1007" spans="1:1">
      <c r="A1007" s="179"/>
    </row>
    <row r="1008" spans="1:1">
      <c r="A1008" s="179"/>
    </row>
    <row r="1009" spans="1:1">
      <c r="A1009" s="179"/>
    </row>
    <row r="1010" spans="1:1">
      <c r="A1010" s="179"/>
    </row>
    <row r="1011" spans="1:1">
      <c r="A1011" s="179"/>
    </row>
    <row r="1012" spans="1:1">
      <c r="A1012" s="179"/>
    </row>
    <row r="1013" spans="1:1">
      <c r="A1013" s="179"/>
    </row>
    <row r="1014" spans="1:1">
      <c r="A1014" s="179"/>
    </row>
    <row r="1015" spans="1:1">
      <c r="A1015" s="179"/>
    </row>
    <row r="1016" spans="1:1">
      <c r="A1016" s="179"/>
    </row>
    <row r="1017" spans="1:1">
      <c r="A1017" s="179"/>
    </row>
    <row r="1018" spans="1:1">
      <c r="A1018" s="179"/>
    </row>
    <row r="1019" spans="1:1">
      <c r="A1019" s="179"/>
    </row>
    <row r="1020" spans="1:1">
      <c r="A1020" s="179"/>
    </row>
    <row r="1021" spans="1:1">
      <c r="A1021" s="179"/>
    </row>
    <row r="1022" spans="1:1">
      <c r="A1022" s="179"/>
    </row>
    <row r="1023" spans="1:1">
      <c r="A1023" s="179"/>
    </row>
    <row r="1024" spans="1:1">
      <c r="A1024" s="179"/>
    </row>
    <row r="1025" spans="1:1">
      <c r="A1025" s="179"/>
    </row>
    <row r="1026" spans="1:1">
      <c r="A1026" s="179"/>
    </row>
    <row r="1027" spans="1:1">
      <c r="A1027" s="179"/>
    </row>
    <row r="1028" spans="1:1">
      <c r="A1028" s="179"/>
    </row>
    <row r="1029" spans="1:1">
      <c r="A1029" s="179"/>
    </row>
    <row r="1030" spans="1:1">
      <c r="A1030" s="179"/>
    </row>
    <row r="1031" spans="1:1">
      <c r="A1031" s="179"/>
    </row>
    <row r="1032" spans="1:1">
      <c r="A1032" s="179"/>
    </row>
    <row r="1033" spans="1:1">
      <c r="A1033" s="179"/>
    </row>
    <row r="1034" spans="1:1">
      <c r="A1034" s="179"/>
    </row>
    <row r="1035" spans="1:1">
      <c r="A1035" s="179"/>
    </row>
    <row r="1036" spans="1:1">
      <c r="A1036" s="179"/>
    </row>
    <row r="1037" spans="1:1">
      <c r="A1037" s="179"/>
    </row>
    <row r="1038" spans="1:1">
      <c r="A1038" s="179"/>
    </row>
    <row r="1039" spans="1:1">
      <c r="A1039" s="179"/>
    </row>
    <row r="1040" spans="1:1">
      <c r="A1040" s="179"/>
    </row>
    <row r="1041" spans="1:1">
      <c r="A1041" s="179"/>
    </row>
    <row r="1042" spans="1:1">
      <c r="A1042" s="179"/>
    </row>
    <row r="1043" spans="1:1">
      <c r="A1043" s="179"/>
    </row>
    <row r="1044" spans="1:1">
      <c r="A1044" s="179"/>
    </row>
    <row r="1045" spans="1:1">
      <c r="A1045" s="179"/>
    </row>
    <row r="1046" spans="1:1">
      <c r="A1046" s="179"/>
    </row>
    <row r="1047" spans="1:1">
      <c r="A1047" s="179"/>
    </row>
    <row r="1048" spans="1:1">
      <c r="A1048" s="179"/>
    </row>
    <row r="1049" spans="1:1">
      <c r="A1049" s="179"/>
    </row>
    <row r="1050" spans="1:1">
      <c r="A1050" s="179"/>
    </row>
    <row r="1051" spans="1:1">
      <c r="A1051" s="179"/>
    </row>
    <row r="1052" spans="1:1">
      <c r="A1052" s="179"/>
    </row>
    <row r="1053" spans="1:1">
      <c r="A1053" s="179"/>
    </row>
    <row r="1054" spans="1:1">
      <c r="A1054" s="179"/>
    </row>
    <row r="1055" spans="1:1">
      <c r="A1055" s="179"/>
    </row>
    <row r="1056" spans="1:1">
      <c r="A1056" s="179"/>
    </row>
    <row r="1057" spans="1:1">
      <c r="A1057" s="179"/>
    </row>
    <row r="1058" spans="1:1">
      <c r="A1058" s="179"/>
    </row>
    <row r="1059" spans="1:1">
      <c r="A1059" s="179"/>
    </row>
    <row r="1060" spans="1:1">
      <c r="A1060" s="179"/>
    </row>
    <row r="1061" spans="1:1">
      <c r="A1061" s="179"/>
    </row>
    <row r="1062" spans="1:1">
      <c r="A1062" s="179"/>
    </row>
    <row r="1063" spans="1:1">
      <c r="A1063" s="179"/>
    </row>
    <row r="1064" spans="1:1">
      <c r="A1064" s="179"/>
    </row>
    <row r="1065" spans="1:1">
      <c r="A1065" s="179"/>
    </row>
    <row r="1066" spans="1:1">
      <c r="A1066" s="179"/>
    </row>
    <row r="1067" spans="1:1">
      <c r="A1067" s="179"/>
    </row>
    <row r="1068" spans="1:1">
      <c r="A1068" s="179"/>
    </row>
    <row r="1069" spans="1:1">
      <c r="A1069" s="179"/>
    </row>
    <row r="1070" spans="1:1">
      <c r="A1070" s="179"/>
    </row>
    <row r="1071" spans="1:1">
      <c r="A1071" s="179"/>
    </row>
    <row r="1072" spans="1:1">
      <c r="A1072" s="179"/>
    </row>
    <row r="1073" spans="1:1">
      <c r="A1073" s="179"/>
    </row>
    <row r="1074" spans="1:1">
      <c r="A1074" s="179"/>
    </row>
    <row r="1075" spans="1:1">
      <c r="A1075" s="179"/>
    </row>
    <row r="1076" spans="1:1">
      <c r="A1076" s="179"/>
    </row>
    <row r="1077" spans="1:1">
      <c r="A1077" s="179"/>
    </row>
    <row r="1078" spans="1:1">
      <c r="A1078" s="179"/>
    </row>
    <row r="1079" spans="1:1">
      <c r="A1079" s="179"/>
    </row>
    <row r="1080" spans="1:1">
      <c r="A1080" s="179"/>
    </row>
    <row r="1081" spans="1:1">
      <c r="A1081" s="179"/>
    </row>
    <row r="1082" spans="1:1">
      <c r="A1082" s="179"/>
    </row>
    <row r="1083" spans="1:1">
      <c r="A1083" s="179"/>
    </row>
    <row r="1084" spans="1:1">
      <c r="A1084" s="179"/>
    </row>
    <row r="1085" spans="1:1">
      <c r="A1085" s="179"/>
    </row>
    <row r="1086" spans="1:1">
      <c r="A1086" s="179"/>
    </row>
    <row r="1087" spans="1:1">
      <c r="A1087" s="179"/>
    </row>
    <row r="1088" spans="1:1">
      <c r="A1088" s="179"/>
    </row>
    <row r="1089" spans="1:1">
      <c r="A1089" s="179"/>
    </row>
    <row r="1090" spans="1:1">
      <c r="A1090" s="179"/>
    </row>
    <row r="1091" spans="1:1">
      <c r="A1091" s="179"/>
    </row>
    <row r="1092" spans="1:1">
      <c r="A1092" s="179"/>
    </row>
    <row r="1093" spans="1:1">
      <c r="A1093" s="179"/>
    </row>
    <row r="1094" spans="1:1">
      <c r="A1094" s="179"/>
    </row>
    <row r="1095" spans="1:1">
      <c r="A1095" s="179"/>
    </row>
    <row r="1096" spans="1:1">
      <c r="A1096" s="179"/>
    </row>
    <row r="1097" spans="1:1">
      <c r="A1097" s="179"/>
    </row>
    <row r="1098" spans="1:1">
      <c r="A1098" s="179"/>
    </row>
    <row r="1099" spans="1:1">
      <c r="A1099" s="179"/>
    </row>
    <row r="1100" spans="1:1">
      <c r="A1100" s="179"/>
    </row>
    <row r="1101" spans="1:1">
      <c r="A1101" s="179"/>
    </row>
    <row r="1102" spans="1:1">
      <c r="A1102" s="179"/>
    </row>
    <row r="1103" spans="1:1">
      <c r="A1103" s="179"/>
    </row>
    <row r="1104" spans="1:1">
      <c r="A1104" s="179"/>
    </row>
    <row r="1105" spans="1:1">
      <c r="A1105" s="179"/>
    </row>
    <row r="1106" spans="1:1">
      <c r="A1106" s="179"/>
    </row>
    <row r="1107" spans="1:1">
      <c r="A1107" s="179"/>
    </row>
    <row r="1108" spans="1:1">
      <c r="A1108" s="179"/>
    </row>
    <row r="1109" spans="1:1">
      <c r="A1109" s="179"/>
    </row>
    <row r="1110" spans="1:1">
      <c r="A1110" s="179"/>
    </row>
    <row r="1111" spans="1:1">
      <c r="A1111" s="179"/>
    </row>
    <row r="1112" spans="1:1">
      <c r="A1112" s="179"/>
    </row>
    <row r="1113" spans="1:1">
      <c r="A1113" s="179"/>
    </row>
    <row r="1114" spans="1:1">
      <c r="A1114" s="179"/>
    </row>
    <row r="1115" spans="1:1">
      <c r="A1115" s="179"/>
    </row>
    <row r="1116" spans="1:1">
      <c r="A1116" s="179"/>
    </row>
    <row r="1117" spans="1:1">
      <c r="A1117" s="179"/>
    </row>
    <row r="1118" spans="1:1">
      <c r="A1118" s="179"/>
    </row>
    <row r="1119" spans="1:1">
      <c r="A1119" s="179"/>
    </row>
    <row r="1120" spans="1:1">
      <c r="A1120" s="179"/>
    </row>
    <row r="1121" spans="1:1">
      <c r="A1121" s="179"/>
    </row>
    <row r="1122" spans="1:1">
      <c r="A1122" s="179"/>
    </row>
    <row r="1123" spans="1:1">
      <c r="A1123" s="179"/>
    </row>
    <row r="1124" spans="1:1">
      <c r="A1124" s="179"/>
    </row>
    <row r="1125" spans="1:1">
      <c r="A1125" s="179"/>
    </row>
    <row r="1126" spans="1:1">
      <c r="A1126" s="179"/>
    </row>
    <row r="1127" spans="1:1">
      <c r="A1127" s="179"/>
    </row>
    <row r="1128" spans="1:1">
      <c r="A1128" s="179"/>
    </row>
    <row r="1129" spans="1:1">
      <c r="A1129" s="179"/>
    </row>
    <row r="1130" spans="1:1">
      <c r="A1130" s="179"/>
    </row>
    <row r="1131" spans="1:1">
      <c r="A1131" s="179"/>
    </row>
    <row r="1132" spans="1:1">
      <c r="A1132" s="179"/>
    </row>
    <row r="1133" spans="1:1">
      <c r="A1133" s="179"/>
    </row>
    <row r="1134" spans="1:1">
      <c r="A1134" s="179"/>
    </row>
    <row r="1135" spans="1:1">
      <c r="A1135" s="179"/>
    </row>
    <row r="1136" spans="1:1">
      <c r="A1136" s="179"/>
    </row>
    <row r="1137" spans="1:1">
      <c r="A1137" s="179"/>
    </row>
    <row r="1138" spans="1:1">
      <c r="A1138" s="179"/>
    </row>
    <row r="1139" spans="1:1">
      <c r="A1139" s="179"/>
    </row>
    <row r="1140" spans="1:1">
      <c r="A1140" s="179"/>
    </row>
    <row r="1141" spans="1:1">
      <c r="A1141" s="179"/>
    </row>
    <row r="1142" spans="1:1">
      <c r="A1142" s="179"/>
    </row>
    <row r="1143" spans="1:1">
      <c r="A1143" s="179"/>
    </row>
    <row r="1144" spans="1:1">
      <c r="A1144" s="179"/>
    </row>
    <row r="1145" spans="1:1">
      <c r="A1145" s="179"/>
    </row>
    <row r="1146" spans="1:1">
      <c r="A1146" s="179"/>
    </row>
    <row r="1147" spans="1:1">
      <c r="A1147" s="179"/>
    </row>
    <row r="1148" spans="1:1">
      <c r="A1148" s="179"/>
    </row>
    <row r="1149" spans="1:1">
      <c r="A1149" s="179"/>
    </row>
    <row r="1150" spans="1:1">
      <c r="A1150" s="179"/>
    </row>
    <row r="1151" spans="1:1">
      <c r="A1151" s="179"/>
    </row>
    <row r="1152" spans="1:1">
      <c r="A1152" s="179"/>
    </row>
    <row r="1153" spans="1:1">
      <c r="A1153" s="179"/>
    </row>
    <row r="1154" spans="1:1">
      <c r="A1154" s="179"/>
    </row>
    <row r="1155" spans="1:1">
      <c r="A1155" s="179"/>
    </row>
    <row r="1156" spans="1:1">
      <c r="A1156" s="179"/>
    </row>
    <row r="1157" spans="1:1">
      <c r="A1157" s="179"/>
    </row>
    <row r="1158" spans="1:1">
      <c r="A1158" s="179"/>
    </row>
    <row r="1159" spans="1:1">
      <c r="A1159" s="179"/>
    </row>
    <row r="1160" spans="1:1">
      <c r="A1160" s="179"/>
    </row>
    <row r="1161" spans="1:1">
      <c r="A1161" s="179"/>
    </row>
    <row r="1162" spans="1:1">
      <c r="A1162" s="179"/>
    </row>
    <row r="1163" spans="1:1">
      <c r="A1163" s="179"/>
    </row>
    <row r="1164" spans="1:1">
      <c r="A1164" s="179"/>
    </row>
    <row r="1165" spans="1:1">
      <c r="A1165" s="179"/>
    </row>
    <row r="1166" spans="1:1">
      <c r="A1166" s="179"/>
    </row>
    <row r="1167" spans="1:1">
      <c r="A1167" s="179"/>
    </row>
    <row r="1168" spans="1:1">
      <c r="A1168" s="179"/>
    </row>
    <row r="1169" spans="1:1">
      <c r="A1169" s="179"/>
    </row>
    <row r="1170" spans="1:1">
      <c r="A1170" s="179"/>
    </row>
    <row r="1171" spans="1:1">
      <c r="A1171" s="179"/>
    </row>
    <row r="1172" spans="1:1">
      <c r="A1172" s="179"/>
    </row>
    <row r="1173" spans="1:1">
      <c r="A1173" s="179"/>
    </row>
    <row r="1174" spans="1:1">
      <c r="A1174" s="179"/>
    </row>
    <row r="1175" spans="1:1">
      <c r="A1175" s="179"/>
    </row>
    <row r="1176" spans="1:1">
      <c r="A1176" s="179"/>
    </row>
    <row r="1177" spans="1:1">
      <c r="A1177" s="179"/>
    </row>
    <row r="1178" spans="1:1">
      <c r="A1178" s="179"/>
    </row>
    <row r="1179" spans="1:1">
      <c r="A1179" s="179"/>
    </row>
    <row r="1180" spans="1:1">
      <c r="A1180" s="179"/>
    </row>
    <row r="1181" spans="1:1">
      <c r="A1181" s="179"/>
    </row>
    <row r="1182" spans="1:1">
      <c r="A1182" s="179"/>
    </row>
    <row r="1183" spans="1:1">
      <c r="A1183" s="179"/>
    </row>
    <row r="1184" spans="1:1">
      <c r="A1184" s="179"/>
    </row>
    <row r="1185" spans="1:1">
      <c r="A1185" s="179"/>
    </row>
    <row r="1186" spans="1:1">
      <c r="A1186" s="179"/>
    </row>
    <row r="1187" spans="1:1">
      <c r="A1187" s="179"/>
    </row>
    <row r="1188" spans="1:1">
      <c r="A1188" s="179"/>
    </row>
    <row r="1189" spans="1:1">
      <c r="A1189" s="179"/>
    </row>
    <row r="1190" spans="1:1">
      <c r="A1190" s="179"/>
    </row>
    <row r="1191" spans="1:1">
      <c r="A1191" s="179"/>
    </row>
    <row r="1192" spans="1:1">
      <c r="A1192" s="179"/>
    </row>
    <row r="1193" spans="1:1">
      <c r="A1193" s="179"/>
    </row>
    <row r="1194" spans="1:1">
      <c r="A1194" s="179"/>
    </row>
    <row r="1195" spans="1:1">
      <c r="A1195" s="179"/>
    </row>
    <row r="1196" spans="1:1">
      <c r="A1196" s="179"/>
    </row>
    <row r="1197" spans="1:1">
      <c r="A1197" s="179"/>
    </row>
    <row r="1198" spans="1:1">
      <c r="A1198" s="179"/>
    </row>
    <row r="1199" spans="1:1">
      <c r="A1199" s="179"/>
    </row>
    <row r="1200" spans="1:1">
      <c r="A1200" s="179"/>
    </row>
    <row r="1201" spans="1:1">
      <c r="A1201" s="179"/>
    </row>
    <row r="1202" spans="1:1">
      <c r="A1202" s="179"/>
    </row>
    <row r="1203" spans="1:1">
      <c r="A1203" s="179"/>
    </row>
    <row r="1204" spans="1:1">
      <c r="A1204" s="179"/>
    </row>
    <row r="1205" spans="1:1">
      <c r="A1205" s="179"/>
    </row>
    <row r="1206" spans="1:1">
      <c r="A1206" s="179"/>
    </row>
    <row r="1207" spans="1:1">
      <c r="A1207" s="179"/>
    </row>
    <row r="1208" spans="1:1">
      <c r="A1208" s="179"/>
    </row>
    <row r="1209" spans="1:1">
      <c r="A1209" s="179"/>
    </row>
    <row r="1210" spans="1:1">
      <c r="A1210" s="179"/>
    </row>
    <row r="1211" spans="1:1">
      <c r="A1211" s="179"/>
    </row>
    <row r="1212" spans="1:1">
      <c r="A1212" s="179"/>
    </row>
    <row r="1213" spans="1:1">
      <c r="A1213" s="179"/>
    </row>
    <row r="1214" spans="1:1">
      <c r="A1214" s="179"/>
    </row>
    <row r="1215" spans="1:1">
      <c r="A1215" s="179"/>
    </row>
    <row r="1216" spans="1:1">
      <c r="A1216" s="179"/>
    </row>
    <row r="1217" spans="1:1">
      <c r="A1217" s="179"/>
    </row>
    <row r="1218" spans="1:1">
      <c r="A1218" s="179"/>
    </row>
    <row r="1219" spans="1:1">
      <c r="A1219" s="179"/>
    </row>
    <row r="1220" spans="1:1">
      <c r="A1220" s="179"/>
    </row>
    <row r="1221" spans="1:1">
      <c r="A1221" s="179"/>
    </row>
    <row r="1222" spans="1:1">
      <c r="A1222" s="179"/>
    </row>
    <row r="1223" spans="1:1">
      <c r="A1223" s="179"/>
    </row>
    <row r="1224" spans="1:1">
      <c r="A1224" s="179"/>
    </row>
    <row r="1225" spans="1:1">
      <c r="A1225" s="179"/>
    </row>
    <row r="1226" spans="1:1">
      <c r="A1226" s="179"/>
    </row>
    <row r="1227" spans="1:1">
      <c r="A1227" s="179"/>
    </row>
    <row r="1228" spans="1:1">
      <c r="A1228" s="179"/>
    </row>
    <row r="1229" spans="1:1">
      <c r="A1229" s="179"/>
    </row>
    <row r="1230" spans="1:1">
      <c r="A1230" s="179"/>
    </row>
    <row r="1231" spans="1:1">
      <c r="A1231" s="179"/>
    </row>
    <row r="1232" spans="1:1">
      <c r="A1232" s="179"/>
    </row>
    <row r="1233" spans="1:1">
      <c r="A1233" s="179"/>
    </row>
    <row r="1234" spans="1:1">
      <c r="A1234" s="179"/>
    </row>
    <row r="1235" spans="1:1">
      <c r="A1235" s="179"/>
    </row>
    <row r="1236" spans="1:1">
      <c r="A1236" s="179"/>
    </row>
    <row r="1237" spans="1:1">
      <c r="A1237" s="179"/>
    </row>
    <row r="1238" spans="1:1">
      <c r="A1238" s="179"/>
    </row>
    <row r="1239" spans="1:1">
      <c r="A1239" s="179"/>
    </row>
    <row r="1240" spans="1:1">
      <c r="A1240" s="179"/>
    </row>
    <row r="1241" spans="1:1">
      <c r="A1241" s="179"/>
    </row>
    <row r="1242" spans="1:1">
      <c r="A1242" s="179"/>
    </row>
    <row r="1243" spans="1:1">
      <c r="A1243" s="179"/>
    </row>
    <row r="1244" spans="1:1">
      <c r="A1244" s="179"/>
    </row>
    <row r="1245" spans="1:1">
      <c r="A1245" s="179"/>
    </row>
    <row r="1246" spans="1:1">
      <c r="A1246" s="179"/>
    </row>
    <row r="1247" spans="1:1">
      <c r="A1247" s="179"/>
    </row>
    <row r="1248" spans="1:1">
      <c r="A1248" s="179"/>
    </row>
    <row r="1249" spans="1:1">
      <c r="A1249" s="179"/>
    </row>
    <row r="1250" spans="1:1">
      <c r="A1250" s="179"/>
    </row>
    <row r="1251" spans="1:1">
      <c r="A1251" s="179"/>
    </row>
    <row r="1252" spans="1:1">
      <c r="A1252" s="179"/>
    </row>
    <row r="1253" spans="1:1">
      <c r="A1253" s="179"/>
    </row>
    <row r="1254" spans="1:1">
      <c r="A1254" s="179"/>
    </row>
    <row r="1255" spans="1:1">
      <c r="A1255" s="179"/>
    </row>
    <row r="1256" spans="1:1">
      <c r="A1256" s="179"/>
    </row>
    <row r="1257" spans="1:1">
      <c r="A1257" s="179"/>
    </row>
    <row r="1258" spans="1:1">
      <c r="A1258" s="179"/>
    </row>
    <row r="1259" spans="1:1">
      <c r="A1259" s="179"/>
    </row>
    <row r="1260" spans="1:1">
      <c r="A1260" s="179"/>
    </row>
    <row r="1261" spans="1:1">
      <c r="A1261" s="179"/>
    </row>
    <row r="1262" spans="1:1">
      <c r="A1262" s="179"/>
    </row>
    <row r="1263" spans="1:1">
      <c r="A1263" s="179"/>
    </row>
    <row r="1264" spans="1:1">
      <c r="A1264" s="179"/>
    </row>
    <row r="1265" spans="1:1">
      <c r="A1265" s="179"/>
    </row>
    <row r="1266" spans="1:1">
      <c r="A1266" s="179"/>
    </row>
    <row r="1267" spans="1:1">
      <c r="A1267" s="179"/>
    </row>
    <row r="1268" spans="1:1">
      <c r="A1268" s="179"/>
    </row>
    <row r="1269" spans="1:1">
      <c r="A1269" s="179"/>
    </row>
    <row r="1270" spans="1:1">
      <c r="A1270" s="179"/>
    </row>
    <row r="1271" spans="1:1">
      <c r="A1271" s="179"/>
    </row>
    <row r="1272" spans="1:1">
      <c r="A1272" s="179"/>
    </row>
    <row r="1273" spans="1:1">
      <c r="A1273" s="179"/>
    </row>
    <row r="1274" spans="1:1">
      <c r="A1274" s="179"/>
    </row>
    <row r="1275" spans="1:1">
      <c r="A1275" s="179"/>
    </row>
    <row r="1276" spans="1:1">
      <c r="A1276" s="179"/>
    </row>
    <row r="1277" spans="1:1">
      <c r="A1277" s="179"/>
    </row>
    <row r="1278" spans="1:1">
      <c r="A1278" s="179"/>
    </row>
    <row r="1279" spans="1:1">
      <c r="A1279" s="179"/>
    </row>
    <row r="1280" spans="1:1">
      <c r="A1280" s="179"/>
    </row>
    <row r="1281" spans="1:1">
      <c r="A1281" s="179"/>
    </row>
    <row r="1282" spans="1:1">
      <c r="A1282" s="179"/>
    </row>
    <row r="1283" spans="1:1">
      <c r="A1283" s="179"/>
    </row>
    <row r="1284" spans="1:1">
      <c r="A1284" s="179"/>
    </row>
    <row r="1285" spans="1:1">
      <c r="A1285" s="179"/>
    </row>
    <row r="1286" spans="1:1">
      <c r="A1286" s="179"/>
    </row>
    <row r="1287" spans="1:1">
      <c r="A1287" s="179"/>
    </row>
    <row r="1288" spans="1:1">
      <c r="A1288" s="179"/>
    </row>
    <row r="1289" spans="1:1">
      <c r="A1289" s="179"/>
    </row>
    <row r="1290" spans="1:1">
      <c r="A1290" s="179"/>
    </row>
    <row r="1291" spans="1:1">
      <c r="A1291" s="179"/>
    </row>
    <row r="1292" spans="1:1">
      <c r="A1292" s="179"/>
    </row>
    <row r="1293" spans="1:1">
      <c r="A1293" s="179"/>
    </row>
    <row r="1294" spans="1:1">
      <c r="A1294" s="179"/>
    </row>
    <row r="1295" spans="1:1">
      <c r="A1295" s="179"/>
    </row>
    <row r="1296" spans="1:1">
      <c r="A1296" s="179"/>
    </row>
    <row r="1297" spans="1:1">
      <c r="A1297" s="179"/>
    </row>
    <row r="1298" spans="1:1">
      <c r="A1298" s="179"/>
    </row>
    <row r="1299" spans="1:1">
      <c r="A1299" s="179"/>
    </row>
    <row r="1300" spans="1:1">
      <c r="A1300" s="179"/>
    </row>
    <row r="1301" spans="1:1">
      <c r="A1301" s="179"/>
    </row>
    <row r="1302" spans="1:1">
      <c r="A1302" s="179"/>
    </row>
    <row r="1303" spans="1:1">
      <c r="A1303" s="179"/>
    </row>
    <row r="1304" spans="1:1">
      <c r="A1304" s="179"/>
    </row>
    <row r="1305" spans="1:1">
      <c r="A1305" s="179"/>
    </row>
    <row r="1306" spans="1:1">
      <c r="A1306" s="179"/>
    </row>
    <row r="1307" spans="1:1">
      <c r="A1307" s="179"/>
    </row>
    <row r="1308" spans="1:1">
      <c r="A1308" s="179"/>
    </row>
    <row r="1309" spans="1:1">
      <c r="A1309" s="179"/>
    </row>
    <row r="1310" spans="1:1">
      <c r="A1310" s="179"/>
    </row>
    <row r="1311" spans="1:1">
      <c r="A1311" s="179"/>
    </row>
    <row r="1312" spans="1:1">
      <c r="A1312" s="179"/>
    </row>
    <row r="1313" spans="1:1">
      <c r="A1313" s="179"/>
    </row>
    <row r="1314" spans="1:1">
      <c r="A1314" s="179"/>
    </row>
    <row r="1315" spans="1:1">
      <c r="A1315" s="179"/>
    </row>
    <row r="1316" spans="1:1">
      <c r="A1316" s="179"/>
    </row>
    <row r="1317" spans="1:1">
      <c r="A1317" s="179"/>
    </row>
    <row r="1318" spans="1:1">
      <c r="A1318" s="179"/>
    </row>
    <row r="1319" spans="1:1">
      <c r="A1319" s="179"/>
    </row>
    <row r="1320" spans="1:1">
      <c r="A1320" s="179"/>
    </row>
    <row r="1321" spans="1:1">
      <c r="A1321" s="179"/>
    </row>
    <row r="1322" spans="1:1">
      <c r="A1322" s="179"/>
    </row>
    <row r="1323" spans="1:1">
      <c r="A1323" s="179"/>
    </row>
    <row r="1324" spans="1:1">
      <c r="A1324" s="179"/>
    </row>
    <row r="1325" spans="1:1">
      <c r="A1325" s="179"/>
    </row>
    <row r="1326" spans="1:1">
      <c r="A1326" s="179"/>
    </row>
    <row r="1327" spans="1:1">
      <c r="A1327" s="179"/>
    </row>
    <row r="1328" spans="1:1">
      <c r="A1328" s="179"/>
    </row>
    <row r="1329" spans="1:1">
      <c r="A1329" s="179"/>
    </row>
    <row r="1330" spans="1:1">
      <c r="A1330" s="179"/>
    </row>
    <row r="1331" spans="1:1">
      <c r="A1331" s="179"/>
    </row>
    <row r="1332" spans="1:1">
      <c r="A1332" s="179"/>
    </row>
    <row r="1333" spans="1:1">
      <c r="A1333" s="179"/>
    </row>
    <row r="1334" spans="1:1">
      <c r="A1334" s="179"/>
    </row>
    <row r="1335" spans="1:1">
      <c r="A1335" s="179"/>
    </row>
    <row r="1336" spans="1:1">
      <c r="A1336" s="179"/>
    </row>
    <row r="1337" spans="1:1">
      <c r="A1337" s="179"/>
    </row>
    <row r="1338" spans="1:1">
      <c r="A1338" s="179"/>
    </row>
    <row r="1339" spans="1:1">
      <c r="A1339" s="179"/>
    </row>
    <row r="1340" spans="1:1">
      <c r="A1340" s="179"/>
    </row>
    <row r="1341" spans="1:1">
      <c r="A1341" s="179"/>
    </row>
    <row r="1342" spans="1:1">
      <c r="A1342" s="179"/>
    </row>
    <row r="1343" spans="1:1">
      <c r="A1343" s="179"/>
    </row>
    <row r="1344" spans="1:1">
      <c r="A1344" s="179"/>
    </row>
    <row r="1345" spans="1:1">
      <c r="A1345" s="179"/>
    </row>
    <row r="1346" spans="1:1">
      <c r="A1346" s="179"/>
    </row>
    <row r="1347" spans="1:1">
      <c r="A1347" s="179"/>
    </row>
    <row r="1348" spans="1:1">
      <c r="A1348" s="179"/>
    </row>
    <row r="1349" spans="1:1">
      <c r="A1349" s="179"/>
    </row>
    <row r="1350" spans="1:1">
      <c r="A1350" s="179"/>
    </row>
    <row r="1351" spans="1:1">
      <c r="A1351" s="179"/>
    </row>
    <row r="1352" spans="1:1">
      <c r="A1352" s="179"/>
    </row>
    <row r="1353" spans="1:1">
      <c r="A1353" s="179"/>
    </row>
    <row r="1354" spans="1:1">
      <c r="A1354" s="179"/>
    </row>
    <row r="1355" spans="1:1">
      <c r="A1355" s="179"/>
    </row>
    <row r="1356" spans="1:1">
      <c r="A1356" s="179"/>
    </row>
    <row r="1357" spans="1:1">
      <c r="A1357" s="179"/>
    </row>
    <row r="1358" spans="1:1">
      <c r="A1358" s="179"/>
    </row>
    <row r="1359" spans="1:1">
      <c r="A1359" s="179"/>
    </row>
    <row r="1360" spans="1:1">
      <c r="A1360" s="179"/>
    </row>
    <row r="1361" spans="1:1">
      <c r="A1361" s="179"/>
    </row>
    <row r="1362" spans="1:1">
      <c r="A1362" s="179"/>
    </row>
    <row r="1363" spans="1:1">
      <c r="A1363" s="179"/>
    </row>
    <row r="1364" spans="1:1">
      <c r="A1364" s="179"/>
    </row>
    <row r="1365" spans="1:1">
      <c r="A1365" s="179"/>
    </row>
    <row r="1366" spans="1:1">
      <c r="A1366" s="179"/>
    </row>
    <row r="1367" spans="1:1">
      <c r="A1367" s="179"/>
    </row>
    <row r="1368" spans="1:1">
      <c r="A1368" s="179"/>
    </row>
    <row r="1369" spans="1:1">
      <c r="A1369" s="179"/>
    </row>
    <row r="1370" spans="1:1">
      <c r="A1370" s="179"/>
    </row>
    <row r="1371" spans="1:1">
      <c r="A1371" s="179"/>
    </row>
    <row r="1372" spans="1:1">
      <c r="A1372" s="179"/>
    </row>
    <row r="1373" spans="1:1">
      <c r="A1373" s="179"/>
    </row>
    <row r="1374" spans="1:1">
      <c r="A1374" s="179"/>
    </row>
    <row r="1375" spans="1:1">
      <c r="A1375" s="179"/>
    </row>
    <row r="1376" spans="1:1">
      <c r="A1376" s="179"/>
    </row>
    <row r="1377" spans="1:1">
      <c r="A1377" s="179"/>
    </row>
    <row r="1378" spans="1:1">
      <c r="A1378" s="179"/>
    </row>
    <row r="1379" spans="1:1">
      <c r="A1379" s="179"/>
    </row>
    <row r="1380" spans="1:1">
      <c r="A1380" s="179"/>
    </row>
    <row r="1381" spans="1:1">
      <c r="A1381" s="179"/>
    </row>
    <row r="1382" spans="1:1">
      <c r="A1382" s="179"/>
    </row>
    <row r="1383" spans="1:1">
      <c r="A1383" s="179"/>
    </row>
    <row r="1384" spans="1:1">
      <c r="A1384" s="179"/>
    </row>
    <row r="1385" spans="1:1">
      <c r="A1385" s="179"/>
    </row>
    <row r="1386" spans="1:1">
      <c r="A1386" s="179"/>
    </row>
    <row r="1387" spans="1:1">
      <c r="A1387" s="179"/>
    </row>
    <row r="1388" spans="1:1">
      <c r="A1388" s="179"/>
    </row>
    <row r="1389" spans="1:1">
      <c r="A1389" s="179"/>
    </row>
    <row r="1390" spans="1:1">
      <c r="A1390" s="179"/>
    </row>
    <row r="1391" spans="1:1">
      <c r="A1391" s="179"/>
    </row>
    <row r="1392" spans="1:1">
      <c r="A1392" s="179"/>
    </row>
    <row r="1393" spans="1:1">
      <c r="A1393" s="179"/>
    </row>
    <row r="1394" spans="1:1">
      <c r="A1394" s="179"/>
    </row>
    <row r="1395" spans="1:1">
      <c r="A1395" s="179"/>
    </row>
    <row r="1396" spans="1:1">
      <c r="A1396" s="179"/>
    </row>
    <row r="1397" spans="1:1">
      <c r="A1397" s="179"/>
    </row>
    <row r="1398" spans="1:1">
      <c r="A1398" s="179"/>
    </row>
    <row r="1399" spans="1:1">
      <c r="A1399" s="179"/>
    </row>
    <row r="1400" spans="1:1">
      <c r="A1400" s="179"/>
    </row>
    <row r="1401" spans="1:1">
      <c r="A1401" s="179"/>
    </row>
    <row r="1402" spans="1:1">
      <c r="A1402" s="179"/>
    </row>
    <row r="1403" spans="1:1">
      <c r="A1403" s="179"/>
    </row>
    <row r="1404" spans="1:1">
      <c r="A1404" s="179"/>
    </row>
    <row r="1405" spans="1:1">
      <c r="A1405" s="179"/>
    </row>
    <row r="1406" spans="1:1">
      <c r="A1406" s="179"/>
    </row>
    <row r="1407" spans="1:1">
      <c r="A1407" s="179"/>
    </row>
    <row r="1408" spans="1:1">
      <c r="A1408" s="179"/>
    </row>
    <row r="1409" spans="1:1">
      <c r="A1409" s="179"/>
    </row>
    <row r="1410" spans="1:1">
      <c r="A1410" s="179"/>
    </row>
    <row r="1411" spans="1:1">
      <c r="A1411" s="179"/>
    </row>
    <row r="1412" spans="1:1">
      <c r="A1412" s="179"/>
    </row>
    <row r="1413" spans="1:1">
      <c r="A1413" s="179"/>
    </row>
    <row r="1414" spans="1:1">
      <c r="A1414" s="179"/>
    </row>
    <row r="1415" spans="1:1">
      <c r="A1415" s="179"/>
    </row>
    <row r="1416" spans="1:1">
      <c r="A1416" s="179"/>
    </row>
    <row r="1417" spans="1:1">
      <c r="A1417" s="179"/>
    </row>
    <row r="1418" spans="1:1">
      <c r="A1418" s="179"/>
    </row>
    <row r="1419" spans="1:1">
      <c r="A1419" s="179"/>
    </row>
    <row r="1420" spans="1:1">
      <c r="A1420" s="179"/>
    </row>
    <row r="1421" spans="1:1">
      <c r="A1421" s="179"/>
    </row>
    <row r="1422" spans="1:1">
      <c r="A1422" s="179"/>
    </row>
    <row r="1423" spans="1:1">
      <c r="A1423" s="179"/>
    </row>
    <row r="1424" spans="1:1">
      <c r="A1424" s="179"/>
    </row>
    <row r="1425" spans="1:1">
      <c r="A1425" s="179"/>
    </row>
    <row r="1426" spans="1:1">
      <c r="A1426" s="179"/>
    </row>
    <row r="1427" spans="1:1">
      <c r="A1427" s="179"/>
    </row>
    <row r="1428" spans="1:1">
      <c r="A1428" s="179"/>
    </row>
    <row r="1429" spans="1:1">
      <c r="A1429" s="179"/>
    </row>
    <row r="1430" spans="1:1">
      <c r="A1430" s="179"/>
    </row>
    <row r="1431" spans="1:1">
      <c r="A1431" s="179"/>
    </row>
    <row r="1432" spans="1:1">
      <c r="A1432" s="179"/>
    </row>
    <row r="1433" spans="1:1">
      <c r="A1433" s="179"/>
    </row>
    <row r="1434" spans="1:1">
      <c r="A1434" s="179"/>
    </row>
    <row r="1435" spans="1:1">
      <c r="A1435" s="179"/>
    </row>
    <row r="1436" spans="1:1">
      <c r="A1436" s="179"/>
    </row>
    <row r="1437" spans="1:1">
      <c r="A1437" s="179"/>
    </row>
    <row r="1438" spans="1:1">
      <c r="A1438" s="179"/>
    </row>
    <row r="1439" spans="1:1">
      <c r="A1439" s="179"/>
    </row>
    <row r="1440" spans="1:1">
      <c r="A1440" s="179"/>
    </row>
    <row r="1441" spans="1:1">
      <c r="A1441" s="179"/>
    </row>
    <row r="1442" spans="1:1">
      <c r="A1442" s="179"/>
    </row>
    <row r="1443" spans="1:1">
      <c r="A1443" s="179"/>
    </row>
    <row r="1444" spans="1:1">
      <c r="A1444" s="179"/>
    </row>
    <row r="1445" spans="1:1">
      <c r="A1445" s="179"/>
    </row>
    <row r="1446" spans="1:1">
      <c r="A1446" s="179"/>
    </row>
    <row r="1447" spans="1:1">
      <c r="A1447" s="179"/>
    </row>
    <row r="1448" spans="1:1">
      <c r="A1448" s="179"/>
    </row>
    <row r="1449" spans="1:1">
      <c r="A1449" s="179"/>
    </row>
    <row r="1450" spans="1:1">
      <c r="A1450" s="179"/>
    </row>
    <row r="1451" spans="1:1">
      <c r="A1451" s="179"/>
    </row>
    <row r="1452" spans="1:1">
      <c r="A1452" s="179"/>
    </row>
    <row r="1453" spans="1:1">
      <c r="A1453" s="179"/>
    </row>
    <row r="1454" spans="1:1">
      <c r="A1454" s="179"/>
    </row>
    <row r="1455" spans="1:1">
      <c r="A1455" s="179"/>
    </row>
    <row r="1456" spans="1:1">
      <c r="A1456" s="179"/>
    </row>
    <row r="1457" spans="1:1">
      <c r="A1457" s="179"/>
    </row>
    <row r="1458" spans="1:1">
      <c r="A1458" s="179"/>
    </row>
    <row r="1459" spans="1:1">
      <c r="A1459" s="179"/>
    </row>
    <row r="1460" spans="1:1">
      <c r="A1460" s="179"/>
    </row>
    <row r="1461" spans="1:1">
      <c r="A1461" s="179"/>
    </row>
    <row r="1462" spans="1:1">
      <c r="A1462" s="179"/>
    </row>
    <row r="1463" spans="1:1">
      <c r="A1463" s="179"/>
    </row>
    <row r="1464" spans="1:1">
      <c r="A1464" s="179"/>
    </row>
    <row r="1465" spans="1:1">
      <c r="A1465" s="179"/>
    </row>
    <row r="1466" spans="1:1">
      <c r="A1466" s="179"/>
    </row>
    <row r="1467" spans="1:1">
      <c r="A1467" s="179"/>
    </row>
    <row r="1468" spans="1:1">
      <c r="A1468" s="179"/>
    </row>
    <row r="1469" spans="1:1">
      <c r="A1469" s="179"/>
    </row>
    <row r="1470" spans="1:1">
      <c r="A1470" s="179"/>
    </row>
    <row r="1471" spans="1:1">
      <c r="A1471" s="179"/>
    </row>
    <row r="1472" spans="1:1">
      <c r="A1472" s="179"/>
    </row>
    <row r="1473" spans="1:1">
      <c r="A1473" s="179"/>
    </row>
    <row r="1474" spans="1:1">
      <c r="A1474" s="179"/>
    </row>
    <row r="1475" spans="1:1">
      <c r="A1475" s="179"/>
    </row>
    <row r="1476" spans="1:1">
      <c r="A1476" s="179"/>
    </row>
    <row r="1477" spans="1:1">
      <c r="A1477" s="179"/>
    </row>
    <row r="1478" spans="1:1">
      <c r="A1478" s="179"/>
    </row>
    <row r="1479" spans="1:1">
      <c r="A1479" s="179"/>
    </row>
    <row r="1480" spans="1:1">
      <c r="A1480" s="179"/>
    </row>
    <row r="1481" spans="1:1">
      <c r="A1481" s="179"/>
    </row>
    <row r="1482" spans="1:1">
      <c r="A1482" s="179"/>
    </row>
    <row r="1483" spans="1:1">
      <c r="A1483" s="179"/>
    </row>
    <row r="1484" spans="1:1">
      <c r="A1484" s="179"/>
    </row>
    <row r="1485" spans="1:1">
      <c r="A1485" s="179"/>
    </row>
    <row r="1486" spans="1:1">
      <c r="A1486" s="179"/>
    </row>
    <row r="1487" spans="1:1">
      <c r="A1487" s="179"/>
    </row>
    <row r="1488" spans="1:1">
      <c r="A1488" s="179"/>
    </row>
    <row r="1489" spans="1:1">
      <c r="A1489" s="179"/>
    </row>
    <row r="1490" spans="1:1">
      <c r="A1490" s="179"/>
    </row>
    <row r="1491" spans="1:1">
      <c r="A1491" s="179"/>
    </row>
    <row r="1492" spans="1:1">
      <c r="A1492" s="179"/>
    </row>
    <row r="1493" spans="1:1">
      <c r="A1493" s="179"/>
    </row>
    <row r="1494" spans="1:1">
      <c r="A1494" s="179"/>
    </row>
    <row r="1495" spans="1:1">
      <c r="A1495" s="179"/>
    </row>
    <row r="1496" spans="1:1">
      <c r="A1496" s="179"/>
    </row>
    <row r="1497" spans="1:1">
      <c r="A1497" s="179"/>
    </row>
    <row r="1498" spans="1:1">
      <c r="A1498" s="179"/>
    </row>
    <row r="1499" spans="1:1">
      <c r="A1499" s="179"/>
    </row>
    <row r="1500" spans="1:1">
      <c r="A1500" s="179"/>
    </row>
    <row r="1501" spans="1:1">
      <c r="A1501" s="179"/>
    </row>
    <row r="1502" spans="1:1">
      <c r="A1502" s="179"/>
    </row>
    <row r="1503" spans="1:1">
      <c r="A1503" s="179"/>
    </row>
    <row r="1504" spans="1:1">
      <c r="A1504" s="179"/>
    </row>
    <row r="1505" spans="1:1">
      <c r="A1505" s="179"/>
    </row>
    <row r="1506" spans="1:1">
      <c r="A1506" s="179"/>
    </row>
    <row r="1507" spans="1:1">
      <c r="A1507" s="179"/>
    </row>
    <row r="1508" spans="1:1">
      <c r="A1508" s="179"/>
    </row>
    <row r="1509" spans="1:1">
      <c r="A1509" s="179"/>
    </row>
    <row r="1510" spans="1:1">
      <c r="A1510" s="179"/>
    </row>
    <row r="1511" spans="1:1">
      <c r="A1511" s="179"/>
    </row>
    <row r="1512" spans="1:1">
      <c r="A1512" s="179"/>
    </row>
    <row r="1513" spans="1:1">
      <c r="A1513" s="179"/>
    </row>
    <row r="1514" spans="1:1">
      <c r="A1514" s="179"/>
    </row>
    <row r="1515" spans="1:1">
      <c r="A1515" s="179"/>
    </row>
    <row r="1516" spans="1:1">
      <c r="A1516" s="179"/>
    </row>
    <row r="1517" spans="1:1">
      <c r="A1517" s="179"/>
    </row>
    <row r="1518" spans="1:1">
      <c r="A1518" s="179"/>
    </row>
    <row r="1519" spans="1:1">
      <c r="A1519" s="179"/>
    </row>
    <row r="1520" spans="1:1">
      <c r="A1520" s="179"/>
    </row>
    <row r="1521" spans="1:1">
      <c r="A1521" s="179"/>
    </row>
    <row r="1522" spans="1:1">
      <c r="A1522" s="179"/>
    </row>
    <row r="1523" spans="1:1">
      <c r="A1523" s="179"/>
    </row>
    <row r="1524" spans="1:1">
      <c r="A1524" s="179"/>
    </row>
    <row r="1525" spans="1:1">
      <c r="A1525" s="179"/>
    </row>
    <row r="1526" spans="1:1">
      <c r="A1526" s="179"/>
    </row>
    <row r="1527" spans="1:1">
      <c r="A1527" s="179"/>
    </row>
    <row r="1528" spans="1:1">
      <c r="A1528" s="179"/>
    </row>
    <row r="1529" spans="1:1">
      <c r="A1529" s="179"/>
    </row>
    <row r="1530" spans="1:1">
      <c r="A1530" s="179"/>
    </row>
    <row r="1531" spans="1:1">
      <c r="A1531" s="179"/>
    </row>
    <row r="1532" spans="1:1">
      <c r="A1532" s="179"/>
    </row>
    <row r="1533" spans="1:1">
      <c r="A1533" s="179"/>
    </row>
    <row r="1534" spans="1:1">
      <c r="A1534" s="179"/>
    </row>
    <row r="1535" spans="1:1">
      <c r="A1535" s="179"/>
    </row>
    <row r="1536" spans="1:1">
      <c r="A1536" s="179"/>
    </row>
    <row r="1537" spans="1:1">
      <c r="A1537" s="179"/>
    </row>
    <row r="1538" spans="1:1">
      <c r="A1538" s="179"/>
    </row>
    <row r="1539" spans="1:1">
      <c r="A1539" s="179"/>
    </row>
    <row r="1540" spans="1:1">
      <c r="A1540" s="179"/>
    </row>
    <row r="1541" spans="1:1">
      <c r="A1541" s="179"/>
    </row>
    <row r="1542" spans="1:1">
      <c r="A1542" s="179"/>
    </row>
    <row r="1543" spans="1:1">
      <c r="A1543" s="179"/>
    </row>
    <row r="1544" spans="1:1">
      <c r="A1544" s="179"/>
    </row>
    <row r="1545" spans="1:1">
      <c r="A1545" s="179"/>
    </row>
    <row r="1546" spans="1:1">
      <c r="A1546" s="179"/>
    </row>
    <row r="1547" spans="1:1">
      <c r="A1547" s="179"/>
    </row>
    <row r="1548" spans="1:1">
      <c r="A1548" s="179"/>
    </row>
    <row r="1549" spans="1:1">
      <c r="A1549" s="179"/>
    </row>
    <row r="1550" spans="1:1">
      <c r="A1550" s="179"/>
    </row>
    <row r="1551" spans="1:1">
      <c r="A1551" s="179"/>
    </row>
    <row r="1552" spans="1:1">
      <c r="A1552" s="179"/>
    </row>
    <row r="1553" spans="1:1">
      <c r="A1553" s="179"/>
    </row>
    <row r="1554" spans="1:1">
      <c r="A1554" s="179"/>
    </row>
    <row r="1555" spans="1:1">
      <c r="A1555" s="179"/>
    </row>
    <row r="1556" spans="1:1">
      <c r="A1556" s="179"/>
    </row>
    <row r="1557" spans="1:1">
      <c r="A1557" s="179"/>
    </row>
    <row r="1558" spans="1:1">
      <c r="A1558" s="179"/>
    </row>
    <row r="1559" spans="1:1">
      <c r="A1559" s="179"/>
    </row>
    <row r="1560" spans="1:1">
      <c r="A1560" s="179"/>
    </row>
    <row r="1561" spans="1:1">
      <c r="A1561" s="179"/>
    </row>
    <row r="1562" spans="1:1">
      <c r="A1562" s="179"/>
    </row>
    <row r="1563" spans="1:1">
      <c r="A1563" s="179"/>
    </row>
    <row r="1564" spans="1:1">
      <c r="A1564" s="179"/>
    </row>
    <row r="1565" spans="1:1">
      <c r="A1565" s="179"/>
    </row>
    <row r="1566" spans="1:1">
      <c r="A1566" s="179"/>
    </row>
    <row r="1567" spans="1:1">
      <c r="A1567" s="179"/>
    </row>
    <row r="1568" spans="1:1">
      <c r="A1568" s="179"/>
    </row>
    <row r="1569" spans="1:1">
      <c r="A1569" s="179"/>
    </row>
    <row r="1570" spans="1:1">
      <c r="A1570" s="179"/>
    </row>
    <row r="1571" spans="1:1">
      <c r="A1571" s="179"/>
    </row>
    <row r="1572" spans="1:1">
      <c r="A1572" s="179"/>
    </row>
    <row r="1573" spans="1:1">
      <c r="A1573" s="179"/>
    </row>
    <row r="1574" spans="1:1">
      <c r="A1574" s="179"/>
    </row>
    <row r="1575" spans="1:1">
      <c r="A1575" s="179"/>
    </row>
    <row r="1576" spans="1:1">
      <c r="A1576" s="179"/>
    </row>
    <row r="1577" spans="1:1">
      <c r="A1577" s="179"/>
    </row>
    <row r="1578" spans="1:1">
      <c r="A1578" s="179"/>
    </row>
    <row r="1579" spans="1:1">
      <c r="A1579" s="179"/>
    </row>
    <row r="1580" spans="1:1">
      <c r="A1580" s="179"/>
    </row>
    <row r="1581" spans="1:1">
      <c r="A1581" s="179"/>
    </row>
    <row r="1582" spans="1:1">
      <c r="A1582" s="179"/>
    </row>
    <row r="1583" spans="1:1">
      <c r="A1583" s="179"/>
    </row>
    <row r="1584" spans="1:1">
      <c r="A1584" s="179"/>
    </row>
    <row r="1585" spans="1:1">
      <c r="A1585" s="179"/>
    </row>
    <row r="1586" spans="1:1">
      <c r="A1586" s="179"/>
    </row>
    <row r="1587" spans="1:1">
      <c r="A1587" s="179"/>
    </row>
    <row r="1588" spans="1:1">
      <c r="A1588" s="179"/>
    </row>
    <row r="1589" spans="1:1">
      <c r="A1589" s="179"/>
    </row>
    <row r="1590" spans="1:1">
      <c r="A1590" s="179"/>
    </row>
    <row r="1591" spans="1:1">
      <c r="A1591" s="179"/>
    </row>
    <row r="1592" spans="1:1">
      <c r="A1592" s="179"/>
    </row>
    <row r="1593" spans="1:1">
      <c r="A1593" s="179"/>
    </row>
    <row r="1594" spans="1:1">
      <c r="A1594" s="179"/>
    </row>
    <row r="1595" spans="1:1">
      <c r="A1595" s="179"/>
    </row>
    <row r="1596" spans="1:1">
      <c r="A1596" s="179"/>
    </row>
    <row r="1597" spans="1:1">
      <c r="A1597" s="179"/>
    </row>
    <row r="1598" spans="1:1">
      <c r="A1598" s="179"/>
    </row>
    <row r="1599" spans="1:1">
      <c r="A1599" s="179"/>
    </row>
    <row r="1600" spans="1:1">
      <c r="A1600" s="179"/>
    </row>
    <row r="1601" spans="1:1">
      <c r="A1601" s="179"/>
    </row>
    <row r="1602" spans="1:1">
      <c r="A1602" s="179"/>
    </row>
    <row r="1603" spans="1:1">
      <c r="A1603" s="179"/>
    </row>
    <row r="1604" spans="1:1">
      <c r="A1604" s="179"/>
    </row>
    <row r="1605" spans="1:1">
      <c r="A1605" s="179"/>
    </row>
    <row r="1606" spans="1:1">
      <c r="A1606" s="179"/>
    </row>
    <row r="1607" spans="1:1">
      <c r="A1607" s="179"/>
    </row>
    <row r="1608" spans="1:1">
      <c r="A1608" s="179"/>
    </row>
    <row r="1609" spans="1:1">
      <c r="A1609" s="179"/>
    </row>
    <row r="1610" spans="1:1">
      <c r="A1610" s="179"/>
    </row>
    <row r="1611" spans="1:1">
      <c r="A1611" s="179"/>
    </row>
    <row r="1612" spans="1:1">
      <c r="A1612" s="179"/>
    </row>
    <row r="1613" spans="1:1">
      <c r="A1613" s="179"/>
    </row>
    <row r="1614" spans="1:1">
      <c r="A1614" s="179"/>
    </row>
    <row r="1615" spans="1:1">
      <c r="A1615" s="179"/>
    </row>
    <row r="1616" spans="1:1">
      <c r="A1616" s="179"/>
    </row>
    <row r="1617" spans="1:1">
      <c r="A1617" s="179"/>
    </row>
    <row r="1618" spans="1:1">
      <c r="A1618" s="179"/>
    </row>
    <row r="1619" spans="1:1">
      <c r="A1619" s="179"/>
    </row>
    <row r="1620" spans="1:1">
      <c r="A1620" s="179"/>
    </row>
    <row r="1621" spans="1:1">
      <c r="A1621" s="179"/>
    </row>
    <row r="1622" spans="1:1">
      <c r="A1622" s="179"/>
    </row>
    <row r="1623" spans="1:1">
      <c r="A1623" s="179"/>
    </row>
    <row r="1624" spans="1:1">
      <c r="A1624" s="179"/>
    </row>
    <row r="1625" spans="1:1">
      <c r="A1625" s="179"/>
    </row>
    <row r="1626" spans="1:1">
      <c r="A1626" s="179"/>
    </row>
    <row r="1627" spans="1:1">
      <c r="A1627" s="179"/>
    </row>
    <row r="1628" spans="1:1">
      <c r="A1628" s="179"/>
    </row>
    <row r="1629" spans="1:1">
      <c r="A1629" s="179"/>
    </row>
    <row r="1630" spans="1:1">
      <c r="A1630" s="179"/>
    </row>
    <row r="1631" spans="1:1">
      <c r="A1631" s="179"/>
    </row>
    <row r="1632" spans="1:1">
      <c r="A1632" s="179"/>
    </row>
    <row r="1633" spans="1:1">
      <c r="A1633" s="179"/>
    </row>
    <row r="1634" spans="1:1">
      <c r="A1634" s="179"/>
    </row>
    <row r="1635" spans="1:1">
      <c r="A1635" s="179"/>
    </row>
    <row r="1636" spans="1:1">
      <c r="A1636" s="179"/>
    </row>
    <row r="1637" spans="1:1">
      <c r="A1637" s="179"/>
    </row>
    <row r="1638" spans="1:1">
      <c r="A1638" s="179"/>
    </row>
    <row r="1639" spans="1:1">
      <c r="A1639" s="179"/>
    </row>
    <row r="1640" spans="1:1">
      <c r="A1640" s="179"/>
    </row>
    <row r="1641" spans="1:1">
      <c r="A1641" s="179"/>
    </row>
    <row r="1642" spans="1:1">
      <c r="A1642" s="179"/>
    </row>
    <row r="1643" spans="1:1">
      <c r="A1643" s="179"/>
    </row>
    <row r="1644" spans="1:1">
      <c r="A1644" s="179"/>
    </row>
    <row r="1645" spans="1:1">
      <c r="A1645" s="179"/>
    </row>
    <row r="1646" spans="1:1">
      <c r="A1646" s="179"/>
    </row>
    <row r="1647" spans="1:1">
      <c r="A1647" s="179"/>
    </row>
    <row r="1648" spans="1:1">
      <c r="A1648" s="179"/>
    </row>
    <row r="1649" spans="1:1">
      <c r="A1649" s="179"/>
    </row>
    <row r="1650" spans="1:1">
      <c r="A1650" s="179"/>
    </row>
    <row r="1651" spans="1:1">
      <c r="A1651" s="179"/>
    </row>
    <row r="1652" spans="1:1">
      <c r="A1652" s="179"/>
    </row>
    <row r="1653" spans="1:1">
      <c r="A1653" s="179"/>
    </row>
    <row r="1654" spans="1:1">
      <c r="A1654" s="179"/>
    </row>
    <row r="1655" spans="1:1">
      <c r="A1655" s="179"/>
    </row>
    <row r="1656" spans="1:1">
      <c r="A1656" s="179"/>
    </row>
    <row r="1657" spans="1:1">
      <c r="A1657" s="179"/>
    </row>
    <row r="1658" spans="1:1">
      <c r="A1658" s="179"/>
    </row>
    <row r="1659" spans="1:1">
      <c r="A1659" s="179"/>
    </row>
    <row r="1660" spans="1:1">
      <c r="A1660" s="179"/>
    </row>
    <row r="1661" spans="1:1">
      <c r="A1661" s="179"/>
    </row>
    <row r="1662" spans="1:1">
      <c r="A1662" s="179"/>
    </row>
    <row r="1663" spans="1:1">
      <c r="A1663" s="179"/>
    </row>
    <row r="1664" spans="1:1">
      <c r="A1664" s="179"/>
    </row>
    <row r="1665" spans="1:1">
      <c r="A1665" s="179"/>
    </row>
    <row r="1666" spans="1:1">
      <c r="A1666" s="179"/>
    </row>
    <row r="1667" spans="1:1">
      <c r="A1667" s="179"/>
    </row>
    <row r="1668" spans="1:1">
      <c r="A1668" s="179"/>
    </row>
    <row r="1669" spans="1:1">
      <c r="A1669" s="179"/>
    </row>
    <row r="1670" spans="1:1">
      <c r="A1670" s="179"/>
    </row>
    <row r="1671" spans="1:1">
      <c r="A1671" s="179"/>
    </row>
    <row r="1672" spans="1:1">
      <c r="A1672" s="179"/>
    </row>
    <row r="1673" spans="1:1">
      <c r="A1673" s="179"/>
    </row>
    <row r="1674" spans="1:1">
      <c r="A1674" s="179"/>
    </row>
    <row r="1675" spans="1:1">
      <c r="A1675" s="179"/>
    </row>
    <row r="1676" spans="1:1">
      <c r="A1676" s="179"/>
    </row>
    <row r="1677" spans="1:1">
      <c r="A1677" s="179"/>
    </row>
    <row r="1678" spans="1:1">
      <c r="A1678" s="179"/>
    </row>
    <row r="1679" spans="1:1">
      <c r="A1679" s="179"/>
    </row>
    <row r="1680" spans="1:1">
      <c r="A1680" s="179"/>
    </row>
    <row r="1681" spans="1:1">
      <c r="A1681" s="179"/>
    </row>
    <row r="1682" spans="1:1">
      <c r="A1682" s="179"/>
    </row>
    <row r="1683" spans="1:1">
      <c r="A1683" s="179"/>
    </row>
    <row r="1684" spans="1:1">
      <c r="A1684" s="179"/>
    </row>
    <row r="1685" spans="1:1">
      <c r="A1685" s="179"/>
    </row>
    <row r="1686" spans="1:1">
      <c r="A1686" s="179"/>
    </row>
    <row r="1687" spans="1:1">
      <c r="A1687" s="179"/>
    </row>
    <row r="1688" spans="1:1">
      <c r="A1688" s="179"/>
    </row>
    <row r="1689" spans="1:1">
      <c r="A1689" s="179"/>
    </row>
    <row r="1690" spans="1:1">
      <c r="A1690" s="179"/>
    </row>
    <row r="1691" spans="1:1">
      <c r="A1691" s="179"/>
    </row>
    <row r="1692" spans="1:1">
      <c r="A1692" s="179"/>
    </row>
    <row r="1693" spans="1:1">
      <c r="A1693" s="179"/>
    </row>
    <row r="1694" spans="1:1">
      <c r="A1694" s="179"/>
    </row>
    <row r="1695" spans="1:1">
      <c r="A1695" s="179"/>
    </row>
    <row r="1696" spans="1:1">
      <c r="A1696" s="179"/>
    </row>
    <row r="1697" spans="1:1">
      <c r="A1697" s="179"/>
    </row>
    <row r="1698" spans="1:1">
      <c r="A1698" s="179"/>
    </row>
    <row r="1699" spans="1:1">
      <c r="A1699" s="179"/>
    </row>
    <row r="1700" spans="1:1">
      <c r="A1700" s="179"/>
    </row>
    <row r="1701" spans="1:1">
      <c r="A1701" s="179"/>
    </row>
    <row r="1702" spans="1:1">
      <c r="A1702" s="179"/>
    </row>
    <row r="1703" spans="1:1">
      <c r="A1703" s="179"/>
    </row>
    <row r="1704" spans="1:1">
      <c r="A1704" s="179"/>
    </row>
    <row r="1705" spans="1:1">
      <c r="A1705" s="179"/>
    </row>
    <row r="1706" spans="1:1">
      <c r="A1706" s="179"/>
    </row>
    <row r="1707" spans="1:1">
      <c r="A1707" s="179"/>
    </row>
    <row r="1708" spans="1:1">
      <c r="A1708" s="179"/>
    </row>
    <row r="1709" spans="1:1">
      <c r="A1709" s="179"/>
    </row>
    <row r="1710" spans="1:1">
      <c r="A1710" s="179"/>
    </row>
    <row r="1711" spans="1:1">
      <c r="A1711" s="179"/>
    </row>
    <row r="1712" spans="1:1">
      <c r="A1712" s="179"/>
    </row>
    <row r="1713" spans="1:1">
      <c r="A1713" s="179"/>
    </row>
    <row r="1714" spans="1:1">
      <c r="A1714" s="179"/>
    </row>
    <row r="1715" spans="1:1">
      <c r="A1715" s="179"/>
    </row>
    <row r="1716" spans="1:1">
      <c r="A1716" s="179"/>
    </row>
    <row r="1717" spans="1:1">
      <c r="A1717" s="179"/>
    </row>
    <row r="1718" spans="1:1">
      <c r="A1718" s="179"/>
    </row>
    <row r="1719" spans="1:1">
      <c r="A1719" s="179"/>
    </row>
    <row r="1720" spans="1:1">
      <c r="A1720" s="179"/>
    </row>
    <row r="1721" spans="1:1">
      <c r="A1721" s="179"/>
    </row>
    <row r="1722" spans="1:1">
      <c r="A1722" s="179"/>
    </row>
    <row r="1723" spans="1:1">
      <c r="A1723" s="179"/>
    </row>
    <row r="1724" spans="1:1">
      <c r="A1724" s="179"/>
    </row>
    <row r="1725" spans="1:1">
      <c r="A1725" s="179"/>
    </row>
    <row r="1726" spans="1:1">
      <c r="A1726" s="179"/>
    </row>
    <row r="1727" spans="1:1">
      <c r="A1727" s="179"/>
    </row>
    <row r="1728" spans="1:1">
      <c r="A1728" s="179"/>
    </row>
    <row r="1729" spans="1:1">
      <c r="A1729" s="179"/>
    </row>
    <row r="1730" spans="1:1">
      <c r="A1730" s="179"/>
    </row>
    <row r="1731" spans="1:1">
      <c r="A1731" s="179"/>
    </row>
    <row r="1732" spans="1:1">
      <c r="A1732" s="179"/>
    </row>
    <row r="1733" spans="1:1">
      <c r="A1733" s="179"/>
    </row>
    <row r="1734" spans="1:1">
      <c r="A1734" s="179"/>
    </row>
    <row r="1735" spans="1:1">
      <c r="A1735" s="179"/>
    </row>
    <row r="1736" spans="1:1">
      <c r="A1736" s="179"/>
    </row>
    <row r="1737" spans="1:1">
      <c r="A1737" s="179"/>
    </row>
    <row r="1738" spans="1:1">
      <c r="A1738" s="179"/>
    </row>
    <row r="1739" spans="1:1">
      <c r="A1739" s="179"/>
    </row>
    <row r="1740" spans="1:1">
      <c r="A1740" s="179"/>
    </row>
    <row r="1741" spans="1:1">
      <c r="A1741" s="179"/>
    </row>
    <row r="1742" spans="1:1">
      <c r="A1742" s="179"/>
    </row>
    <row r="1743" spans="1:1">
      <c r="A1743" s="179"/>
    </row>
    <row r="1744" spans="1:1">
      <c r="A1744" s="179"/>
    </row>
    <row r="1745" spans="1:1">
      <c r="A1745" s="179"/>
    </row>
    <row r="1746" spans="1:1">
      <c r="A1746" s="179"/>
    </row>
    <row r="1747" spans="1:1">
      <c r="A1747" s="179"/>
    </row>
    <row r="1748" spans="1:1">
      <c r="A1748" s="179"/>
    </row>
    <row r="1749" spans="1:1">
      <c r="A1749" s="179"/>
    </row>
    <row r="1750" spans="1:1">
      <c r="A1750" s="179"/>
    </row>
    <row r="1751" spans="1:1">
      <c r="A1751" s="179"/>
    </row>
    <row r="1752" spans="1:1">
      <c r="A1752" s="179"/>
    </row>
    <row r="1753" spans="1:1">
      <c r="A1753" s="179"/>
    </row>
    <row r="1754" spans="1:1">
      <c r="A1754" s="179"/>
    </row>
    <row r="1755" spans="1:1">
      <c r="A1755" s="179"/>
    </row>
    <row r="1756" spans="1:1">
      <c r="A1756" s="179"/>
    </row>
    <row r="1757" spans="1:1">
      <c r="A1757" s="179"/>
    </row>
    <row r="1758" spans="1:1">
      <c r="A1758" s="179"/>
    </row>
    <row r="1759" spans="1:1">
      <c r="A1759" s="179"/>
    </row>
    <row r="1760" spans="1:1">
      <c r="A1760" s="179"/>
    </row>
    <row r="1761" spans="1:1">
      <c r="A1761" s="179"/>
    </row>
    <row r="1762" spans="1:1">
      <c r="A1762" s="179"/>
    </row>
    <row r="1763" spans="1:1">
      <c r="A1763" s="179"/>
    </row>
    <row r="1764" spans="1:1">
      <c r="A1764" s="179"/>
    </row>
    <row r="1765" spans="1:1">
      <c r="A1765" s="179"/>
    </row>
    <row r="1766" spans="1:1">
      <c r="A1766" s="179"/>
    </row>
    <row r="1767" spans="1:1">
      <c r="A1767" s="179"/>
    </row>
    <row r="1768" spans="1:1">
      <c r="A1768" s="179"/>
    </row>
    <row r="1769" spans="1:1">
      <c r="A1769" s="179"/>
    </row>
    <row r="1770" spans="1:1">
      <c r="A1770" s="179"/>
    </row>
    <row r="1771" spans="1:1">
      <c r="A1771" s="179"/>
    </row>
    <row r="1772" spans="1:1">
      <c r="A1772" s="179"/>
    </row>
    <row r="1773" spans="1:1">
      <c r="A1773" s="179"/>
    </row>
    <row r="1774" spans="1:1">
      <c r="A1774" s="179"/>
    </row>
    <row r="1775" spans="1:1">
      <c r="A1775" s="179"/>
    </row>
    <row r="1776" spans="1:1">
      <c r="A1776" s="179"/>
    </row>
    <row r="1777" spans="1:1">
      <c r="A1777" s="179"/>
    </row>
    <row r="1778" spans="1:1">
      <c r="A1778" s="179"/>
    </row>
    <row r="1779" spans="1:1">
      <c r="A1779" s="179"/>
    </row>
    <row r="1780" spans="1:1">
      <c r="A1780" s="179"/>
    </row>
    <row r="1781" spans="1:1">
      <c r="A1781" s="179"/>
    </row>
    <row r="1782" spans="1:1">
      <c r="A1782" s="179"/>
    </row>
    <row r="1783" spans="1:1">
      <c r="A1783" s="179"/>
    </row>
    <row r="1784" spans="1:1">
      <c r="A1784" s="179"/>
    </row>
    <row r="1785" spans="1:1">
      <c r="A1785" s="179"/>
    </row>
    <row r="1786" spans="1:1">
      <c r="A1786" s="179"/>
    </row>
    <row r="1787" spans="1:1">
      <c r="A1787" s="179"/>
    </row>
    <row r="1788" spans="1:1">
      <c r="A1788" s="179"/>
    </row>
    <row r="1789" spans="1:1">
      <c r="A1789" s="179"/>
    </row>
    <row r="1790" spans="1:1">
      <c r="A1790" s="179"/>
    </row>
    <row r="1791" spans="1:1">
      <c r="A1791" s="179"/>
    </row>
    <row r="1792" spans="1:1">
      <c r="A1792" s="179"/>
    </row>
    <row r="1793" spans="1:1">
      <c r="A1793" s="179"/>
    </row>
    <row r="1794" spans="1:1">
      <c r="A1794" s="179"/>
    </row>
    <row r="1795" spans="1:1">
      <c r="A1795" s="179"/>
    </row>
    <row r="1796" spans="1:1">
      <c r="A1796" s="179"/>
    </row>
    <row r="1797" spans="1:1">
      <c r="A1797" s="179"/>
    </row>
    <row r="1798" spans="1:1">
      <c r="A1798" s="179"/>
    </row>
    <row r="1799" spans="1:1">
      <c r="A1799" s="179"/>
    </row>
    <row r="1800" spans="1:1">
      <c r="A1800" s="179"/>
    </row>
    <row r="1801" spans="1:1">
      <c r="A1801" s="179"/>
    </row>
    <row r="1802" spans="1:1">
      <c r="A1802" s="179"/>
    </row>
    <row r="1803" spans="1:1">
      <c r="A1803" s="179"/>
    </row>
    <row r="1804" spans="1:1">
      <c r="A1804" s="179"/>
    </row>
    <row r="1805" spans="1:1">
      <c r="A1805" s="179"/>
    </row>
    <row r="1806" spans="1:1">
      <c r="A1806" s="179"/>
    </row>
    <row r="1807" spans="1:1">
      <c r="A1807" s="179"/>
    </row>
    <row r="1808" spans="1:1">
      <c r="A1808" s="179"/>
    </row>
    <row r="1809" spans="1:1">
      <c r="A1809" s="179"/>
    </row>
    <row r="1810" spans="1:1">
      <c r="A1810" s="179"/>
    </row>
    <row r="1811" spans="1:1">
      <c r="A1811" s="179"/>
    </row>
    <row r="1812" spans="1:1">
      <c r="A1812" s="179"/>
    </row>
    <row r="1813" spans="1:1">
      <c r="A1813" s="179"/>
    </row>
    <row r="1814" spans="1:1">
      <c r="A1814" s="179"/>
    </row>
    <row r="1815" spans="1:1">
      <c r="A1815" s="179"/>
    </row>
    <row r="1816" spans="1:1">
      <c r="A1816" s="179"/>
    </row>
    <row r="1817" spans="1:1">
      <c r="A1817" s="179"/>
    </row>
    <row r="1818" spans="1:1">
      <c r="A1818" s="179"/>
    </row>
    <row r="1819" spans="1:1">
      <c r="A1819" s="179"/>
    </row>
    <row r="1820" spans="1:1">
      <c r="A1820" s="179"/>
    </row>
    <row r="1821" spans="1:1">
      <c r="A1821" s="179"/>
    </row>
    <row r="1822" spans="1:1">
      <c r="A1822" s="179"/>
    </row>
    <row r="1823" spans="1:1">
      <c r="A1823" s="179"/>
    </row>
    <row r="1824" spans="1:1">
      <c r="A1824" s="179"/>
    </row>
    <row r="1825" spans="1:1">
      <c r="A1825" s="179"/>
    </row>
    <row r="1826" spans="1:1">
      <c r="A1826" s="179"/>
    </row>
    <row r="1827" spans="1:1">
      <c r="A1827" s="179"/>
    </row>
    <row r="1828" spans="1:1">
      <c r="A1828" s="179"/>
    </row>
    <row r="1829" spans="1:1">
      <c r="A1829" s="179"/>
    </row>
    <row r="1830" spans="1:1">
      <c r="A1830" s="179"/>
    </row>
    <row r="1831" spans="1:1">
      <c r="A1831" s="179"/>
    </row>
    <row r="1832" spans="1:1">
      <c r="A1832" s="179"/>
    </row>
    <row r="1833" spans="1:1">
      <c r="A1833" s="179"/>
    </row>
    <row r="1834" spans="1:1">
      <c r="A1834" s="179"/>
    </row>
    <row r="1835" spans="1:1">
      <c r="A1835" s="179"/>
    </row>
    <row r="1836" spans="1:1">
      <c r="A1836" s="179"/>
    </row>
    <row r="1837" spans="1:1">
      <c r="A1837" s="179"/>
    </row>
    <row r="1838" spans="1:1">
      <c r="A1838" s="179"/>
    </row>
    <row r="1839" spans="1:1">
      <c r="A1839" s="179"/>
    </row>
    <row r="1840" spans="1:1">
      <c r="A1840" s="179"/>
    </row>
    <row r="1841" spans="1:1">
      <c r="A1841" s="179"/>
    </row>
    <row r="1842" spans="1:1">
      <c r="A1842" s="179"/>
    </row>
    <row r="1843" spans="1:1">
      <c r="A1843" s="179"/>
    </row>
    <row r="1844" spans="1:1">
      <c r="A1844" s="179"/>
    </row>
    <row r="1845" spans="1:1">
      <c r="A1845" s="179"/>
    </row>
    <row r="1846" spans="1:1">
      <c r="A1846" s="179"/>
    </row>
    <row r="1847" spans="1:1">
      <c r="A1847" s="179"/>
    </row>
    <row r="1848" spans="1:1">
      <c r="A1848" s="179"/>
    </row>
    <row r="1849" spans="1:1">
      <c r="A1849" s="179"/>
    </row>
    <row r="1850" spans="1:1">
      <c r="A1850" s="179"/>
    </row>
    <row r="1851" spans="1:1">
      <c r="A1851" s="179"/>
    </row>
    <row r="1852" spans="1:1">
      <c r="A1852" s="179"/>
    </row>
    <row r="1853" spans="1:1">
      <c r="A1853" s="179"/>
    </row>
    <row r="1854" spans="1:1">
      <c r="A1854" s="179"/>
    </row>
    <row r="1855" spans="1:1">
      <c r="A1855" s="179"/>
    </row>
    <row r="1856" spans="1:1">
      <c r="A1856" s="179"/>
    </row>
    <row r="1857" spans="1:1">
      <c r="A1857" s="179"/>
    </row>
    <row r="1858" spans="1:1">
      <c r="A1858" s="179"/>
    </row>
    <row r="1859" spans="1:1">
      <c r="A1859" s="179"/>
    </row>
    <row r="1860" spans="1:1">
      <c r="A1860" s="179"/>
    </row>
    <row r="1861" spans="1:1">
      <c r="A1861" s="179"/>
    </row>
    <row r="1862" spans="1:1">
      <c r="A1862" s="179"/>
    </row>
    <row r="1863" spans="1:1">
      <c r="A1863" s="179"/>
    </row>
    <row r="1864" spans="1:1">
      <c r="A1864" s="179"/>
    </row>
    <row r="1865" spans="1:1">
      <c r="A1865" s="179"/>
    </row>
    <row r="1866" spans="1:1">
      <c r="A1866" s="179"/>
    </row>
    <row r="1867" spans="1:1">
      <c r="A1867" s="179"/>
    </row>
    <row r="1868" spans="1:1">
      <c r="A1868" s="179"/>
    </row>
    <row r="1869" spans="1:1">
      <c r="A1869" s="179"/>
    </row>
    <row r="1870" spans="1:1">
      <c r="A1870" s="179"/>
    </row>
    <row r="1871" spans="1:1">
      <c r="A1871" s="179"/>
    </row>
    <row r="1872" spans="1:1">
      <c r="A1872" s="179"/>
    </row>
    <row r="1873" spans="1:1">
      <c r="A1873" s="179"/>
    </row>
    <row r="1874" spans="1:1">
      <c r="A1874" s="179"/>
    </row>
    <row r="1875" spans="1:1">
      <c r="A1875" s="179"/>
    </row>
    <row r="1876" spans="1:1">
      <c r="A1876" s="179"/>
    </row>
    <row r="1877" spans="1:1">
      <c r="A1877" s="179"/>
    </row>
    <row r="1878" spans="1:1">
      <c r="A1878" s="179"/>
    </row>
    <row r="1879" spans="1:1">
      <c r="A1879" s="179"/>
    </row>
    <row r="1880" spans="1:1">
      <c r="A1880" s="179"/>
    </row>
    <row r="1881" spans="1:1">
      <c r="A1881" s="179"/>
    </row>
    <row r="1882" spans="1:1">
      <c r="A1882" s="179"/>
    </row>
    <row r="1883" spans="1:1">
      <c r="A1883" s="179"/>
    </row>
    <row r="1884" spans="1:1">
      <c r="A1884" s="179"/>
    </row>
    <row r="1885" spans="1:1">
      <c r="A1885" s="179"/>
    </row>
    <row r="1886" spans="1:1">
      <c r="A1886" s="179"/>
    </row>
    <row r="1887" spans="1:1">
      <c r="A1887" s="179"/>
    </row>
    <row r="1888" spans="1:1">
      <c r="A1888" s="179"/>
    </row>
    <row r="1889" spans="1:1">
      <c r="A1889" s="179"/>
    </row>
    <row r="1890" spans="1:1">
      <c r="A1890" s="179"/>
    </row>
    <row r="1891" spans="1:1">
      <c r="A1891" s="179"/>
    </row>
    <row r="1892" spans="1:1">
      <c r="A1892" s="179"/>
    </row>
    <row r="1893" spans="1:1">
      <c r="A1893" s="179"/>
    </row>
    <row r="1894" spans="1:1">
      <c r="A1894" s="179"/>
    </row>
    <row r="1895" spans="1:1">
      <c r="A1895" s="179"/>
    </row>
    <row r="1896" spans="1:1">
      <c r="A1896" s="179"/>
    </row>
    <row r="1897" spans="1:1">
      <c r="A1897" s="179"/>
    </row>
    <row r="1898" spans="1:1">
      <c r="A1898" s="179"/>
    </row>
    <row r="1899" spans="1:1">
      <c r="A1899" s="179"/>
    </row>
    <row r="1900" spans="1:1">
      <c r="A1900" s="179"/>
    </row>
    <row r="1901" spans="1:1">
      <c r="A1901" s="179"/>
    </row>
    <row r="1902" spans="1:1">
      <c r="A1902" s="179"/>
    </row>
    <row r="1903" spans="1:1">
      <c r="A1903" s="179"/>
    </row>
    <row r="1904" spans="1:1">
      <c r="A1904" s="179"/>
    </row>
    <row r="1905" spans="1:1">
      <c r="A1905" s="179"/>
    </row>
    <row r="1906" spans="1:1">
      <c r="A1906" s="179"/>
    </row>
    <row r="1907" spans="1:1">
      <c r="A1907" s="179"/>
    </row>
    <row r="1908" spans="1:1">
      <c r="A1908" s="179"/>
    </row>
    <row r="1909" spans="1:1">
      <c r="A1909" s="179"/>
    </row>
    <row r="1910" spans="1:1">
      <c r="A1910" s="179"/>
    </row>
    <row r="1911" spans="1:1">
      <c r="A1911" s="179"/>
    </row>
    <row r="1912" spans="1:1">
      <c r="A1912" s="179"/>
    </row>
    <row r="1913" spans="1:1">
      <c r="A1913" s="179"/>
    </row>
    <row r="1914" spans="1:1">
      <c r="A1914" s="179"/>
    </row>
    <row r="1915" spans="1:1">
      <c r="A1915" s="179"/>
    </row>
    <row r="1916" spans="1:1">
      <c r="A1916" s="179"/>
    </row>
    <row r="1917" spans="1:1">
      <c r="A1917" s="179"/>
    </row>
    <row r="1918" spans="1:1">
      <c r="A1918" s="179"/>
    </row>
    <row r="1919" spans="1:1">
      <c r="A1919" s="179"/>
    </row>
    <row r="1920" spans="1:1">
      <c r="A1920" s="179"/>
    </row>
    <row r="1921" spans="1:1">
      <c r="A1921" s="179"/>
    </row>
    <row r="1922" spans="1:1">
      <c r="A1922" s="179"/>
    </row>
    <row r="1923" spans="1:1">
      <c r="A1923" s="179"/>
    </row>
    <row r="1924" spans="1:1">
      <c r="A1924" s="179"/>
    </row>
    <row r="1925" spans="1:1">
      <c r="A1925" s="179"/>
    </row>
    <row r="1926" spans="1:1">
      <c r="A1926" s="179"/>
    </row>
    <row r="1927" spans="1:1">
      <c r="A1927" s="179"/>
    </row>
    <row r="1928" spans="1:1">
      <c r="A1928" s="179"/>
    </row>
    <row r="1929" spans="1:1">
      <c r="A1929" s="179"/>
    </row>
    <row r="1930" spans="1:1">
      <c r="A1930" s="179"/>
    </row>
    <row r="1931" spans="1:1">
      <c r="A1931" s="179"/>
    </row>
    <row r="1932" spans="1:1">
      <c r="A1932" s="179"/>
    </row>
    <row r="1933" spans="1:1">
      <c r="A1933" s="179"/>
    </row>
    <row r="1934" spans="1:1">
      <c r="A1934" s="179"/>
    </row>
    <row r="1935" spans="1:1">
      <c r="A1935" s="179"/>
    </row>
    <row r="1936" spans="1:1">
      <c r="A1936" s="179"/>
    </row>
    <row r="1937" spans="1:1">
      <c r="A1937" s="179"/>
    </row>
    <row r="1938" spans="1:1">
      <c r="A1938" s="179"/>
    </row>
    <row r="1939" spans="1:1">
      <c r="A1939" s="179"/>
    </row>
    <row r="1940" spans="1:1">
      <c r="A1940" s="179"/>
    </row>
    <row r="1941" spans="1:1">
      <c r="A1941" s="179"/>
    </row>
    <row r="1942" spans="1:1">
      <c r="A1942" s="179"/>
    </row>
    <row r="1943" spans="1:1">
      <c r="A1943" s="179"/>
    </row>
    <row r="1944" spans="1:1">
      <c r="A1944" s="179"/>
    </row>
    <row r="1945" spans="1:1">
      <c r="A1945" s="179"/>
    </row>
    <row r="1946" spans="1:1">
      <c r="A1946" s="179"/>
    </row>
    <row r="1947" spans="1:1">
      <c r="A1947" s="179"/>
    </row>
    <row r="1948" spans="1:1">
      <c r="A1948" s="179"/>
    </row>
    <row r="1949" spans="1:1">
      <c r="A1949" s="179"/>
    </row>
    <row r="1950" spans="1:1">
      <c r="A1950" s="179"/>
    </row>
    <row r="1951" spans="1:1">
      <c r="A1951" s="179"/>
    </row>
    <row r="1952" spans="1:1">
      <c r="A1952" s="179"/>
    </row>
    <row r="1953" spans="1:1">
      <c r="A1953" s="179"/>
    </row>
    <row r="1954" spans="1:1">
      <c r="A1954" s="179"/>
    </row>
    <row r="1955" spans="1:1">
      <c r="A1955" s="179"/>
    </row>
    <row r="1956" spans="1:1">
      <c r="A1956" s="179"/>
    </row>
    <row r="1957" spans="1:1">
      <c r="A1957" s="179"/>
    </row>
    <row r="1958" spans="1:1">
      <c r="A1958" s="179"/>
    </row>
    <row r="1959" spans="1:1">
      <c r="A1959" s="179"/>
    </row>
    <row r="1960" spans="1:1">
      <c r="A1960" s="179"/>
    </row>
    <row r="1961" spans="1:1">
      <c r="A1961" s="179"/>
    </row>
    <row r="1962" spans="1:1">
      <c r="A1962" s="179"/>
    </row>
    <row r="1963" spans="1:1">
      <c r="A1963" s="179"/>
    </row>
    <row r="1964" spans="1:1">
      <c r="A1964" s="179"/>
    </row>
    <row r="1965" spans="1:1">
      <c r="A1965" s="179"/>
    </row>
    <row r="1966" spans="1:1">
      <c r="A1966" s="179"/>
    </row>
    <row r="1967" spans="1:1">
      <c r="A1967" s="179"/>
    </row>
    <row r="1968" spans="1:1">
      <c r="A1968" s="179"/>
    </row>
    <row r="1969" spans="1:1">
      <c r="A1969" s="179"/>
    </row>
    <row r="1970" spans="1:1">
      <c r="A1970" s="179"/>
    </row>
    <row r="1971" spans="1:1">
      <c r="A1971" s="179"/>
    </row>
    <row r="1972" spans="1:1">
      <c r="A1972" s="179"/>
    </row>
    <row r="1973" spans="1:1">
      <c r="A1973" s="179"/>
    </row>
    <row r="1974" spans="1:1">
      <c r="A1974" s="179"/>
    </row>
    <row r="1975" spans="1:1">
      <c r="A1975" s="179"/>
    </row>
    <row r="1976" spans="1:1">
      <c r="A1976" s="179"/>
    </row>
    <row r="1977" spans="1:1">
      <c r="A1977" s="179"/>
    </row>
    <row r="1978" spans="1:1">
      <c r="A1978" s="179"/>
    </row>
    <row r="1979" spans="1:1">
      <c r="A1979" s="179"/>
    </row>
    <row r="1980" spans="1:1">
      <c r="A1980" s="179"/>
    </row>
    <row r="1981" spans="1:1">
      <c r="A1981" s="179"/>
    </row>
    <row r="1982" spans="1:1">
      <c r="A1982" s="179"/>
    </row>
    <row r="1983" spans="1:1">
      <c r="A1983" s="179"/>
    </row>
    <row r="1984" spans="1:1">
      <c r="A1984" s="179"/>
    </row>
    <row r="1985" spans="1:1">
      <c r="A1985" s="179"/>
    </row>
    <row r="1986" spans="1:1">
      <c r="A1986" s="179"/>
    </row>
    <row r="1987" spans="1:1">
      <c r="A1987" s="179"/>
    </row>
    <row r="1988" spans="1:1">
      <c r="A1988" s="179"/>
    </row>
    <row r="1989" spans="1:1">
      <c r="A1989" s="179"/>
    </row>
    <row r="1990" spans="1:1">
      <c r="A1990" s="179"/>
    </row>
    <row r="1991" spans="1:1">
      <c r="A1991" s="179"/>
    </row>
    <row r="1992" spans="1:1">
      <c r="A1992" s="179"/>
    </row>
    <row r="1993" spans="1:1">
      <c r="A1993" s="179"/>
    </row>
    <row r="1994" spans="1:1">
      <c r="A1994" s="179"/>
    </row>
    <row r="1995" spans="1:1">
      <c r="A1995" s="179"/>
    </row>
    <row r="1996" spans="1:1">
      <c r="A1996" s="179"/>
    </row>
    <row r="1997" spans="1:1">
      <c r="A1997" s="179"/>
    </row>
    <row r="1998" spans="1:1">
      <c r="A1998" s="179"/>
    </row>
    <row r="1999" spans="1:1">
      <c r="A1999" s="179"/>
    </row>
    <row r="2000" spans="1:1">
      <c r="A2000" s="179"/>
    </row>
    <row r="2001" spans="1:1">
      <c r="A2001" s="179"/>
    </row>
    <row r="2002" spans="1:1">
      <c r="A2002" s="179"/>
    </row>
    <row r="2003" spans="1:1">
      <c r="A2003" s="179"/>
    </row>
    <row r="2004" spans="1:1">
      <c r="A2004" s="179"/>
    </row>
    <row r="2005" spans="1:1">
      <c r="A2005" s="179"/>
    </row>
    <row r="2006" spans="1:1">
      <c r="A2006" s="179"/>
    </row>
    <row r="2007" spans="1:1">
      <c r="A2007" s="179"/>
    </row>
    <row r="2008" spans="1:1">
      <c r="A2008" s="179"/>
    </row>
    <row r="2009" spans="1:1">
      <c r="A2009" s="179"/>
    </row>
    <row r="2010" spans="1:1">
      <c r="A2010" s="179"/>
    </row>
    <row r="2011" spans="1:1">
      <c r="A2011" s="179"/>
    </row>
    <row r="2012" spans="1:1">
      <c r="A2012" s="179"/>
    </row>
    <row r="2013" spans="1:1">
      <c r="A2013" s="179"/>
    </row>
    <row r="2014" spans="1:1">
      <c r="A2014" s="179"/>
    </row>
    <row r="2015" spans="1:1">
      <c r="A2015" s="179"/>
    </row>
    <row r="2016" spans="1:1">
      <c r="A2016" s="179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2"/>
  <sheetViews>
    <sheetView workbookViewId="0">
      <selection activeCell="B5" sqref="B5"/>
    </sheetView>
  </sheetViews>
  <sheetFormatPr defaultRowHeight="12.75"/>
  <cols>
    <col min="1" max="1" width="10.140625" bestFit="1" customWidth="1"/>
    <col min="3" max="3" width="14.85546875" customWidth="1"/>
    <col min="4" max="4" width="10.5703125" bestFit="1" customWidth="1"/>
  </cols>
  <sheetData>
    <row r="1" spans="1:7">
      <c r="A1" t="s">
        <v>578</v>
      </c>
    </row>
    <row r="2" spans="1:7">
      <c r="A2" t="s">
        <v>579</v>
      </c>
      <c r="G2">
        <v>1591.5</v>
      </c>
    </row>
    <row r="3" spans="1:7">
      <c r="A3" s="1">
        <v>43059</v>
      </c>
      <c r="B3" t="s">
        <v>180</v>
      </c>
      <c r="C3" t="s">
        <v>34</v>
      </c>
      <c r="D3" t="s">
        <v>35</v>
      </c>
      <c r="G3" t="s">
        <v>580</v>
      </c>
    </row>
    <row r="4" spans="1:7">
      <c r="C4" t="s">
        <v>106</v>
      </c>
      <c r="D4" t="s">
        <v>1</v>
      </c>
      <c r="G4" t="s">
        <v>242</v>
      </c>
    </row>
    <row r="5" spans="1:7">
      <c r="B5" t="s">
        <v>145</v>
      </c>
      <c r="C5">
        <v>1000.0308</v>
      </c>
      <c r="D5">
        <v>8.7459999999999996E-2</v>
      </c>
      <c r="G5" s="91">
        <f>ATAN(D5*0.000000001/(2*PI()*G$2*C5*0.000000000001)*1000)</f>
        <v>8.745779276883343E-3</v>
      </c>
    </row>
    <row r="6" spans="1:7">
      <c r="B6" t="s">
        <v>573</v>
      </c>
      <c r="C6">
        <v>9.9999727000000007</v>
      </c>
      <c r="D6">
        <v>-7.8499999999999997E-5</v>
      </c>
      <c r="G6" s="91">
        <f t="shared" ref="G6:G12" si="0">ATAN(D6*0.000000001/(2*PI()*G$2*C6*0.000000000001)*1000)</f>
        <v>-7.8502636343229584E-4</v>
      </c>
    </row>
    <row r="7" spans="1:7">
      <c r="B7" t="s">
        <v>571</v>
      </c>
      <c r="C7">
        <v>99.999797000000001</v>
      </c>
      <c r="D7">
        <v>1.588E-3</v>
      </c>
      <c r="G7" s="91">
        <f t="shared" si="0"/>
        <v>1.5880512109843279E-3</v>
      </c>
    </row>
    <row r="8" spans="1:7">
      <c r="G8" s="91"/>
    </row>
    <row r="9" spans="1:7">
      <c r="B9" t="s">
        <v>182</v>
      </c>
      <c r="C9">
        <v>0.99994450000000001</v>
      </c>
      <c r="D9">
        <v>-1.404E-4</v>
      </c>
      <c r="E9">
        <v>20.75</v>
      </c>
      <c r="G9" s="91">
        <f t="shared" si="0"/>
        <v>-1.4040292700863457E-2</v>
      </c>
    </row>
    <row r="10" spans="1:7">
      <c r="B10" t="s">
        <v>181</v>
      </c>
      <c r="C10">
        <v>9.9992049999999999</v>
      </c>
      <c r="D10">
        <v>-1.9469999999999999E-4</v>
      </c>
      <c r="E10">
        <v>20.75</v>
      </c>
      <c r="G10" s="91">
        <f t="shared" si="0"/>
        <v>-1.9472128150785583E-3</v>
      </c>
    </row>
    <row r="11" spans="1:7">
      <c r="B11" t="s">
        <v>572</v>
      </c>
      <c r="C11">
        <v>100.00418999999999</v>
      </c>
      <c r="D11">
        <v>4.2999999999999999E-4</v>
      </c>
      <c r="E11">
        <v>20.75</v>
      </c>
      <c r="G11" s="91">
        <f t="shared" si="0"/>
        <v>4.2999531220445859E-4</v>
      </c>
    </row>
    <row r="12" spans="1:7">
      <c r="B12" t="s">
        <v>570</v>
      </c>
      <c r="C12">
        <v>999.86287000000004</v>
      </c>
      <c r="D12">
        <v>1.197E-2</v>
      </c>
      <c r="E12">
        <v>20.77</v>
      </c>
      <c r="G12" s="91">
        <f t="shared" si="0"/>
        <v>1.1972007782567575E-3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128"/>
  <sheetViews>
    <sheetView workbookViewId="0">
      <selection activeCell="AD104" sqref="AD104"/>
    </sheetView>
  </sheetViews>
  <sheetFormatPr defaultRowHeight="12.75"/>
  <cols>
    <col min="1" max="1" width="19" customWidth="1"/>
    <col min="2" max="2" width="16.5703125" customWidth="1"/>
    <col min="3" max="3" width="10.7109375" customWidth="1"/>
    <col min="6" max="6" width="10.140625" bestFit="1" customWidth="1"/>
    <col min="7" max="7" width="10" bestFit="1" customWidth="1"/>
    <col min="8" max="8" width="11.42578125" customWidth="1"/>
    <col min="10" max="10" width="12.42578125" bestFit="1" customWidth="1"/>
    <col min="11" max="11" width="10" bestFit="1" customWidth="1"/>
    <col min="15" max="16" width="10" bestFit="1" customWidth="1"/>
    <col min="18" max="18" width="10.140625" bestFit="1" customWidth="1"/>
    <col min="19" max="19" width="10" bestFit="1" customWidth="1"/>
    <col min="22" max="22" width="11" customWidth="1"/>
    <col min="23" max="25" width="9.85546875" bestFit="1" customWidth="1"/>
    <col min="26" max="29" width="9.85546875" customWidth="1"/>
    <col min="30" max="30" width="10.140625" bestFit="1" customWidth="1"/>
    <col min="31" max="31" width="12.42578125" bestFit="1" customWidth="1"/>
    <col min="34" max="34" width="10.140625" bestFit="1" customWidth="1"/>
  </cols>
  <sheetData>
    <row r="1" spans="1:30">
      <c r="A1" s="178" t="s">
        <v>583</v>
      </c>
      <c r="D1" s="386" t="s">
        <v>151</v>
      </c>
      <c r="E1" s="88" t="s">
        <v>584</v>
      </c>
    </row>
    <row r="2" spans="1:30">
      <c r="A2" s="387" t="s">
        <v>585</v>
      </c>
      <c r="B2" s="15"/>
      <c r="C2" s="15"/>
      <c r="D2" s="15"/>
      <c r="E2" s="15"/>
      <c r="F2" s="15"/>
      <c r="G2" s="15"/>
      <c r="H2" s="15"/>
      <c r="I2" s="15"/>
    </row>
    <row r="3" spans="1:30">
      <c r="A3" s="388" t="s">
        <v>586</v>
      </c>
      <c r="B3" s="389"/>
      <c r="C3" s="389"/>
      <c r="D3" s="389"/>
      <c r="E3" s="389"/>
      <c r="F3" s="389"/>
      <c r="G3" s="389"/>
      <c r="H3" s="389"/>
      <c r="I3" s="390"/>
    </row>
    <row r="4" spans="1:30">
      <c r="A4" s="391">
        <v>43049</v>
      </c>
      <c r="B4" s="430" t="s">
        <v>568</v>
      </c>
      <c r="C4" s="15"/>
      <c r="D4" s="15"/>
      <c r="E4" s="15"/>
      <c r="F4" s="15"/>
      <c r="G4" s="15"/>
      <c r="H4" s="15"/>
      <c r="I4" s="15"/>
    </row>
    <row r="5" spans="1:30">
      <c r="A5" s="391"/>
      <c r="B5" s="88"/>
      <c r="C5" s="15"/>
      <c r="D5" s="15"/>
      <c r="E5" s="15"/>
      <c r="F5" s="15"/>
      <c r="G5" s="15"/>
      <c r="H5" s="15"/>
      <c r="I5" s="15"/>
    </row>
    <row r="6" spans="1:30">
      <c r="A6" s="396" t="s">
        <v>594</v>
      </c>
      <c r="B6" s="392"/>
      <c r="C6" s="15"/>
      <c r="D6" s="15"/>
      <c r="E6" s="15"/>
      <c r="F6" s="15"/>
      <c r="G6" s="15"/>
      <c r="I6" s="15">
        <f>pyReport!F12</f>
        <v>105.7673773205963</v>
      </c>
      <c r="J6" s="15">
        <f>pyReport!G12</f>
        <v>8.55027445036677E-3</v>
      </c>
      <c r="K6" s="15">
        <f>pyReport!H12</f>
        <v>1.9970261903802351</v>
      </c>
      <c r="L6" s="15">
        <f>pyReport!I12</f>
        <v>7.2014825419016871E-3</v>
      </c>
      <c r="M6" s="15">
        <f>pyReport!J12</f>
        <v>6.5656329226582741E-4</v>
      </c>
      <c r="N6" s="15">
        <f>pyReport!K12</f>
        <v>2.0182114650357121</v>
      </c>
      <c r="O6" s="15"/>
    </row>
    <row r="7" spans="1:30">
      <c r="A7" s="396" t="s">
        <v>595</v>
      </c>
      <c r="B7" s="392"/>
      <c r="C7" s="15"/>
      <c r="D7" s="15"/>
      <c r="E7" s="15"/>
      <c r="F7" s="15"/>
      <c r="G7" s="15"/>
      <c r="I7" s="15">
        <f>pyReport!F15</f>
        <v>0.98816685935169368</v>
      </c>
      <c r="J7" s="15">
        <f>pyReport!G15</f>
        <v>8.8725559230234279E-5</v>
      </c>
      <c r="K7" s="15">
        <f>pyReport!H15</f>
        <v>2.032673279756092</v>
      </c>
      <c r="L7" s="15">
        <f>pyReport!I15</f>
        <v>8.0016472687796502E-3</v>
      </c>
      <c r="M7" s="15">
        <f>pyReport!J15</f>
        <v>5.1685054849873058E-3</v>
      </c>
      <c r="N7" s="15">
        <f>pyReport!K15</f>
        <v>2.046015598179503</v>
      </c>
      <c r="O7" s="15"/>
    </row>
    <row r="8" spans="1:30">
      <c r="A8" s="396" t="s">
        <v>596</v>
      </c>
      <c r="B8" s="392"/>
      <c r="C8" s="15"/>
      <c r="D8" s="15"/>
      <c r="E8" s="15"/>
      <c r="F8" s="15"/>
      <c r="G8" s="15"/>
      <c r="I8" s="15">
        <f>pyReport!F16</f>
        <v>0.98816635931634345</v>
      </c>
      <c r="J8" s="15">
        <f>pyReport!G16</f>
        <v>8.1675210969494078E-5</v>
      </c>
      <c r="K8" s="15">
        <f>pyReport!H16</f>
        <v>2.0623411550593911</v>
      </c>
      <c r="L8" s="15">
        <f>pyReport!I16</f>
        <v>5.801194269865249E-3</v>
      </c>
      <c r="M8" s="15">
        <f>pyReport!J16</f>
        <v>3.7955292984738751E-3</v>
      </c>
      <c r="N8" s="15">
        <f>pyReport!K16</f>
        <v>2.187105446339344</v>
      </c>
      <c r="O8" s="15"/>
    </row>
    <row r="9" spans="1:30">
      <c r="A9" s="396" t="s">
        <v>597</v>
      </c>
      <c r="B9" s="392"/>
      <c r="C9" s="15"/>
      <c r="D9" s="15"/>
      <c r="E9" s="15"/>
      <c r="F9" s="15"/>
      <c r="G9" s="15"/>
      <c r="H9" s="15"/>
      <c r="I9" s="15">
        <f>pyReport!F4</f>
        <v>-9.0006363081410468E-3</v>
      </c>
      <c r="J9" s="15">
        <f>pyReport!G4</f>
        <v>3.9484383254907419E-2</v>
      </c>
      <c r="K9" s="15">
        <f>pyReport!H4</f>
        <v>2.0844816880304928</v>
      </c>
      <c r="L9" s="15">
        <f>pyReport!I4</f>
        <v>-1.0002059085974569E-3</v>
      </c>
      <c r="M9" s="15">
        <f>pyReport!J4</f>
        <v>3.9489721471057289E-3</v>
      </c>
      <c r="N9" s="15">
        <f>pyReport!K4</f>
        <v>2.08448168800897</v>
      </c>
    </row>
    <row r="10" spans="1:30">
      <c r="A10" s="396" t="s">
        <v>598</v>
      </c>
      <c r="B10" s="392"/>
      <c r="C10" s="15"/>
      <c r="D10" s="15"/>
      <c r="E10" s="15"/>
      <c r="F10" s="15"/>
      <c r="G10" s="15"/>
      <c r="H10" s="15"/>
      <c r="I10" s="15">
        <f>pyReport!F5</f>
        <v>-1.2000848410854729E-3</v>
      </c>
      <c r="J10" s="15">
        <f>pyReport!G5</f>
        <v>9.6664233714234896E-3</v>
      </c>
      <c r="K10" s="15">
        <f>pyReport!H5</f>
        <v>2.0640170643854971</v>
      </c>
      <c r="L10" s="15">
        <f>pyReport!I5</f>
        <v>-1.000205908597452E-4</v>
      </c>
      <c r="M10" s="15">
        <f>pyReport!J5</f>
        <v>9.6677302538858455E-4</v>
      </c>
      <c r="N10" s="15">
        <f>pyReport!K5</f>
        <v>2.0640170643821949</v>
      </c>
    </row>
    <row r="11" spans="1:30">
      <c r="A11" s="396" t="s">
        <v>599</v>
      </c>
      <c r="B11" s="392"/>
      <c r="C11" s="15"/>
      <c r="D11" s="15"/>
      <c r="E11" s="15"/>
      <c r="F11" s="15"/>
      <c r="G11" s="15"/>
      <c r="H11" s="15"/>
      <c r="I11" s="15">
        <f>pyReport!F6</f>
        <v>-1.1000777709950168E-3</v>
      </c>
      <c r="J11" s="15">
        <f>pyReport!G6</f>
        <v>5.5273673082465689E-3</v>
      </c>
      <c r="K11" s="15">
        <f>pyReport!H6</f>
        <v>2.0343689767633339</v>
      </c>
      <c r="L11" s="15">
        <f>pyReport!I6</f>
        <v>-1.0002059085974611E-4</v>
      </c>
      <c r="M11" s="15">
        <f>pyReport!J6</f>
        <v>5.528114598080798E-4</v>
      </c>
      <c r="N11" s="15">
        <f>pyReport!K6</f>
        <v>2.034368976757627</v>
      </c>
    </row>
    <row r="12" spans="1:30">
      <c r="A12" s="392" t="s">
        <v>600</v>
      </c>
      <c r="B12" s="392"/>
      <c r="C12" s="15"/>
      <c r="D12" s="15"/>
      <c r="E12" s="15"/>
      <c r="F12" s="15"/>
      <c r="G12" s="15"/>
      <c r="H12" s="15"/>
      <c r="I12" s="15">
        <f>pyReport!F7</f>
        <v>3.8512722691834629</v>
      </c>
      <c r="J12" s="15">
        <f>pyReport!G7</f>
        <v>3.9484386600699195E-2</v>
      </c>
      <c r="K12" s="15">
        <f>pyReport!H7</f>
        <v>2.0844792489271482</v>
      </c>
      <c r="L12" s="15">
        <f>pyReport!I7</f>
        <v>5.0010295429872851E-3</v>
      </c>
      <c r="M12" s="15">
        <f>pyReport!J7</f>
        <v>3.9489763464648038E-3</v>
      </c>
      <c r="N12" s="15">
        <f>pyReport!K7</f>
        <v>2.0844785564647941</v>
      </c>
    </row>
    <row r="13" spans="1:30">
      <c r="A13" s="404"/>
      <c r="B13" s="404"/>
      <c r="C13" s="15"/>
      <c r="D13" s="15"/>
      <c r="E13" s="15"/>
      <c r="F13" s="15"/>
      <c r="G13" s="15"/>
      <c r="H13" s="15"/>
      <c r="I13" s="15"/>
    </row>
    <row r="14" spans="1:30">
      <c r="A14" s="391">
        <v>41863</v>
      </c>
      <c r="B14" s="392" t="s">
        <v>619</v>
      </c>
      <c r="C14" s="393"/>
      <c r="D14" s="393"/>
      <c r="E14" s="393"/>
      <c r="F14" s="393"/>
      <c r="G14" s="393"/>
      <c r="H14" s="393" t="s">
        <v>470</v>
      </c>
      <c r="I14" s="393" t="s">
        <v>34</v>
      </c>
      <c r="J14" s="393" t="s">
        <v>468</v>
      </c>
      <c r="K14" s="393" t="s">
        <v>471</v>
      </c>
      <c r="L14" s="393" t="s">
        <v>467</v>
      </c>
      <c r="M14" s="393" t="s">
        <v>468</v>
      </c>
      <c r="N14" s="394" t="s">
        <v>471</v>
      </c>
    </row>
    <row r="15" spans="1:30">
      <c r="A15" s="391"/>
      <c r="B15" s="88"/>
      <c r="C15" s="392" t="s">
        <v>33</v>
      </c>
      <c r="D15" s="392" t="s">
        <v>0</v>
      </c>
      <c r="E15" s="392" t="s">
        <v>142</v>
      </c>
      <c r="F15" s="392"/>
      <c r="G15" s="392"/>
      <c r="H15" s="99" t="s">
        <v>587</v>
      </c>
      <c r="I15" s="99" t="s">
        <v>587</v>
      </c>
      <c r="J15" s="99" t="s">
        <v>587</v>
      </c>
      <c r="K15" s="392" t="s">
        <v>472</v>
      </c>
      <c r="L15" s="392" t="s">
        <v>473</v>
      </c>
      <c r="M15" s="392" t="s">
        <v>473</v>
      </c>
      <c r="N15" s="395" t="s">
        <v>472</v>
      </c>
      <c r="P15" t="s">
        <v>133</v>
      </c>
      <c r="Q15" t="s">
        <v>588</v>
      </c>
      <c r="V15" t="s">
        <v>589</v>
      </c>
      <c r="W15" t="s">
        <v>590</v>
      </c>
      <c r="X15" t="s">
        <v>591</v>
      </c>
      <c r="Y15" t="s">
        <v>592</v>
      </c>
      <c r="AD15" t="s">
        <v>593</v>
      </c>
    </row>
    <row r="16" spans="1:30">
      <c r="A16" s="396" t="s">
        <v>594</v>
      </c>
      <c r="B16" s="392"/>
      <c r="C16" s="392" t="s">
        <v>37</v>
      </c>
      <c r="D16" s="392">
        <v>999801</v>
      </c>
      <c r="E16" s="392">
        <v>1696</v>
      </c>
      <c r="F16" s="392"/>
      <c r="G16" s="392"/>
      <c r="H16" s="397"/>
      <c r="I16" s="392">
        <v>0.9999044961601945</v>
      </c>
      <c r="J16" s="392">
        <v>4.2890875344783289E-5</v>
      </c>
      <c r="K16" s="398">
        <v>2.2947813825905605</v>
      </c>
      <c r="L16" s="397">
        <v>0.17091143732418621</v>
      </c>
      <c r="M16" s="399">
        <v>3.4533527576831355E-2</v>
      </c>
      <c r="N16" s="400">
        <v>2.1500453529048937</v>
      </c>
      <c r="P16" s="83">
        <f t="shared" ref="P16:P22" si="0">1000000*(I16-I36)/I16</f>
        <v>16.300644924776954</v>
      </c>
      <c r="Q16" s="84">
        <f>1000000*J16/I16</f>
        <v>42.894971979315663</v>
      </c>
      <c r="R16" s="84"/>
      <c r="S16" s="84"/>
      <c r="T16" s="84"/>
      <c r="U16" s="84"/>
      <c r="V16" s="81" t="s">
        <v>38</v>
      </c>
      <c r="W16" s="401">
        <f>$A$34</f>
        <v>38405</v>
      </c>
      <c r="X16" s="402">
        <f>$A$14</f>
        <v>41863</v>
      </c>
      <c r="Y16" s="84">
        <f>DAYS360(W16,X16)</f>
        <v>3410</v>
      </c>
      <c r="Z16" s="84"/>
      <c r="AA16" s="84"/>
      <c r="AB16" s="84"/>
      <c r="AC16" s="84"/>
      <c r="AD16" s="80">
        <f>P16*90/Y16</f>
        <v>0.43022230006742695</v>
      </c>
    </row>
    <row r="17" spans="1:30">
      <c r="A17" s="396" t="s">
        <v>595</v>
      </c>
      <c r="B17" s="392"/>
      <c r="C17" s="392" t="s">
        <v>94</v>
      </c>
      <c r="D17" s="392">
        <v>999928</v>
      </c>
      <c r="E17" s="392">
        <v>394</v>
      </c>
      <c r="F17" s="392"/>
      <c r="G17" s="392"/>
      <c r="H17" s="397"/>
      <c r="I17" s="392">
        <v>0.10000325051852012</v>
      </c>
      <c r="J17" s="392">
        <v>4.2896352394125101E-6</v>
      </c>
      <c r="K17" s="398">
        <v>2.2947828309607781</v>
      </c>
      <c r="L17" s="397">
        <v>4.1297477009549902E-2</v>
      </c>
      <c r="M17" s="399">
        <v>3.453350420618731E-2</v>
      </c>
      <c r="N17" s="400">
        <v>2.1500462275608814</v>
      </c>
      <c r="P17" s="83">
        <f t="shared" si="0"/>
        <v>6.2984955331519084</v>
      </c>
      <c r="Q17" s="84">
        <f t="shared" ref="Q17:Q22" si="1">1000000*J17/I17</f>
        <v>42.894958085568334</v>
      </c>
      <c r="R17" s="84"/>
      <c r="S17" s="84"/>
      <c r="T17" s="84"/>
      <c r="U17" s="84"/>
      <c r="V17" s="81" t="s">
        <v>39</v>
      </c>
      <c r="W17" s="401">
        <f t="shared" ref="W17:W22" si="2">$A$34</f>
        <v>38405</v>
      </c>
      <c r="X17" s="402">
        <f t="shared" ref="X17:X22" si="3">$A$14</f>
        <v>41863</v>
      </c>
      <c r="Y17" s="84">
        <f t="shared" ref="Y17:Y22" si="4">DAYS360(W17,X17)</f>
        <v>3410</v>
      </c>
      <c r="Z17" s="84"/>
      <c r="AA17" s="84"/>
      <c r="AB17" s="84"/>
      <c r="AC17" s="84"/>
      <c r="AD17" s="80">
        <f t="shared" ref="AD17:AD22" si="5">P17*90/Y17</f>
        <v>0.16623595248788028</v>
      </c>
    </row>
    <row r="18" spans="1:30">
      <c r="A18" s="396" t="s">
        <v>596</v>
      </c>
      <c r="B18" s="392"/>
      <c r="C18" s="392" t="s">
        <v>41</v>
      </c>
      <c r="D18" s="392">
        <v>999986</v>
      </c>
      <c r="E18" s="392">
        <v>496</v>
      </c>
      <c r="F18" s="392"/>
      <c r="G18" s="392"/>
      <c r="H18" s="397"/>
      <c r="I18" s="392">
        <v>1.0000895092041497E-2</v>
      </c>
      <c r="J18" s="392">
        <v>4.2898748670594459E-7</v>
      </c>
      <c r="K18" s="398">
        <v>2.2947834572291717</v>
      </c>
      <c r="L18" s="397">
        <v>5.0094083951913851E-2</v>
      </c>
      <c r="M18" s="399">
        <v>3.4533460366915014E-2</v>
      </c>
      <c r="N18" s="400">
        <v>2.1500465753917521</v>
      </c>
      <c r="P18" s="83">
        <f t="shared" si="0"/>
        <v>17.298033252116337</v>
      </c>
      <c r="Q18" s="84">
        <f t="shared" si="1"/>
        <v>42.894909181411556</v>
      </c>
      <c r="R18" s="84"/>
      <c r="S18" s="84"/>
      <c r="T18" s="84"/>
      <c r="U18" s="84"/>
      <c r="V18" s="81" t="s">
        <v>42</v>
      </c>
      <c r="W18" s="401">
        <f t="shared" si="2"/>
        <v>38405</v>
      </c>
      <c r="X18" s="402">
        <f t="shared" si="3"/>
        <v>41863</v>
      </c>
      <c r="Y18" s="84">
        <f t="shared" si="4"/>
        <v>3410</v>
      </c>
      <c r="Z18" s="84"/>
      <c r="AA18" s="84"/>
      <c r="AB18" s="84"/>
      <c r="AC18" s="84"/>
      <c r="AD18" s="80">
        <f t="shared" si="5"/>
        <v>0.45654633216729334</v>
      </c>
    </row>
    <row r="19" spans="1:30">
      <c r="A19" s="396" t="s">
        <v>597</v>
      </c>
      <c r="B19" s="392"/>
      <c r="C19" s="392" t="s">
        <v>36</v>
      </c>
      <c r="D19" s="392">
        <v>999660</v>
      </c>
      <c r="E19" s="392">
        <v>-205</v>
      </c>
      <c r="F19" s="392"/>
      <c r="G19" s="392"/>
      <c r="H19" s="397"/>
      <c r="I19" s="399">
        <v>999.82744737198152</v>
      </c>
      <c r="J19" s="399">
        <v>5.0848715255551305E-2</v>
      </c>
      <c r="K19" s="398">
        <v>2.1617192107800678</v>
      </c>
      <c r="L19" s="397">
        <v>2.8984232585345382E-4</v>
      </c>
      <c r="M19" s="399">
        <v>3.4531339943973463E-2</v>
      </c>
      <c r="N19" s="400">
        <v>2.150044548401937</v>
      </c>
      <c r="P19" s="83">
        <f t="shared" si="0"/>
        <v>-7.224106607658034</v>
      </c>
      <c r="Q19" s="84">
        <f t="shared" si="1"/>
        <v>50.857490849251768</v>
      </c>
      <c r="R19" s="84"/>
      <c r="S19" s="84"/>
      <c r="T19" s="84"/>
      <c r="U19" s="84"/>
      <c r="V19" s="81" t="s">
        <v>5</v>
      </c>
      <c r="W19" s="401">
        <f t="shared" si="2"/>
        <v>38405</v>
      </c>
      <c r="X19" s="402">
        <f t="shared" si="3"/>
        <v>41863</v>
      </c>
      <c r="Y19" s="84">
        <f t="shared" si="4"/>
        <v>3410</v>
      </c>
      <c r="Z19" s="84"/>
      <c r="AA19" s="84"/>
      <c r="AB19" s="84"/>
      <c r="AC19" s="84"/>
      <c r="AD19" s="80">
        <f t="shared" si="5"/>
        <v>-0.19066557029009476</v>
      </c>
    </row>
    <row r="20" spans="1:30">
      <c r="A20" s="396" t="s">
        <v>598</v>
      </c>
      <c r="B20" s="392"/>
      <c r="C20" s="392" t="s">
        <v>43</v>
      </c>
      <c r="D20" s="392">
        <v>999865</v>
      </c>
      <c r="E20" s="392">
        <v>2540</v>
      </c>
      <c r="F20" s="392"/>
      <c r="G20" s="392"/>
      <c r="H20" s="397"/>
      <c r="I20" s="399">
        <v>100.00215576247349</v>
      </c>
      <c r="J20" s="399">
        <v>5.0861142226006463E-3</v>
      </c>
      <c r="K20" s="398">
        <v>2.1617201834571733</v>
      </c>
      <c r="L20" s="397">
        <v>4.0501108048644557E-4</v>
      </c>
      <c r="M20" s="399">
        <v>3.4534169047922086E-2</v>
      </c>
      <c r="N20" s="400">
        <v>2.1500459872489377</v>
      </c>
      <c r="P20" s="83">
        <f t="shared" si="0"/>
        <v>111.31349001047687</v>
      </c>
      <c r="Q20" s="84">
        <f t="shared" si="1"/>
        <v>50.86004580422501</v>
      </c>
      <c r="R20" s="84"/>
      <c r="S20" s="84"/>
      <c r="T20" s="84"/>
      <c r="U20" s="84"/>
      <c r="V20" s="81" t="s">
        <v>2</v>
      </c>
      <c r="W20" s="401">
        <f t="shared" si="2"/>
        <v>38405</v>
      </c>
      <c r="X20" s="402">
        <f t="shared" si="3"/>
        <v>41863</v>
      </c>
      <c r="Y20" s="84">
        <f t="shared" si="4"/>
        <v>3410</v>
      </c>
      <c r="Z20" s="84"/>
      <c r="AA20" s="84"/>
      <c r="AB20" s="84"/>
      <c r="AC20" s="84"/>
      <c r="AD20" s="80">
        <f t="shared" si="5"/>
        <v>2.9378926982237297</v>
      </c>
    </row>
    <row r="21" spans="1:30">
      <c r="A21" s="396" t="s">
        <v>599</v>
      </c>
      <c r="B21" s="392"/>
      <c r="C21" s="392" t="s">
        <v>43</v>
      </c>
      <c r="D21" s="392">
        <v>99969</v>
      </c>
      <c r="E21" s="392">
        <v>260</v>
      </c>
      <c r="F21" s="392"/>
      <c r="G21" s="392"/>
      <c r="H21" s="397"/>
      <c r="I21" s="399">
        <v>9.9980953863722739</v>
      </c>
      <c r="J21" s="399">
        <v>5.9909041198663896E-4</v>
      </c>
      <c r="K21" s="398">
        <v>2.1066268982039187</v>
      </c>
      <c r="L21" s="397">
        <v>-1.5382483875996688E-3</v>
      </c>
      <c r="M21" s="399">
        <v>4.4022639153207005E-2</v>
      </c>
      <c r="N21" s="400">
        <v>2.0612805126053386</v>
      </c>
      <c r="P21" s="83">
        <f t="shared" si="0"/>
        <v>-63.713262531497215</v>
      </c>
      <c r="Q21" s="84">
        <f t="shared" si="1"/>
        <v>59.920453729939254</v>
      </c>
      <c r="R21" s="84"/>
      <c r="S21" s="84"/>
      <c r="T21" s="84"/>
      <c r="U21" s="84"/>
      <c r="V21" s="81" t="s">
        <v>3</v>
      </c>
      <c r="W21" s="401">
        <f t="shared" si="2"/>
        <v>38405</v>
      </c>
      <c r="X21" s="402">
        <f t="shared" si="3"/>
        <v>41863</v>
      </c>
      <c r="Y21" s="84">
        <f t="shared" si="4"/>
        <v>3410</v>
      </c>
      <c r="Z21" s="84"/>
      <c r="AA21" s="84"/>
      <c r="AB21" s="84"/>
      <c r="AC21" s="84"/>
      <c r="AD21" s="80">
        <f t="shared" si="5"/>
        <v>-1.6815817090424485</v>
      </c>
    </row>
    <row r="22" spans="1:30">
      <c r="A22" s="403" t="s">
        <v>600</v>
      </c>
      <c r="B22" s="404"/>
      <c r="C22" s="404" t="s">
        <v>43</v>
      </c>
      <c r="D22" s="404">
        <v>10004</v>
      </c>
      <c r="E22" s="404">
        <v>40</v>
      </c>
      <c r="F22" s="404"/>
      <c r="G22" s="404"/>
      <c r="H22" s="405"/>
      <c r="I22" s="399">
        <v>0.99988954580232448</v>
      </c>
      <c r="J22" s="399">
        <v>4.1579058307347614E-4</v>
      </c>
      <c r="K22" s="398">
        <v>2.5532362681119465</v>
      </c>
      <c r="L22" s="397">
        <v>-9.7509912484205902E-3</v>
      </c>
      <c r="M22" s="399">
        <v>0.31071164794142986</v>
      </c>
      <c r="N22" s="400">
        <v>2.1827453978375804</v>
      </c>
      <c r="P22" s="83">
        <f t="shared" si="0"/>
        <v>736.42571832406429</v>
      </c>
      <c r="Q22" s="84">
        <f t="shared" si="1"/>
        <v>415.83651396198997</v>
      </c>
      <c r="R22" s="84"/>
      <c r="S22" s="84"/>
      <c r="T22" s="84"/>
      <c r="U22" s="84"/>
      <c r="V22" s="81" t="s">
        <v>4</v>
      </c>
      <c r="W22" s="401">
        <f t="shared" si="2"/>
        <v>38405</v>
      </c>
      <c r="X22" s="402">
        <f t="shared" si="3"/>
        <v>41863</v>
      </c>
      <c r="Y22" s="84">
        <f t="shared" si="4"/>
        <v>3410</v>
      </c>
      <c r="Z22" s="84"/>
      <c r="AA22" s="84"/>
      <c r="AB22" s="84"/>
      <c r="AC22" s="84"/>
      <c r="AD22" s="80">
        <f t="shared" si="5"/>
        <v>19.43645590884627</v>
      </c>
    </row>
    <row r="23" spans="1:30">
      <c r="A23" s="392"/>
      <c r="B23" s="392"/>
      <c r="C23" s="392"/>
      <c r="D23" s="392"/>
      <c r="E23" s="392"/>
      <c r="F23" s="392"/>
      <c r="G23" s="392"/>
      <c r="H23" s="397"/>
      <c r="I23" s="392"/>
      <c r="J23" s="392"/>
      <c r="K23" s="398"/>
      <c r="L23" s="397"/>
      <c r="M23" s="399"/>
      <c r="N23" s="398"/>
      <c r="P23" s="83"/>
      <c r="Q23" s="84"/>
      <c r="R23" s="84"/>
      <c r="S23" s="84"/>
      <c r="T23" s="84"/>
      <c r="U23" s="84"/>
      <c r="V23" s="81"/>
      <c r="W23" s="401"/>
      <c r="X23" s="402"/>
      <c r="Y23" s="84"/>
      <c r="Z23" s="84"/>
      <c r="AA23" s="84"/>
      <c r="AB23" s="84"/>
      <c r="AC23" s="84"/>
      <c r="AD23" s="80"/>
    </row>
    <row r="24" spans="1:30">
      <c r="A24" s="391">
        <v>40680</v>
      </c>
      <c r="B24" s="392" t="s">
        <v>601</v>
      </c>
      <c r="C24" s="392"/>
      <c r="D24" s="392"/>
      <c r="E24" s="392"/>
      <c r="F24" s="392"/>
      <c r="G24" s="392"/>
      <c r="H24" s="397" t="s">
        <v>470</v>
      </c>
      <c r="I24" s="392" t="s">
        <v>34</v>
      </c>
      <c r="J24" s="392" t="s">
        <v>468</v>
      </c>
      <c r="K24" s="398" t="s">
        <v>471</v>
      </c>
      <c r="L24" s="397" t="s">
        <v>467</v>
      </c>
      <c r="M24" s="399" t="s">
        <v>468</v>
      </c>
      <c r="N24" s="398" t="s">
        <v>471</v>
      </c>
      <c r="P24" s="83"/>
      <c r="Q24" s="84"/>
      <c r="R24" s="84"/>
      <c r="S24" s="84"/>
      <c r="T24" s="84"/>
      <c r="U24" s="84"/>
      <c r="V24" s="81"/>
      <c r="W24" s="401"/>
      <c r="X24" s="402"/>
      <c r="Y24" s="84"/>
      <c r="Z24" s="84"/>
      <c r="AA24" s="84"/>
      <c r="AB24" s="84"/>
      <c r="AC24" s="84"/>
      <c r="AD24" s="80"/>
    </row>
    <row r="25" spans="1:30">
      <c r="A25" s="392"/>
      <c r="B25" s="392"/>
      <c r="C25" s="392" t="s">
        <v>33</v>
      </c>
      <c r="D25" s="392" t="s">
        <v>0</v>
      </c>
      <c r="E25" s="392" t="s">
        <v>142</v>
      </c>
      <c r="F25" s="392"/>
      <c r="G25" s="392"/>
      <c r="H25" s="397" t="s">
        <v>602</v>
      </c>
      <c r="I25" s="392" t="s">
        <v>602</v>
      </c>
      <c r="J25" s="392" t="s">
        <v>602</v>
      </c>
      <c r="K25" s="398" t="s">
        <v>472</v>
      </c>
      <c r="L25" s="397" t="s">
        <v>473</v>
      </c>
      <c r="M25" s="399" t="s">
        <v>473</v>
      </c>
      <c r="N25" s="398" t="s">
        <v>472</v>
      </c>
      <c r="P25" s="83"/>
      <c r="Q25" s="84"/>
      <c r="R25" s="84"/>
      <c r="S25" s="84"/>
      <c r="T25" s="84"/>
      <c r="U25" s="84"/>
      <c r="V25" s="81"/>
      <c r="W25" s="401"/>
      <c r="X25" s="402"/>
      <c r="Y25" s="84"/>
      <c r="Z25" s="84"/>
      <c r="AA25" s="84"/>
      <c r="AB25" s="84"/>
      <c r="AC25" s="84"/>
      <c r="AD25" s="80"/>
    </row>
    <row r="26" spans="1:30">
      <c r="A26" s="392" t="s">
        <v>594</v>
      </c>
      <c r="B26" s="392"/>
      <c r="C26" s="392" t="s">
        <v>37</v>
      </c>
      <c r="D26" s="392">
        <v>999831</v>
      </c>
      <c r="E26" s="392">
        <v>1710</v>
      </c>
      <c r="F26" s="392"/>
      <c r="G26" s="392"/>
      <c r="H26" s="397"/>
      <c r="I26" s="392">
        <v>0.99990093687267345</v>
      </c>
      <c r="J26" s="392">
        <v>4.289074683682029E-5</v>
      </c>
      <c r="K26" s="398">
        <v>2.161719246840593</v>
      </c>
      <c r="L26" s="397">
        <v>0.17111407920585317</v>
      </c>
      <c r="M26" s="399">
        <v>3.4533547399875526E-2</v>
      </c>
      <c r="N26" s="398">
        <v>2.1500453336756653</v>
      </c>
      <c r="P26" s="83"/>
      <c r="Q26" s="84"/>
      <c r="R26" s="84"/>
      <c r="S26" s="84"/>
      <c r="T26" s="84"/>
      <c r="U26" s="84"/>
      <c r="V26" s="81"/>
      <c r="W26" s="401"/>
      <c r="X26" s="402"/>
      <c r="Y26" s="84"/>
      <c r="Z26" s="84"/>
      <c r="AA26" s="84"/>
      <c r="AB26" s="84"/>
      <c r="AC26" s="84"/>
      <c r="AD26" s="80"/>
    </row>
    <row r="27" spans="1:30">
      <c r="A27" s="392" t="s">
        <v>595</v>
      </c>
      <c r="B27" s="392"/>
      <c r="C27" s="392" t="s">
        <v>94</v>
      </c>
      <c r="D27" s="392">
        <v>999959</v>
      </c>
      <c r="E27" s="392">
        <v>397</v>
      </c>
      <c r="F27" s="392"/>
      <c r="G27" s="392"/>
      <c r="H27" s="397"/>
      <c r="I27" s="392">
        <v>0.10000289458261064</v>
      </c>
      <c r="J27" s="392">
        <v>4.2896224014482039E-6</v>
      </c>
      <c r="K27" s="398">
        <v>2.1617200417045659</v>
      </c>
      <c r="L27" s="397">
        <v>3.9798179971278297E-2</v>
      </c>
      <c r="M27" s="399">
        <v>3.4533524009359565E-2</v>
      </c>
      <c r="N27" s="398">
        <v>2.1500462090847186</v>
      </c>
      <c r="P27" s="83"/>
      <c r="Q27" s="84"/>
      <c r="R27" s="84"/>
      <c r="S27" s="84"/>
      <c r="T27" s="84"/>
      <c r="U27" s="84"/>
      <c r="V27" s="81"/>
      <c r="W27" s="401"/>
      <c r="X27" s="402"/>
      <c r="Y27" s="84"/>
      <c r="Z27" s="84"/>
      <c r="AA27" s="84"/>
      <c r="AB27" s="84"/>
      <c r="AC27" s="84"/>
      <c r="AD27" s="80"/>
    </row>
    <row r="28" spans="1:30">
      <c r="A28" s="392" t="s">
        <v>596</v>
      </c>
      <c r="B28" s="392"/>
      <c r="C28" s="392" t="s">
        <v>41</v>
      </c>
      <c r="D28" s="392">
        <v>1000016</v>
      </c>
      <c r="E28" s="392">
        <v>505</v>
      </c>
      <c r="F28" s="392"/>
      <c r="G28" s="392"/>
      <c r="H28" s="397"/>
      <c r="I28" s="392">
        <v>1.0000869498831307E-2</v>
      </c>
      <c r="J28" s="392">
        <v>4.2898663077534626E-7</v>
      </c>
      <c r="K28" s="398">
        <v>2.1066281095523633</v>
      </c>
      <c r="L28" s="397">
        <v>5.0194792968523388E-2</v>
      </c>
      <c r="M28" s="399">
        <v>3.453348001083914E-2</v>
      </c>
      <c r="N28" s="398">
        <v>2.1500465628599463</v>
      </c>
      <c r="P28" s="83"/>
      <c r="Q28" s="84"/>
      <c r="R28" s="84"/>
      <c r="S28" s="84"/>
      <c r="T28" s="84"/>
      <c r="U28" s="84"/>
      <c r="V28" s="81"/>
      <c r="W28" s="401"/>
      <c r="X28" s="402"/>
      <c r="Y28" s="84"/>
      <c r="Z28" s="84"/>
      <c r="AA28" s="84"/>
      <c r="AB28" s="84"/>
      <c r="AC28" s="84"/>
      <c r="AD28" s="80"/>
    </row>
    <row r="29" spans="1:30">
      <c r="A29" s="392" t="s">
        <v>597</v>
      </c>
      <c r="B29" s="392"/>
      <c r="C29" s="392" t="s">
        <v>36</v>
      </c>
      <c r="D29" s="392">
        <v>999702</v>
      </c>
      <c r="E29" s="392">
        <v>-190</v>
      </c>
      <c r="F29" s="392"/>
      <c r="G29" s="392"/>
      <c r="H29" s="397"/>
      <c r="I29" s="392">
        <v>999.83688748555005</v>
      </c>
      <c r="J29" s="392">
        <v>5.0849171745248986E-2</v>
      </c>
      <c r="K29" s="398">
        <v>2.161719246840593</v>
      </c>
      <c r="L29" s="397">
        <v>-5.5039202274287068E-3</v>
      </c>
      <c r="M29" s="399">
        <v>3.4531323280436288E-2</v>
      </c>
      <c r="N29" s="398">
        <v>2.1500446046641759</v>
      </c>
      <c r="P29" s="83"/>
      <c r="Q29" s="84"/>
      <c r="R29" s="84"/>
      <c r="S29" s="84"/>
      <c r="T29" s="84"/>
      <c r="U29" s="84"/>
      <c r="V29" s="81"/>
      <c r="W29" s="401"/>
      <c r="X29" s="402"/>
      <c r="Y29" s="84"/>
      <c r="Z29" s="84"/>
      <c r="AA29" s="84"/>
      <c r="AB29" s="84"/>
      <c r="AC29" s="84"/>
      <c r="AD29" s="80"/>
    </row>
    <row r="30" spans="1:30">
      <c r="A30" s="392" t="s">
        <v>598</v>
      </c>
      <c r="B30" s="392"/>
      <c r="C30" s="392" t="s">
        <v>43</v>
      </c>
      <c r="D30" s="392">
        <v>999888</v>
      </c>
      <c r="E30" s="392">
        <v>2100</v>
      </c>
      <c r="F30" s="392"/>
      <c r="G30" s="392"/>
      <c r="H30" s="397"/>
      <c r="I30" s="392">
        <v>100.00073479451603</v>
      </c>
      <c r="J30" s="392">
        <v>5.0859265320812993E-3</v>
      </c>
      <c r="K30" s="398">
        <v>2.1617200417045659</v>
      </c>
      <c r="L30" s="397">
        <v>5.5476445301373412E-3</v>
      </c>
      <c r="M30" s="399">
        <v>3.4534215417453801E-2</v>
      </c>
      <c r="N30" s="398">
        <v>2.1500457279169041</v>
      </c>
      <c r="P30" s="83"/>
      <c r="Q30" s="84"/>
      <c r="R30" s="84"/>
      <c r="S30" s="84"/>
      <c r="T30" s="84"/>
      <c r="U30" s="84"/>
      <c r="V30" s="81"/>
      <c r="W30" s="401"/>
      <c r="X30" s="402"/>
      <c r="Y30" s="84"/>
      <c r="Z30" s="84"/>
      <c r="AA30" s="84"/>
      <c r="AB30" s="84"/>
      <c r="AC30" s="84"/>
      <c r="AD30" s="80"/>
    </row>
    <row r="31" spans="1:30">
      <c r="A31" s="392" t="s">
        <v>599</v>
      </c>
      <c r="B31" s="392"/>
      <c r="C31" s="392" t="s">
        <v>43</v>
      </c>
      <c r="D31" s="392">
        <v>99974</v>
      </c>
      <c r="E31" s="392">
        <v>213</v>
      </c>
      <c r="F31" s="392"/>
      <c r="G31" s="392"/>
      <c r="H31" s="397"/>
      <c r="I31" s="392">
        <v>9.9979232378781564</v>
      </c>
      <c r="J31" s="392">
        <v>5.9907442838277956E-4</v>
      </c>
      <c r="K31" s="398">
        <v>2.1066281095523633</v>
      </c>
      <c r="L31" s="397">
        <v>-7.9100177480623812E-3</v>
      </c>
      <c r="M31" s="399">
        <v>4.4023454745382884E-2</v>
      </c>
      <c r="N31" s="398">
        <v>2.061280143201039</v>
      </c>
      <c r="P31" s="83"/>
      <c r="Q31" s="84"/>
      <c r="R31" s="84"/>
      <c r="S31" s="84"/>
      <c r="T31" s="84"/>
      <c r="U31" s="84"/>
      <c r="V31" s="81"/>
      <c r="W31" s="401"/>
      <c r="X31" s="402"/>
      <c r="Y31" s="84"/>
      <c r="Z31" s="84"/>
      <c r="AA31" s="84"/>
      <c r="AB31" s="84"/>
      <c r="AC31" s="84"/>
      <c r="AD31" s="80"/>
    </row>
    <row r="32" spans="1:30">
      <c r="A32" s="392" t="s">
        <v>600</v>
      </c>
      <c r="B32" s="392"/>
      <c r="C32" s="392" t="s">
        <v>43</v>
      </c>
      <c r="D32" s="392">
        <v>10005</v>
      </c>
      <c r="E32" s="392">
        <v>36</v>
      </c>
      <c r="F32" s="392"/>
      <c r="G32" s="392"/>
      <c r="H32" s="397"/>
      <c r="I32" s="392">
        <v>1.0000123485069592</v>
      </c>
      <c r="J32" s="392">
        <v>4.157903735093468E-4</v>
      </c>
      <c r="K32" s="398">
        <v>2.5532279831114897</v>
      </c>
      <c r="L32" s="397">
        <v>4.0465669967069129E-3</v>
      </c>
      <c r="M32" s="399">
        <v>0.31068114893177318</v>
      </c>
      <c r="N32" s="398">
        <v>2.1827441864919299</v>
      </c>
      <c r="P32" s="83"/>
      <c r="Q32" s="84"/>
      <c r="R32" s="84"/>
      <c r="S32" s="84"/>
      <c r="T32" s="84"/>
      <c r="U32" s="84"/>
      <c r="V32" s="81"/>
      <c r="W32" s="401"/>
      <c r="X32" s="402"/>
      <c r="Y32" s="84"/>
      <c r="Z32" s="84"/>
      <c r="AA32" s="84"/>
      <c r="AB32" s="84"/>
      <c r="AC32" s="84"/>
      <c r="AD32" s="80"/>
    </row>
    <row r="33" spans="1:30">
      <c r="A33" s="392"/>
      <c r="B33" s="392"/>
      <c r="C33" s="392"/>
      <c r="D33" s="392"/>
      <c r="E33" s="392"/>
      <c r="F33" s="392"/>
      <c r="G33" s="392"/>
      <c r="H33" s="397"/>
      <c r="I33" s="392"/>
      <c r="J33" s="392"/>
      <c r="K33" s="398"/>
      <c r="L33" s="397"/>
      <c r="M33" s="399"/>
      <c r="N33" s="398"/>
      <c r="P33" s="83"/>
      <c r="Q33" s="84"/>
      <c r="R33" s="84"/>
      <c r="S33" s="84"/>
      <c r="T33" s="84"/>
      <c r="U33" s="84"/>
      <c r="V33" s="81"/>
      <c r="W33" s="401"/>
      <c r="X33" s="402"/>
      <c r="Y33" s="84"/>
      <c r="Z33" s="84"/>
      <c r="AA33" s="84"/>
      <c r="AB33" s="84"/>
      <c r="AC33" s="84"/>
      <c r="AD33" s="80"/>
    </row>
    <row r="34" spans="1:30">
      <c r="A34" s="406">
        <v>38405</v>
      </c>
      <c r="B34" s="407" t="s">
        <v>603</v>
      </c>
      <c r="C34" s="407"/>
      <c r="D34" s="407"/>
      <c r="E34" s="407"/>
      <c r="F34" s="407"/>
      <c r="G34" s="407"/>
      <c r="H34" s="408" t="s">
        <v>470</v>
      </c>
      <c r="I34" s="407" t="s">
        <v>34</v>
      </c>
      <c r="J34" s="407" t="s">
        <v>468</v>
      </c>
      <c r="K34" s="409" t="s">
        <v>471</v>
      </c>
      <c r="L34" s="408" t="s">
        <v>467</v>
      </c>
      <c r="M34" s="410" t="s">
        <v>468</v>
      </c>
      <c r="N34" s="409" t="s">
        <v>471</v>
      </c>
      <c r="P34" s="83"/>
      <c r="Q34" s="84"/>
      <c r="R34" s="84"/>
      <c r="S34" s="84"/>
      <c r="T34" s="84"/>
      <c r="U34" s="84"/>
      <c r="V34" s="81"/>
      <c r="W34" s="401"/>
      <c r="X34" s="402"/>
      <c r="Y34" s="84"/>
      <c r="Z34" s="84"/>
      <c r="AA34" s="84"/>
      <c r="AB34" s="84"/>
      <c r="AC34" s="84"/>
      <c r="AD34" s="80"/>
    </row>
    <row r="35" spans="1:30">
      <c r="A35" s="407"/>
      <c r="B35" s="407"/>
      <c r="C35" s="407" t="s">
        <v>33</v>
      </c>
      <c r="D35" s="407" t="s">
        <v>0</v>
      </c>
      <c r="E35" s="407" t="s">
        <v>142</v>
      </c>
      <c r="F35" s="407"/>
      <c r="G35" s="407"/>
      <c r="H35" s="408" t="s">
        <v>602</v>
      </c>
      <c r="I35" s="407" t="s">
        <v>602</v>
      </c>
      <c r="J35" s="407" t="s">
        <v>602</v>
      </c>
      <c r="K35" s="409" t="s">
        <v>472</v>
      </c>
      <c r="L35" s="408" t="s">
        <v>473</v>
      </c>
      <c r="M35" s="410" t="s">
        <v>473</v>
      </c>
      <c r="N35" s="409" t="s">
        <v>472</v>
      </c>
      <c r="P35" s="83"/>
      <c r="Q35" s="84"/>
      <c r="R35" s="84"/>
      <c r="S35" s="84"/>
      <c r="T35" s="84"/>
      <c r="U35" s="84"/>
      <c r="V35" s="81"/>
      <c r="W35" s="401"/>
      <c r="X35" s="402"/>
      <c r="Y35" s="84"/>
      <c r="Z35" s="84"/>
      <c r="AA35" s="84"/>
      <c r="AB35" s="84"/>
      <c r="AC35" s="84"/>
      <c r="AD35" s="80"/>
    </row>
    <row r="36" spans="1:30">
      <c r="A36" s="407" t="s">
        <v>594</v>
      </c>
      <c r="B36" s="407"/>
      <c r="C36" s="407" t="s">
        <v>37</v>
      </c>
      <c r="D36" s="407">
        <v>999820</v>
      </c>
      <c r="E36" s="407">
        <v>1653</v>
      </c>
      <c r="F36" s="407"/>
      <c r="G36" s="407"/>
      <c r="H36" s="408"/>
      <c r="I36" s="407">
        <v>0.9998881970720439</v>
      </c>
      <c r="J36" s="407">
        <v>1.1134708971278611E-4</v>
      </c>
      <c r="K36" s="409">
        <v>2.1282786830082947</v>
      </c>
      <c r="L36" s="408">
        <v>0.16474294827471472</v>
      </c>
      <c r="M36" s="410">
        <v>3.4393445337098753E-2</v>
      </c>
      <c r="N36" s="409">
        <v>2.1500336700365597</v>
      </c>
      <c r="P36" s="83"/>
      <c r="Q36" s="84"/>
      <c r="R36" s="84"/>
      <c r="S36" s="84"/>
      <c r="T36" s="84"/>
      <c r="U36" s="84"/>
      <c r="V36" s="81"/>
      <c r="W36" s="401"/>
      <c r="X36" s="402"/>
      <c r="Y36" s="84"/>
      <c r="Z36" s="84"/>
      <c r="AA36" s="84"/>
      <c r="AB36" s="84"/>
      <c r="AC36" s="84"/>
      <c r="AD36" s="80"/>
    </row>
    <row r="37" spans="1:30">
      <c r="A37" s="407" t="s">
        <v>595</v>
      </c>
      <c r="B37" s="407"/>
      <c r="C37" s="407" t="s">
        <v>94</v>
      </c>
      <c r="D37" s="407">
        <v>999958</v>
      </c>
      <c r="E37" s="407">
        <v>335</v>
      </c>
      <c r="F37" s="407"/>
      <c r="G37" s="407"/>
      <c r="H37" s="408"/>
      <c r="I37" s="407">
        <v>0.10000262064849343</v>
      </c>
      <c r="J37" s="407">
        <v>1.1136226141403421E-5</v>
      </c>
      <c r="K37" s="409">
        <v>2.1262124919590808</v>
      </c>
      <c r="L37" s="408">
        <v>3.3461905379948857E-2</v>
      </c>
      <c r="M37" s="410">
        <v>3.4393128439221606E-2</v>
      </c>
      <c r="N37" s="409">
        <v>2.1500457277254625</v>
      </c>
      <c r="P37" s="83"/>
      <c r="Q37" s="84"/>
      <c r="R37" s="84"/>
      <c r="S37" s="84"/>
      <c r="T37" s="84"/>
      <c r="U37" s="84"/>
      <c r="V37" s="81"/>
      <c r="W37" s="401"/>
      <c r="X37" s="402"/>
      <c r="Y37" s="84"/>
      <c r="Z37" s="84"/>
      <c r="AA37" s="84"/>
      <c r="AB37" s="84"/>
      <c r="AC37" s="84"/>
      <c r="AD37" s="80"/>
    </row>
    <row r="38" spans="1:30">
      <c r="A38" s="407" t="s">
        <v>596</v>
      </c>
      <c r="B38" s="407"/>
      <c r="C38" s="407" t="s">
        <v>41</v>
      </c>
      <c r="D38" s="407">
        <v>1000004</v>
      </c>
      <c r="E38" s="407">
        <v>500</v>
      </c>
      <c r="F38" s="407"/>
      <c r="G38" s="407"/>
      <c r="H38" s="408"/>
      <c r="I38" s="407">
        <v>1.0000722096225644E-2</v>
      </c>
      <c r="J38" s="407">
        <v>1.1141205860925991E-6</v>
      </c>
      <c r="K38" s="409">
        <v>2.1037936287295711</v>
      </c>
      <c r="L38" s="408">
        <v>4.9393873823438524E-2</v>
      </c>
      <c r="M38" s="410">
        <v>3.4393136222050702E-2</v>
      </c>
      <c r="N38" s="409">
        <v>2.1500454269533336</v>
      </c>
      <c r="P38" s="83"/>
      <c r="Q38" s="84"/>
      <c r="R38" s="84"/>
      <c r="S38" s="84"/>
      <c r="T38" s="84"/>
      <c r="U38" s="84"/>
      <c r="V38" s="81"/>
      <c r="W38" s="401"/>
      <c r="X38" s="402"/>
      <c r="Y38" s="84"/>
      <c r="Z38" s="84"/>
      <c r="AA38" s="84"/>
      <c r="AB38" s="84"/>
      <c r="AC38" s="84"/>
      <c r="AD38" s="80"/>
    </row>
    <row r="39" spans="1:30">
      <c r="A39" s="407" t="s">
        <v>597</v>
      </c>
      <c r="B39" s="407"/>
      <c r="C39" s="407" t="s">
        <v>36</v>
      </c>
      <c r="D39" s="407">
        <v>999703</v>
      </c>
      <c r="E39" s="407">
        <v>-227</v>
      </c>
      <c r="F39" s="407"/>
      <c r="G39" s="407"/>
      <c r="H39" s="408"/>
      <c r="I39" s="407">
        <v>999.8346702320506</v>
      </c>
      <c r="J39" s="407">
        <v>0.11136965486833708</v>
      </c>
      <c r="K39" s="409">
        <v>2.1282786830082947</v>
      </c>
      <c r="L39" s="408">
        <v>-1.3604486384239145E-2</v>
      </c>
      <c r="M39" s="410">
        <v>3.4390980461173594E-2</v>
      </c>
      <c r="N39" s="409">
        <v>2.1500443916834961</v>
      </c>
      <c r="P39" s="83"/>
      <c r="Q39" s="84"/>
      <c r="R39" s="84"/>
      <c r="S39" s="84"/>
      <c r="T39" s="84"/>
      <c r="U39" s="84"/>
      <c r="V39" s="81"/>
      <c r="W39" s="401"/>
      <c r="X39" s="402"/>
      <c r="Y39" s="84"/>
      <c r="Z39" s="84"/>
      <c r="AA39" s="84"/>
      <c r="AB39" s="84"/>
      <c r="AC39" s="84"/>
      <c r="AD39" s="80"/>
    </row>
    <row r="40" spans="1:30">
      <c r="A40" s="407" t="s">
        <v>598</v>
      </c>
      <c r="B40" s="407"/>
      <c r="C40" s="407" t="s">
        <v>43</v>
      </c>
      <c r="D40" s="407">
        <v>999863</v>
      </c>
      <c r="E40" s="407">
        <v>1834</v>
      </c>
      <c r="F40" s="407"/>
      <c r="G40" s="407"/>
      <c r="H40" s="408"/>
      <c r="I40" s="407">
        <v>99.991024173507</v>
      </c>
      <c r="J40" s="407">
        <v>1.1160554140373318E-2</v>
      </c>
      <c r="K40" s="409">
        <v>2.1262124919590808</v>
      </c>
      <c r="L40" s="408">
        <v>-9.8650337650202646E-3</v>
      </c>
      <c r="M40" s="410">
        <v>3.4394229825560244E-2</v>
      </c>
      <c r="N40" s="409">
        <v>2.1500312439198845</v>
      </c>
      <c r="P40" s="83"/>
      <c r="Q40" s="84"/>
      <c r="R40" s="84"/>
      <c r="S40" s="84"/>
      <c r="T40" s="84"/>
      <c r="U40" s="84"/>
      <c r="V40" s="81"/>
      <c r="W40" s="401"/>
      <c r="X40" s="402"/>
      <c r="Y40" s="84"/>
      <c r="Z40" s="84"/>
      <c r="AA40" s="84"/>
      <c r="AB40" s="84"/>
      <c r="AC40" s="84"/>
      <c r="AD40" s="80"/>
    </row>
    <row r="41" spans="1:30">
      <c r="A41" s="407" t="s">
        <v>599</v>
      </c>
      <c r="B41" s="407"/>
      <c r="C41" s="407" t="s">
        <v>43</v>
      </c>
      <c r="D41" s="407">
        <v>99988</v>
      </c>
      <c r="E41" s="407">
        <v>193</v>
      </c>
      <c r="F41" s="407"/>
      <c r="G41" s="407"/>
      <c r="H41" s="408"/>
      <c r="I41" s="407">
        <v>9.9987323976484408</v>
      </c>
      <c r="J41" s="407">
        <v>1.1449434764596277E-3</v>
      </c>
      <c r="K41" s="409">
        <v>2.1037936287295711</v>
      </c>
      <c r="L41" s="408">
        <v>-4.6376149277873591E-3</v>
      </c>
      <c r="M41" s="410">
        <v>4.3842236534380651E-2</v>
      </c>
      <c r="N41" s="409">
        <v>2.0612768382515143</v>
      </c>
      <c r="P41" s="83"/>
      <c r="Q41" s="84"/>
      <c r="R41" s="84"/>
      <c r="S41" s="84"/>
      <c r="T41" s="84"/>
      <c r="U41" s="84"/>
      <c r="V41" s="81"/>
      <c r="W41" s="401"/>
      <c r="X41" s="402"/>
      <c r="Y41" s="84"/>
      <c r="Z41" s="84"/>
      <c r="AA41" s="84"/>
      <c r="AB41" s="84"/>
      <c r="AC41" s="84"/>
      <c r="AD41" s="80"/>
    </row>
    <row r="42" spans="1:30">
      <c r="A42" s="407" t="s">
        <v>600</v>
      </c>
      <c r="B42" s="407"/>
      <c r="C42" s="407" t="s">
        <v>43</v>
      </c>
      <c r="D42" s="407">
        <v>9997</v>
      </c>
      <c r="E42" s="407">
        <v>42</v>
      </c>
      <c r="F42" s="407"/>
      <c r="G42" s="407"/>
      <c r="H42" s="408"/>
      <c r="I42" s="407">
        <v>0.99915320142531228</v>
      </c>
      <c r="J42" s="407">
        <v>3.5273371230283291E-4</v>
      </c>
      <c r="K42" s="409">
        <v>2.0761060348467684</v>
      </c>
      <c r="L42" s="408">
        <v>9.6162142286059044E-2</v>
      </c>
      <c r="M42" s="410">
        <v>0.30966457322811647</v>
      </c>
      <c r="N42" s="409">
        <v>2.1827527354075866</v>
      </c>
      <c r="P42" s="83"/>
      <c r="Q42" s="84"/>
      <c r="R42" s="84"/>
      <c r="S42" s="84"/>
      <c r="T42" s="84"/>
      <c r="U42" s="84"/>
      <c r="V42" s="81"/>
      <c r="W42" s="401"/>
      <c r="X42" s="402"/>
      <c r="Y42" s="84"/>
      <c r="Z42" s="84"/>
      <c r="AA42" s="84"/>
      <c r="AB42" s="84"/>
      <c r="AC42" s="84"/>
      <c r="AD42" s="80"/>
    </row>
    <row r="43" spans="1:30">
      <c r="A43" s="392"/>
      <c r="B43" s="392"/>
      <c r="C43" s="392"/>
      <c r="D43" s="392"/>
      <c r="E43" s="392"/>
      <c r="F43" s="392"/>
      <c r="G43" s="392"/>
      <c r="H43" s="397"/>
      <c r="I43" s="392"/>
      <c r="J43" s="392"/>
      <c r="K43" s="398"/>
      <c r="L43" s="397"/>
      <c r="M43" s="399"/>
      <c r="N43" s="398"/>
      <c r="P43" s="83"/>
      <c r="Q43" s="84"/>
      <c r="R43" s="84"/>
      <c r="S43" s="84"/>
      <c r="T43" s="84"/>
      <c r="U43" s="84"/>
      <c r="V43" s="81"/>
      <c r="W43" s="401"/>
      <c r="X43" s="402"/>
      <c r="Y43" s="84"/>
      <c r="Z43" s="84"/>
      <c r="AA43" s="84"/>
      <c r="AB43" s="84"/>
      <c r="AC43" s="84"/>
      <c r="AD43" s="80"/>
    </row>
    <row r="45" spans="1:30">
      <c r="A45" s="411">
        <v>37459</v>
      </c>
      <c r="B45" s="412" t="s">
        <v>604</v>
      </c>
      <c r="C45" s="412"/>
      <c r="D45" s="412"/>
      <c r="E45" s="412"/>
      <c r="F45" s="412"/>
      <c r="G45" s="412"/>
      <c r="H45" s="412" t="s">
        <v>470</v>
      </c>
      <c r="I45" s="412" t="s">
        <v>34</v>
      </c>
      <c r="J45" s="412" t="s">
        <v>468</v>
      </c>
      <c r="K45" s="412" t="s">
        <v>471</v>
      </c>
      <c r="L45" s="412" t="s">
        <v>467</v>
      </c>
      <c r="M45" s="412" t="s">
        <v>468</v>
      </c>
      <c r="N45" s="413" t="s">
        <v>471</v>
      </c>
    </row>
    <row r="46" spans="1:30">
      <c r="A46" s="414" t="s">
        <v>605</v>
      </c>
      <c r="B46" s="415"/>
      <c r="C46" s="415" t="s">
        <v>33</v>
      </c>
      <c r="D46" s="415" t="s">
        <v>34</v>
      </c>
      <c r="E46" s="415" t="s">
        <v>35</v>
      </c>
      <c r="F46" s="415"/>
      <c r="G46" s="415"/>
      <c r="H46" s="416" t="s">
        <v>587</v>
      </c>
      <c r="I46" s="416" t="s">
        <v>587</v>
      </c>
      <c r="J46" s="416" t="s">
        <v>587</v>
      </c>
      <c r="K46" s="415" t="s">
        <v>472</v>
      </c>
      <c r="L46" s="415" t="s">
        <v>473</v>
      </c>
      <c r="M46" s="415" t="s">
        <v>473</v>
      </c>
      <c r="N46" s="417" t="s">
        <v>472</v>
      </c>
    </row>
    <row r="47" spans="1:30">
      <c r="A47" s="414" t="s">
        <v>594</v>
      </c>
      <c r="B47" s="415"/>
      <c r="C47" s="415" t="s">
        <v>37</v>
      </c>
      <c r="D47" s="415">
        <v>999800</v>
      </c>
      <c r="E47" s="415">
        <v>1564</v>
      </c>
      <c r="F47" s="415"/>
      <c r="G47" s="415"/>
      <c r="H47" s="415">
        <v>1</v>
      </c>
      <c r="I47" s="415">
        <v>0.99988698428599998</v>
      </c>
      <c r="J47" s="418">
        <v>1.2347446791275286E-4</v>
      </c>
      <c r="K47" s="419">
        <v>2.4531023625558377</v>
      </c>
      <c r="L47" s="420">
        <v>0.17381356066366127</v>
      </c>
      <c r="M47" s="421">
        <v>3.9380639458263873E-2</v>
      </c>
      <c r="N47" s="422">
        <v>2.0871697169527255</v>
      </c>
    </row>
    <row r="48" spans="1:30">
      <c r="A48" s="414" t="s">
        <v>595</v>
      </c>
      <c r="B48" s="415"/>
      <c r="C48" s="415" t="s">
        <v>94</v>
      </c>
      <c r="D48" s="415">
        <v>999865</v>
      </c>
      <c r="E48" s="415">
        <v>494</v>
      </c>
      <c r="F48" s="415"/>
      <c r="G48" s="415"/>
      <c r="H48" s="415">
        <v>0.1</v>
      </c>
      <c r="I48" s="415">
        <v>0.1000025995545</v>
      </c>
      <c r="J48" s="418">
        <v>1.2347395096420009E-5</v>
      </c>
      <c r="K48" s="419">
        <v>2.4545473891647145</v>
      </c>
      <c r="L48" s="420">
        <v>6.049630986545456E-2</v>
      </c>
      <c r="M48" s="421">
        <v>3.9380639458263859E-2</v>
      </c>
      <c r="N48" s="422">
        <v>2.0871697169527255</v>
      </c>
    </row>
    <row r="49" spans="1:14">
      <c r="A49" s="414" t="s">
        <v>596</v>
      </c>
      <c r="B49" s="415"/>
      <c r="C49" s="415" t="s">
        <v>94</v>
      </c>
      <c r="D49" s="415">
        <v>100000</v>
      </c>
      <c r="E49" s="415">
        <v>54</v>
      </c>
      <c r="F49" s="415"/>
      <c r="G49" s="415"/>
      <c r="H49" s="415">
        <v>0.01</v>
      </c>
      <c r="I49" s="415">
        <v>1.00009100081E-2</v>
      </c>
      <c r="J49" s="418">
        <v>1.2549829076667638E-6</v>
      </c>
      <c r="K49" s="419">
        <v>2.3204707222049938</v>
      </c>
      <c r="L49" s="420">
        <v>6.8991306735204136E-2</v>
      </c>
      <c r="M49" s="421">
        <v>3.4310250733120169E-2</v>
      </c>
      <c r="N49" s="422">
        <v>2.1402146382865626</v>
      </c>
    </row>
    <row r="50" spans="1:14">
      <c r="A50" s="414" t="s">
        <v>597</v>
      </c>
      <c r="B50" s="415"/>
      <c r="C50" s="415" t="s">
        <v>36</v>
      </c>
      <c r="D50" s="415">
        <v>999725</v>
      </c>
      <c r="E50" s="415">
        <v>-96</v>
      </c>
      <c r="F50" s="415"/>
      <c r="G50" s="415"/>
      <c r="H50" s="415">
        <v>1000</v>
      </c>
      <c r="I50" s="415">
        <v>999.85148617031257</v>
      </c>
      <c r="J50" s="418">
        <v>7.4102010648654945E-2</v>
      </c>
      <c r="K50" s="419">
        <v>2.4352737863727554</v>
      </c>
      <c r="L50" s="420">
        <v>2.9976965025331603E-3</v>
      </c>
      <c r="M50" s="421">
        <v>3.4310250733120169E-2</v>
      </c>
      <c r="N50" s="422">
        <v>2.1402146382865626</v>
      </c>
    </row>
    <row r="51" spans="1:14">
      <c r="A51" s="414" t="s">
        <v>598</v>
      </c>
      <c r="B51" s="415"/>
      <c r="C51" s="415" t="s">
        <v>43</v>
      </c>
      <c r="D51" s="415">
        <v>999884</v>
      </c>
      <c r="E51" s="415">
        <v>1530</v>
      </c>
      <c r="F51" s="415"/>
      <c r="G51" s="415"/>
      <c r="H51" s="415">
        <v>100</v>
      </c>
      <c r="I51" s="415">
        <v>99.995496537095349</v>
      </c>
      <c r="J51" s="418">
        <v>7.4095087057193922E-3</v>
      </c>
      <c r="K51" s="419">
        <v>2.4405783600497108</v>
      </c>
      <c r="L51" s="420">
        <v>4.0065530367590502E-3</v>
      </c>
      <c r="M51" s="421">
        <v>3.4310250733120169E-2</v>
      </c>
      <c r="N51" s="422">
        <v>2.1402146382865626</v>
      </c>
    </row>
    <row r="52" spans="1:14">
      <c r="A52" s="414" t="s">
        <v>599</v>
      </c>
      <c r="B52" s="415"/>
      <c r="C52" s="415" t="s">
        <v>43</v>
      </c>
      <c r="D52" s="415">
        <v>100007</v>
      </c>
      <c r="E52" s="415">
        <v>150</v>
      </c>
      <c r="F52" s="415"/>
      <c r="G52" s="415"/>
      <c r="H52" s="415">
        <v>10</v>
      </c>
      <c r="I52" s="415">
        <v>9.9992717804192548</v>
      </c>
      <c r="J52" s="418">
        <v>7.6244295397045374E-4</v>
      </c>
      <c r="K52" s="419">
        <v>2.0900212967482901</v>
      </c>
      <c r="L52" s="420">
        <v>1.9008318936686572E-2</v>
      </c>
      <c r="M52" s="421">
        <v>3.4310250733120162E-2</v>
      </c>
      <c r="N52" s="422">
        <v>2.1402146382865626</v>
      </c>
    </row>
    <row r="53" spans="1:14">
      <c r="A53" s="423" t="s">
        <v>600</v>
      </c>
      <c r="B53" s="424"/>
      <c r="C53" s="424" t="s">
        <v>43</v>
      </c>
      <c r="D53" s="424">
        <v>10027</v>
      </c>
      <c r="E53" s="424">
        <v>24</v>
      </c>
      <c r="F53" s="424"/>
      <c r="G53" s="424"/>
      <c r="H53" s="424">
        <v>1</v>
      </c>
      <c r="I53" s="424">
        <v>0.99996199380000006</v>
      </c>
      <c r="J53" s="425">
        <v>4.9630807210427263E-4</v>
      </c>
      <c r="K53" s="426">
        <v>2.3633717719251082</v>
      </c>
      <c r="L53" s="427">
        <v>2.6003056285599041E-2</v>
      </c>
      <c r="M53" s="428">
        <v>0.10709927980015248</v>
      </c>
      <c r="N53" s="429">
        <v>2.14155732736016</v>
      </c>
    </row>
    <row r="55" spans="1:14">
      <c r="A55" t="s">
        <v>606</v>
      </c>
    </row>
    <row r="56" spans="1:14">
      <c r="A56" t="s">
        <v>605</v>
      </c>
      <c r="C56" t="s">
        <v>33</v>
      </c>
      <c r="D56" t="s">
        <v>0</v>
      </c>
      <c r="E56" t="s">
        <v>142</v>
      </c>
      <c r="F56" t="s">
        <v>607</v>
      </c>
      <c r="H56" t="s">
        <v>608</v>
      </c>
      <c r="J56" t="s">
        <v>609</v>
      </c>
    </row>
    <row r="57" spans="1:14">
      <c r="A57" t="s">
        <v>594</v>
      </c>
      <c r="C57" t="s">
        <v>37</v>
      </c>
      <c r="D57">
        <v>999806</v>
      </c>
      <c r="E57">
        <v>1734</v>
      </c>
      <c r="F57">
        <v>0.99953805199199997</v>
      </c>
      <c r="G57" t="s">
        <v>610</v>
      </c>
      <c r="H57" s="65">
        <v>1.7336011800000001E-3</v>
      </c>
      <c r="I57" t="s">
        <v>104</v>
      </c>
      <c r="J57" s="337">
        <v>1.7344023837262331E-4</v>
      </c>
    </row>
    <row r="58" spans="1:14">
      <c r="A58" t="s">
        <v>595</v>
      </c>
      <c r="C58" t="s">
        <v>94</v>
      </c>
      <c r="D58">
        <v>999945</v>
      </c>
      <c r="E58">
        <v>600</v>
      </c>
      <c r="F58">
        <v>100.00759927950001</v>
      </c>
      <c r="G58" t="s">
        <v>105</v>
      </c>
      <c r="H58" s="65">
        <v>5.9997000000000009E-2</v>
      </c>
      <c r="I58" t="s">
        <v>611</v>
      </c>
      <c r="J58" s="337">
        <v>5.9992441006729023E-5</v>
      </c>
    </row>
    <row r="59" spans="1:14">
      <c r="A59" t="s">
        <v>596</v>
      </c>
      <c r="C59" t="s">
        <v>94</v>
      </c>
      <c r="D59">
        <v>100001</v>
      </c>
      <c r="E59">
        <v>64</v>
      </c>
      <c r="F59">
        <v>10.001410013100001</v>
      </c>
      <c r="G59" t="s">
        <v>105</v>
      </c>
      <c r="H59" s="65">
        <v>6.3996800000000005E-3</v>
      </c>
      <c r="I59" t="s">
        <v>611</v>
      </c>
      <c r="J59" s="337">
        <v>6.398777763952883E-5</v>
      </c>
    </row>
    <row r="60" spans="1:14">
      <c r="A60" t="s">
        <v>597</v>
      </c>
      <c r="C60" t="s">
        <v>36</v>
      </c>
      <c r="D60">
        <v>999733</v>
      </c>
      <c r="E60">
        <v>14</v>
      </c>
      <c r="F60">
        <v>999.47906781799998</v>
      </c>
      <c r="G60" t="s">
        <v>106</v>
      </c>
      <c r="H60" s="65">
        <v>1.399685E-2</v>
      </c>
      <c r="I60" t="s">
        <v>1</v>
      </c>
      <c r="J60" s="337">
        <v>1.4004145209921249E-6</v>
      </c>
    </row>
    <row r="61" spans="1:14">
      <c r="A61" t="s">
        <v>598</v>
      </c>
      <c r="C61" t="s">
        <v>43</v>
      </c>
      <c r="D61">
        <v>999906</v>
      </c>
      <c r="E61">
        <v>1080</v>
      </c>
      <c r="F61">
        <v>103.39997948820002</v>
      </c>
      <c r="G61" t="s">
        <v>106</v>
      </c>
      <c r="H61" s="65">
        <v>0.11177881200000001</v>
      </c>
      <c r="I61" t="s">
        <v>1</v>
      </c>
      <c r="J61" s="337">
        <v>1.0810332125138977E-4</v>
      </c>
    </row>
    <row r="62" spans="1:14">
      <c r="A62" t="s">
        <v>599</v>
      </c>
      <c r="C62" t="s">
        <v>43</v>
      </c>
      <c r="D62">
        <v>100012</v>
      </c>
      <c r="E62">
        <v>110</v>
      </c>
      <c r="F62">
        <v>10.342210916400001</v>
      </c>
      <c r="G62" t="s">
        <v>106</v>
      </c>
      <c r="H62" s="65">
        <v>1.1384879000000001E-2</v>
      </c>
      <c r="I62" t="s">
        <v>1</v>
      </c>
      <c r="J62" s="337">
        <v>1.100816749148541E-4</v>
      </c>
    </row>
    <row r="63" spans="1:14">
      <c r="A63" t="s">
        <v>600</v>
      </c>
      <c r="C63" t="s">
        <v>43</v>
      </c>
      <c r="D63">
        <v>10028</v>
      </c>
      <c r="E63">
        <v>15</v>
      </c>
      <c r="F63">
        <v>1.0369924716000001</v>
      </c>
      <c r="G63" t="s">
        <v>106</v>
      </c>
      <c r="H63" s="65">
        <v>1.5524835000000001E-3</v>
      </c>
      <c r="I63" t="s">
        <v>1</v>
      </c>
      <c r="J63" s="337">
        <v>1.4971019968974673E-4</v>
      </c>
    </row>
    <row r="65" spans="1:5">
      <c r="A65" t="s">
        <v>612</v>
      </c>
    </row>
    <row r="66" spans="1:5">
      <c r="A66" t="s">
        <v>605</v>
      </c>
      <c r="C66" t="s">
        <v>33</v>
      </c>
      <c r="D66" t="s">
        <v>613</v>
      </c>
      <c r="E66" t="s">
        <v>35</v>
      </c>
    </row>
    <row r="67" spans="1:5">
      <c r="A67" t="s">
        <v>594</v>
      </c>
      <c r="C67" t="s">
        <v>37</v>
      </c>
      <c r="D67">
        <v>999768</v>
      </c>
      <c r="E67">
        <v>1756</v>
      </c>
    </row>
    <row r="68" spans="1:5">
      <c r="A68" t="s">
        <v>595</v>
      </c>
      <c r="C68" t="s">
        <v>94</v>
      </c>
      <c r="D68">
        <v>999907</v>
      </c>
      <c r="E68">
        <v>610</v>
      </c>
    </row>
    <row r="69" spans="1:5">
      <c r="A69" t="s">
        <v>596</v>
      </c>
      <c r="C69" t="s">
        <v>41</v>
      </c>
      <c r="D69">
        <v>99998</v>
      </c>
      <c r="E69">
        <v>56</v>
      </c>
    </row>
    <row r="70" spans="1:5">
      <c r="A70" t="s">
        <v>597</v>
      </c>
      <c r="C70" t="s">
        <v>36</v>
      </c>
      <c r="D70">
        <v>999756</v>
      </c>
      <c r="E70">
        <v>98</v>
      </c>
    </row>
    <row r="71" spans="1:5">
      <c r="A71" t="s">
        <v>598</v>
      </c>
      <c r="C71" t="s">
        <v>43</v>
      </c>
      <c r="D71">
        <v>999911</v>
      </c>
      <c r="E71">
        <v>1100</v>
      </c>
    </row>
    <row r="72" spans="1:5">
      <c r="A72" t="s">
        <v>599</v>
      </c>
      <c r="C72" t="s">
        <v>43</v>
      </c>
      <c r="D72">
        <v>100008</v>
      </c>
      <c r="E72">
        <v>120</v>
      </c>
    </row>
    <row r="73" spans="1:5">
      <c r="A73" t="s">
        <v>600</v>
      </c>
      <c r="C73" t="s">
        <v>43</v>
      </c>
      <c r="D73">
        <v>10028</v>
      </c>
      <c r="E73">
        <v>10</v>
      </c>
    </row>
    <row r="75" spans="1:5">
      <c r="A75" t="s">
        <v>614</v>
      </c>
    </row>
    <row r="76" spans="1:5">
      <c r="A76" t="s">
        <v>605</v>
      </c>
      <c r="C76" t="s">
        <v>33</v>
      </c>
      <c r="D76" t="s">
        <v>613</v>
      </c>
      <c r="E76" t="s">
        <v>35</v>
      </c>
    </row>
    <row r="77" spans="1:5">
      <c r="A77" t="s">
        <v>594</v>
      </c>
      <c r="C77" t="s">
        <v>37</v>
      </c>
      <c r="D77">
        <v>999775</v>
      </c>
      <c r="E77">
        <v>1750</v>
      </c>
    </row>
    <row r="78" spans="1:5">
      <c r="A78" t="s">
        <v>595</v>
      </c>
      <c r="C78" t="s">
        <v>94</v>
      </c>
      <c r="D78">
        <v>999904</v>
      </c>
      <c r="E78">
        <v>590</v>
      </c>
    </row>
    <row r="79" spans="1:5">
      <c r="A79" t="s">
        <v>596</v>
      </c>
      <c r="C79" t="s">
        <v>41</v>
      </c>
      <c r="D79">
        <v>1000254</v>
      </c>
      <c r="E79">
        <v>700</v>
      </c>
    </row>
    <row r="80" spans="1:5">
      <c r="A80" t="s">
        <v>597</v>
      </c>
      <c r="C80" t="s">
        <v>36</v>
      </c>
      <c r="D80">
        <v>999770</v>
      </c>
      <c r="E80">
        <v>69</v>
      </c>
    </row>
    <row r="81" spans="1:5">
      <c r="A81" t="s">
        <v>598</v>
      </c>
      <c r="C81" t="s">
        <v>43</v>
      </c>
      <c r="D81">
        <v>1000019</v>
      </c>
      <c r="E81">
        <v>1506</v>
      </c>
    </row>
    <row r="82" spans="1:5">
      <c r="A82" t="s">
        <v>599</v>
      </c>
      <c r="C82" t="s">
        <v>43</v>
      </c>
      <c r="D82">
        <v>100020</v>
      </c>
      <c r="E82">
        <v>150</v>
      </c>
    </row>
    <row r="83" spans="1:5">
      <c r="A83" t="s">
        <v>600</v>
      </c>
      <c r="C83" t="s">
        <v>43</v>
      </c>
      <c r="D83">
        <v>10028</v>
      </c>
      <c r="E83">
        <v>16</v>
      </c>
    </row>
    <row r="86" spans="1:5">
      <c r="A86" t="s">
        <v>615</v>
      </c>
    </row>
    <row r="87" spans="1:5">
      <c r="A87" t="s">
        <v>605</v>
      </c>
      <c r="C87" t="s">
        <v>33</v>
      </c>
      <c r="D87" t="s">
        <v>613</v>
      </c>
      <c r="E87" t="s">
        <v>35</v>
      </c>
    </row>
    <row r="88" spans="1:5">
      <c r="A88" t="s">
        <v>594</v>
      </c>
      <c r="C88" t="s">
        <v>37</v>
      </c>
      <c r="D88">
        <v>999746</v>
      </c>
      <c r="E88">
        <v>1813</v>
      </c>
    </row>
    <row r="89" spans="1:5">
      <c r="A89" t="s">
        <v>595</v>
      </c>
      <c r="C89" t="s">
        <v>94</v>
      </c>
      <c r="D89">
        <v>999882</v>
      </c>
      <c r="E89">
        <v>659</v>
      </c>
    </row>
    <row r="90" spans="1:5">
      <c r="A90" t="s">
        <v>596</v>
      </c>
      <c r="C90" t="s">
        <v>41</v>
      </c>
      <c r="D90">
        <v>1000131</v>
      </c>
      <c r="E90">
        <v>560</v>
      </c>
    </row>
    <row r="91" spans="1:5">
      <c r="A91" t="s">
        <v>597</v>
      </c>
      <c r="C91" t="s">
        <v>36</v>
      </c>
      <c r="D91">
        <v>999732</v>
      </c>
      <c r="E91">
        <v>113</v>
      </c>
    </row>
    <row r="92" spans="1:5">
      <c r="A92" t="s">
        <v>598</v>
      </c>
      <c r="C92" t="s">
        <v>43</v>
      </c>
      <c r="D92">
        <v>999893</v>
      </c>
      <c r="E92">
        <v>1520</v>
      </c>
    </row>
    <row r="93" spans="1:5">
      <c r="A93" t="s">
        <v>599</v>
      </c>
      <c r="C93" t="s">
        <v>43</v>
      </c>
      <c r="D93">
        <v>100014</v>
      </c>
      <c r="E93">
        <v>150</v>
      </c>
    </row>
    <row r="94" spans="1:5">
      <c r="A94" t="s">
        <v>600</v>
      </c>
      <c r="C94" t="s">
        <v>43</v>
      </c>
      <c r="D94">
        <v>10027</v>
      </c>
      <c r="E94">
        <v>16</v>
      </c>
    </row>
    <row r="98" spans="1:37">
      <c r="A98" t="s">
        <v>45</v>
      </c>
      <c r="B98" t="s">
        <v>616</v>
      </c>
      <c r="C98" t="s">
        <v>617</v>
      </c>
    </row>
    <row r="99" spans="1:37">
      <c r="A99" s="1">
        <v>34186</v>
      </c>
      <c r="C99">
        <v>20878</v>
      </c>
    </row>
    <row r="100" spans="1:37">
      <c r="A100" s="1">
        <v>34989</v>
      </c>
      <c r="B100">
        <v>71623</v>
      </c>
      <c r="C100">
        <v>21066</v>
      </c>
    </row>
    <row r="101" spans="1:37">
      <c r="A101" s="1">
        <v>35761</v>
      </c>
      <c r="B101">
        <v>71750</v>
      </c>
      <c r="C101">
        <v>21250</v>
      </c>
    </row>
    <row r="102" spans="1:37">
      <c r="A102" s="1">
        <v>36753</v>
      </c>
      <c r="B102">
        <v>73040</v>
      </c>
      <c r="C102">
        <v>21385</v>
      </c>
    </row>
    <row r="103" spans="1:37">
      <c r="A103" s="1">
        <v>37459</v>
      </c>
      <c r="B103">
        <v>71250</v>
      </c>
      <c r="C103">
        <v>21464</v>
      </c>
    </row>
    <row r="104" spans="1:37">
      <c r="A104" s="1">
        <v>38405</v>
      </c>
      <c r="B104">
        <v>7140032</v>
      </c>
      <c r="C104">
        <v>21580</v>
      </c>
    </row>
    <row r="105" spans="1:37">
      <c r="A105" s="1"/>
    </row>
    <row r="106" spans="1:37">
      <c r="A106" s="1"/>
    </row>
    <row r="107" spans="1:37">
      <c r="B107" s="1">
        <v>34185</v>
      </c>
      <c r="F107" s="1">
        <v>34989</v>
      </c>
      <c r="J107" s="1">
        <v>35761</v>
      </c>
      <c r="N107" s="1">
        <v>36747</v>
      </c>
      <c r="R107" s="1">
        <v>37459</v>
      </c>
      <c r="V107" s="1">
        <v>38405</v>
      </c>
      <c r="Z107" s="1">
        <v>40680</v>
      </c>
      <c r="AD107" s="1">
        <v>41863</v>
      </c>
      <c r="AH107" s="1">
        <f>pyUBreadings!B4</f>
        <v>43073</v>
      </c>
    </row>
    <row r="108" spans="1:37">
      <c r="B108" t="s">
        <v>0</v>
      </c>
      <c r="C108" t="s">
        <v>152</v>
      </c>
      <c r="D108" t="s">
        <v>153</v>
      </c>
      <c r="E108" t="s">
        <v>618</v>
      </c>
      <c r="F108" t="s">
        <v>0</v>
      </c>
      <c r="G108" t="s">
        <v>152</v>
      </c>
      <c r="H108" t="s">
        <v>153</v>
      </c>
      <c r="I108" t="s">
        <v>618</v>
      </c>
      <c r="J108" t="s">
        <v>0</v>
      </c>
      <c r="K108" t="s">
        <v>152</v>
      </c>
      <c r="L108" t="s">
        <v>153</v>
      </c>
      <c r="M108" t="s">
        <v>618</v>
      </c>
      <c r="N108" t="s">
        <v>0</v>
      </c>
      <c r="O108" t="s">
        <v>152</v>
      </c>
      <c r="P108" t="s">
        <v>153</v>
      </c>
      <c r="Q108" t="s">
        <v>618</v>
      </c>
      <c r="R108" t="s">
        <v>0</v>
      </c>
      <c r="S108" t="s">
        <v>152</v>
      </c>
      <c r="T108" t="s">
        <v>153</v>
      </c>
      <c r="U108" t="s">
        <v>618</v>
      </c>
      <c r="V108" t="s">
        <v>0</v>
      </c>
      <c r="W108" t="s">
        <v>152</v>
      </c>
      <c r="X108" t="s">
        <v>153</v>
      </c>
      <c r="Y108" t="s">
        <v>618</v>
      </c>
      <c r="Z108" t="s">
        <v>0</v>
      </c>
      <c r="AA108" t="s">
        <v>152</v>
      </c>
      <c r="AB108" t="s">
        <v>153</v>
      </c>
      <c r="AC108" t="s">
        <v>618</v>
      </c>
      <c r="AD108" t="s">
        <v>0</v>
      </c>
      <c r="AE108" t="s">
        <v>152</v>
      </c>
      <c r="AF108" t="s">
        <v>153</v>
      </c>
      <c r="AG108" t="s">
        <v>618</v>
      </c>
      <c r="AH108" t="s">
        <v>0</v>
      </c>
      <c r="AI108" t="s">
        <v>152</v>
      </c>
      <c r="AJ108" t="s">
        <v>153</v>
      </c>
      <c r="AK108" t="s">
        <v>618</v>
      </c>
    </row>
    <row r="109" spans="1:37">
      <c r="A109" t="s">
        <v>594</v>
      </c>
      <c r="B109">
        <v>0.99983999999999995</v>
      </c>
      <c r="C109" s="337">
        <f>0.0002*B109</f>
        <v>1.9996799999999999E-4</v>
      </c>
      <c r="D109">
        <v>0.18</v>
      </c>
      <c r="E109">
        <v>0.1</v>
      </c>
      <c r="F109">
        <v>0.99985999999999997</v>
      </c>
      <c r="G109">
        <v>1.2E-4</v>
      </c>
      <c r="H109">
        <v>0.17499999999999999</v>
      </c>
      <c r="I109">
        <v>3.9E-2</v>
      </c>
      <c r="J109">
        <v>0.99985000000000002</v>
      </c>
      <c r="K109">
        <v>1.2E-4</v>
      </c>
      <c r="L109">
        <v>0.17599999999999999</v>
      </c>
      <c r="M109">
        <v>3.9E-2</v>
      </c>
      <c r="N109">
        <v>0.99988999999999995</v>
      </c>
      <c r="O109">
        <v>1.2E-4</v>
      </c>
      <c r="P109">
        <v>0.17</v>
      </c>
      <c r="Q109">
        <v>0.04</v>
      </c>
      <c r="R109">
        <v>0.99987999999999999</v>
      </c>
      <c r="S109">
        <v>1.2E-4</v>
      </c>
      <c r="T109">
        <v>0.16</v>
      </c>
      <c r="U109">
        <v>0.04</v>
      </c>
      <c r="V109">
        <v>0.9998881970720439</v>
      </c>
      <c r="W109">
        <v>1.1134708971278611E-4</v>
      </c>
      <c r="X109">
        <v>0.16474294827471472</v>
      </c>
      <c r="Y109">
        <v>3.4393445337098753E-2</v>
      </c>
      <c r="Z109">
        <v>0.99990093687267345</v>
      </c>
      <c r="AA109">
        <v>4.289074683682029E-5</v>
      </c>
      <c r="AB109">
        <v>0.17111407920585317</v>
      </c>
      <c r="AC109">
        <v>3.4533547399875526E-2</v>
      </c>
      <c r="AD109">
        <f t="shared" ref="AD109:AE115" si="6">I16</f>
        <v>0.9999044961601945</v>
      </c>
      <c r="AE109">
        <f t="shared" si="6"/>
        <v>4.2890875344783289E-5</v>
      </c>
      <c r="AF109" s="65">
        <f t="shared" ref="AF109:AG115" si="7">L16</f>
        <v>0.17091143732418621</v>
      </c>
      <c r="AG109" s="80">
        <f t="shared" si="7"/>
        <v>3.4533527576831355E-2</v>
      </c>
      <c r="AH109">
        <f>I6</f>
        <v>105.7673773205963</v>
      </c>
      <c r="AI109">
        <f>J6</f>
        <v>8.55027445036677E-3</v>
      </c>
      <c r="AJ109">
        <f>L6</f>
        <v>7.2014825419016871E-3</v>
      </c>
      <c r="AK109">
        <f>M6</f>
        <v>6.5656329226582741E-4</v>
      </c>
    </row>
    <row r="110" spans="1:37">
      <c r="A110" t="s">
        <v>595</v>
      </c>
      <c r="B110">
        <v>9.9997000000000003E-2</v>
      </c>
      <c r="C110" s="337">
        <f t="shared" ref="C110:C115" si="8">0.0002*B110</f>
        <v>1.99994E-5</v>
      </c>
      <c r="D110">
        <v>7.0000000000000007E-2</v>
      </c>
      <c r="E110">
        <v>0.1</v>
      </c>
      <c r="F110">
        <v>9.9998000000000004E-2</v>
      </c>
      <c r="G110">
        <v>1.2E-5</v>
      </c>
      <c r="H110">
        <v>5.8999999999999997E-2</v>
      </c>
      <c r="I110">
        <v>3.9E-2</v>
      </c>
      <c r="J110">
        <v>9.9999000000000005E-2</v>
      </c>
      <c r="K110">
        <v>1.2E-5</v>
      </c>
      <c r="L110">
        <v>6.0999999999999999E-2</v>
      </c>
      <c r="M110">
        <v>3.9E-2</v>
      </c>
      <c r="N110">
        <v>0.10000299999999999</v>
      </c>
      <c r="O110">
        <v>1.2E-5</v>
      </c>
      <c r="P110">
        <v>0.06</v>
      </c>
      <c r="Q110">
        <v>0.04</v>
      </c>
      <c r="R110">
        <v>0.10000199999999999</v>
      </c>
      <c r="S110">
        <v>1.2E-5</v>
      </c>
      <c r="T110">
        <v>0.05</v>
      </c>
      <c r="U110">
        <v>0.04</v>
      </c>
      <c r="V110">
        <v>0.10000262064849343</v>
      </c>
      <c r="W110">
        <v>1.1136226141403421E-5</v>
      </c>
      <c r="X110">
        <v>3.3461905379948857E-2</v>
      </c>
      <c r="Y110">
        <v>3.4393128439221606E-2</v>
      </c>
      <c r="Z110">
        <v>0.10000289458261064</v>
      </c>
      <c r="AA110">
        <v>4.2896224014482039E-6</v>
      </c>
      <c r="AB110">
        <v>3.9798179971278297E-2</v>
      </c>
      <c r="AC110">
        <v>3.4533524009359565E-2</v>
      </c>
      <c r="AD110">
        <f t="shared" si="6"/>
        <v>0.10000325051852012</v>
      </c>
      <c r="AE110">
        <f t="shared" si="6"/>
        <v>4.2896352394125101E-6</v>
      </c>
      <c r="AF110" s="65">
        <f t="shared" si="7"/>
        <v>4.1297477009549902E-2</v>
      </c>
      <c r="AG110" s="80">
        <f t="shared" si="7"/>
        <v>3.453350420618731E-2</v>
      </c>
      <c r="AH110">
        <f t="shared" ref="AH110:AI110" si="9">I7</f>
        <v>0.98816685935169368</v>
      </c>
      <c r="AI110">
        <f t="shared" si="9"/>
        <v>8.8725559230234279E-5</v>
      </c>
      <c r="AJ110">
        <f t="shared" ref="AJ110:AK110" si="10">L7</f>
        <v>8.0016472687796502E-3</v>
      </c>
      <c r="AK110">
        <f t="shared" si="10"/>
        <v>5.1685054849873058E-3</v>
      </c>
    </row>
    <row r="111" spans="1:37">
      <c r="A111" t="s">
        <v>596</v>
      </c>
      <c r="B111">
        <v>1.00004E-2</v>
      </c>
      <c r="C111" s="337">
        <f t="shared" si="8"/>
        <v>2.00008E-6</v>
      </c>
      <c r="D111">
        <v>0.08</v>
      </c>
      <c r="E111">
        <v>0.1</v>
      </c>
      <c r="F111">
        <v>1.0003400000000001E-2</v>
      </c>
      <c r="G111">
        <v>1.3E-6</v>
      </c>
      <c r="H111">
        <v>6.4000000000000001E-2</v>
      </c>
      <c r="I111">
        <v>3.4000000000000002E-2</v>
      </c>
      <c r="J111">
        <v>1.00006E-2</v>
      </c>
      <c r="K111">
        <v>1.3E-6</v>
      </c>
      <c r="L111">
        <v>5.8999999999999997E-2</v>
      </c>
      <c r="M111">
        <v>3.4000000000000002E-2</v>
      </c>
      <c r="N111">
        <v>1.00009E-2</v>
      </c>
      <c r="O111">
        <v>1.3E-6</v>
      </c>
      <c r="P111">
        <v>7.0000000000000007E-2</v>
      </c>
      <c r="Q111">
        <v>0.04</v>
      </c>
      <c r="R111">
        <v>1.0000800000000001E-2</v>
      </c>
      <c r="S111">
        <v>1.3E-6</v>
      </c>
      <c r="T111">
        <v>0.06</v>
      </c>
      <c r="U111">
        <v>0.03</v>
      </c>
      <c r="V111">
        <v>1.0000722096225644E-2</v>
      </c>
      <c r="W111">
        <v>1.1141205860925991E-6</v>
      </c>
      <c r="X111">
        <v>4.9393873823438524E-2</v>
      </c>
      <c r="Y111">
        <v>3.4393136222050702E-2</v>
      </c>
      <c r="Z111">
        <v>1.0000869498831307E-2</v>
      </c>
      <c r="AA111">
        <v>4.2898663077534626E-7</v>
      </c>
      <c r="AB111">
        <v>5.0194792968523388E-2</v>
      </c>
      <c r="AC111">
        <v>3.453348001083914E-2</v>
      </c>
      <c r="AD111">
        <f t="shared" si="6"/>
        <v>1.0000895092041497E-2</v>
      </c>
      <c r="AE111">
        <f t="shared" si="6"/>
        <v>4.2898748670594459E-7</v>
      </c>
      <c r="AF111" s="65">
        <f t="shared" si="7"/>
        <v>5.0094083951913851E-2</v>
      </c>
      <c r="AG111" s="80">
        <f t="shared" si="7"/>
        <v>3.4533460366915014E-2</v>
      </c>
      <c r="AH111">
        <f t="shared" ref="AH111:AI111" si="11">I8</f>
        <v>0.98816635931634345</v>
      </c>
      <c r="AI111">
        <f t="shared" si="11"/>
        <v>8.1675210969494078E-5</v>
      </c>
      <c r="AJ111">
        <f t="shared" ref="AJ111:AK111" si="12">L8</f>
        <v>5.801194269865249E-3</v>
      </c>
      <c r="AK111">
        <f t="shared" si="12"/>
        <v>3.7955292984738751E-3</v>
      </c>
    </row>
    <row r="112" spans="1:37">
      <c r="A112" t="s">
        <v>597</v>
      </c>
      <c r="B112" s="80">
        <v>999.87</v>
      </c>
      <c r="C112" s="80">
        <f t="shared" si="8"/>
        <v>0.19997400000000001</v>
      </c>
      <c r="D112">
        <v>0</v>
      </c>
      <c r="E112">
        <v>0.1</v>
      </c>
      <c r="F112">
        <v>999.9</v>
      </c>
      <c r="G112">
        <v>7.0000000000000007E-2</v>
      </c>
      <c r="H112">
        <v>0</v>
      </c>
      <c r="I112">
        <v>3.4000000000000002E-2</v>
      </c>
      <c r="J112">
        <v>999.89</v>
      </c>
      <c r="K112">
        <v>7.0000000000000007E-2</v>
      </c>
      <c r="L112">
        <v>0</v>
      </c>
      <c r="M112">
        <v>3.4000000000000002E-2</v>
      </c>
      <c r="N112">
        <v>999.85</v>
      </c>
      <c r="O112">
        <v>7.0000000000000007E-2</v>
      </c>
      <c r="P112">
        <v>0</v>
      </c>
      <c r="Q112">
        <v>0.03</v>
      </c>
      <c r="R112">
        <v>999.85</v>
      </c>
      <c r="S112">
        <v>7.0000000000000007E-2</v>
      </c>
      <c r="T112">
        <v>0.01</v>
      </c>
      <c r="U112">
        <v>0.03</v>
      </c>
      <c r="V112">
        <v>999.8346702320506</v>
      </c>
      <c r="W112">
        <v>0.11136965486833708</v>
      </c>
      <c r="X112">
        <v>-1.3604486384239145E-2</v>
      </c>
      <c r="Y112">
        <v>3.4390980461173594E-2</v>
      </c>
      <c r="Z112">
        <v>999.83688748555005</v>
      </c>
      <c r="AA112">
        <v>5.0849171745248986E-2</v>
      </c>
      <c r="AB112">
        <v>-5.5039202274287068E-3</v>
      </c>
      <c r="AC112">
        <v>3.4531323280436288E-2</v>
      </c>
      <c r="AD112">
        <f t="shared" si="6"/>
        <v>999.82744737198152</v>
      </c>
      <c r="AE112">
        <f t="shared" si="6"/>
        <v>5.0848715255551305E-2</v>
      </c>
      <c r="AF112" s="65">
        <f t="shared" si="7"/>
        <v>2.8984232585345382E-4</v>
      </c>
      <c r="AG112" s="80">
        <f t="shared" si="7"/>
        <v>3.4531339943973463E-2</v>
      </c>
      <c r="AH112">
        <f t="shared" ref="AH112:AI112" si="13">I9</f>
        <v>-9.0006363081410468E-3</v>
      </c>
      <c r="AI112">
        <f t="shared" si="13"/>
        <v>3.9484383254907419E-2</v>
      </c>
      <c r="AJ112">
        <f t="shared" ref="AJ112:AK112" si="14">L9</f>
        <v>-1.0002059085974569E-3</v>
      </c>
      <c r="AK112">
        <f t="shared" si="14"/>
        <v>3.9489721471057289E-3</v>
      </c>
    </row>
    <row r="113" spans="1:37">
      <c r="A113" t="s">
        <v>598</v>
      </c>
      <c r="B113">
        <v>99.992999999999995</v>
      </c>
      <c r="C113" s="65">
        <f t="shared" si="8"/>
        <v>1.9998599999999998E-2</v>
      </c>
      <c r="D113">
        <v>0</v>
      </c>
      <c r="E113">
        <v>0.1</v>
      </c>
      <c r="F113">
        <v>100.005</v>
      </c>
      <c r="G113">
        <v>8.0000000000000002E-3</v>
      </c>
      <c r="H113">
        <v>0</v>
      </c>
      <c r="I113">
        <v>3.4000000000000002E-2</v>
      </c>
      <c r="J113">
        <v>99.994</v>
      </c>
      <c r="K113">
        <v>8.0000000000000002E-3</v>
      </c>
      <c r="L113">
        <v>0</v>
      </c>
      <c r="M113">
        <v>3.4000000000000002E-2</v>
      </c>
      <c r="N113">
        <v>99.995000000000005</v>
      </c>
      <c r="O113">
        <v>7.0000000000000001E-3</v>
      </c>
      <c r="P113">
        <v>0</v>
      </c>
      <c r="Q113">
        <v>0.03</v>
      </c>
      <c r="R113">
        <v>99.992000000000004</v>
      </c>
      <c r="S113">
        <v>7.0000000000000001E-3</v>
      </c>
      <c r="T113">
        <v>7.0000000000000007E-2</v>
      </c>
      <c r="U113">
        <v>0.03</v>
      </c>
      <c r="V113">
        <v>99.991024173507</v>
      </c>
      <c r="W113">
        <v>1.1160554140373318E-2</v>
      </c>
      <c r="X113">
        <v>-9.8650337650202646E-3</v>
      </c>
      <c r="Y113">
        <v>3.4394229825560244E-2</v>
      </c>
      <c r="Z113">
        <v>100.00073479451603</v>
      </c>
      <c r="AA113">
        <v>5.0859265320812993E-3</v>
      </c>
      <c r="AB113">
        <v>5.5476445301373412E-3</v>
      </c>
      <c r="AC113">
        <v>3.4534215417453801E-2</v>
      </c>
      <c r="AD113">
        <f t="shared" si="6"/>
        <v>100.00215576247349</v>
      </c>
      <c r="AE113">
        <f t="shared" si="6"/>
        <v>5.0861142226006463E-3</v>
      </c>
      <c r="AF113" s="65">
        <f t="shared" si="7"/>
        <v>4.0501108048644557E-4</v>
      </c>
      <c r="AG113" s="80">
        <f t="shared" si="7"/>
        <v>3.4534169047922086E-2</v>
      </c>
      <c r="AH113">
        <f t="shared" ref="AH113:AI113" si="15">I10</f>
        <v>-1.2000848410854729E-3</v>
      </c>
      <c r="AI113">
        <f t="shared" si="15"/>
        <v>9.6664233714234896E-3</v>
      </c>
      <c r="AJ113">
        <f t="shared" ref="AJ113:AK113" si="16">L10</f>
        <v>-1.000205908597452E-4</v>
      </c>
      <c r="AK113">
        <f t="shared" si="16"/>
        <v>9.6677302538858455E-4</v>
      </c>
    </row>
    <row r="114" spans="1:37">
      <c r="A114" t="s">
        <v>599</v>
      </c>
      <c r="B114">
        <v>9.9989000000000008</v>
      </c>
      <c r="C114" s="91">
        <f t="shared" si="8"/>
        <v>1.99978E-3</v>
      </c>
      <c r="D114">
        <v>0</v>
      </c>
      <c r="E114">
        <v>0.1</v>
      </c>
      <c r="F114">
        <v>9.9997000000000007</v>
      </c>
      <c r="G114">
        <v>8.0000000000000004E-4</v>
      </c>
      <c r="H114">
        <v>0</v>
      </c>
      <c r="I114">
        <v>3.4000000000000002E-2</v>
      </c>
      <c r="J114">
        <v>9.9984000000000002</v>
      </c>
      <c r="K114">
        <v>8.0000000000000004E-4</v>
      </c>
      <c r="L114">
        <v>0</v>
      </c>
      <c r="M114">
        <v>3.4000000000000002E-2</v>
      </c>
      <c r="N114">
        <v>9.9992999999999999</v>
      </c>
      <c r="O114">
        <v>8.0000000000000004E-4</v>
      </c>
      <c r="P114">
        <v>0.02</v>
      </c>
      <c r="Q114">
        <v>0.03</v>
      </c>
      <c r="R114">
        <v>9.9985999999999997</v>
      </c>
      <c r="S114">
        <v>8.0000000000000004E-4</v>
      </c>
      <c r="T114">
        <v>0.06</v>
      </c>
      <c r="U114">
        <v>0.03</v>
      </c>
      <c r="V114">
        <v>9.9987323976484408</v>
      </c>
      <c r="W114">
        <v>1.1449434764596277E-3</v>
      </c>
      <c r="X114">
        <v>-4.6376149277873591E-3</v>
      </c>
      <c r="Y114">
        <v>4.3842236534380651E-2</v>
      </c>
      <c r="Z114">
        <v>9.9979232378781564</v>
      </c>
      <c r="AA114">
        <v>5.9907442838277956E-4</v>
      </c>
      <c r="AB114">
        <v>-7.9100177480623812E-3</v>
      </c>
      <c r="AC114">
        <v>4.4023454745382884E-2</v>
      </c>
      <c r="AD114">
        <f t="shared" si="6"/>
        <v>9.9980953863722739</v>
      </c>
      <c r="AE114">
        <f t="shared" si="6"/>
        <v>5.9909041198663896E-4</v>
      </c>
      <c r="AF114" s="65">
        <f t="shared" si="7"/>
        <v>-1.5382483875996688E-3</v>
      </c>
      <c r="AG114" s="80">
        <f t="shared" si="7"/>
        <v>4.4022639153207005E-2</v>
      </c>
      <c r="AH114">
        <f t="shared" ref="AH114:AI114" si="17">I11</f>
        <v>-1.1000777709950168E-3</v>
      </c>
      <c r="AI114">
        <f t="shared" si="17"/>
        <v>5.5273673082465689E-3</v>
      </c>
      <c r="AJ114">
        <f t="shared" ref="AJ114:AK114" si="18">L11</f>
        <v>-1.0002059085974611E-4</v>
      </c>
      <c r="AK114">
        <f t="shared" si="18"/>
        <v>5.528114598080798E-4</v>
      </c>
    </row>
    <row r="115" spans="1:37">
      <c r="A115" t="s">
        <v>600</v>
      </c>
      <c r="B115">
        <v>0.99956999999999996</v>
      </c>
      <c r="C115" s="337">
        <f t="shared" si="8"/>
        <v>1.9991400000000001E-4</v>
      </c>
      <c r="D115">
        <v>0.16</v>
      </c>
      <c r="E115">
        <v>0.1</v>
      </c>
      <c r="F115">
        <v>0.99995999999999996</v>
      </c>
      <c r="G115">
        <v>2.5999999999999998E-4</v>
      </c>
      <c r="H115">
        <v>0.16</v>
      </c>
      <c r="I115">
        <v>0.11</v>
      </c>
      <c r="J115">
        <v>0.99985999999999997</v>
      </c>
      <c r="K115">
        <v>5.0000000000000001E-4</v>
      </c>
      <c r="L115">
        <v>0.1</v>
      </c>
      <c r="M115">
        <v>0.11</v>
      </c>
      <c r="N115">
        <v>0.99995999999999996</v>
      </c>
      <c r="O115">
        <v>5.0000000000000001E-4</v>
      </c>
      <c r="P115">
        <v>0.03</v>
      </c>
      <c r="Q115">
        <v>0.11</v>
      </c>
      <c r="R115">
        <v>0.99985999999999997</v>
      </c>
      <c r="S115">
        <v>5.0000000000000001E-4</v>
      </c>
      <c r="T115">
        <v>0.09</v>
      </c>
      <c r="U115">
        <v>0.11</v>
      </c>
      <c r="V115">
        <v>0.99915320142531228</v>
      </c>
      <c r="W115">
        <v>3.5273371230283291E-4</v>
      </c>
      <c r="X115">
        <v>9.6162142286059044E-2</v>
      </c>
      <c r="Y115">
        <v>0.30966457322811647</v>
      </c>
      <c r="Z115">
        <v>1.0000123485069592</v>
      </c>
      <c r="AA115">
        <v>4.157903735093468E-4</v>
      </c>
      <c r="AB115">
        <v>4.0465669967069129E-3</v>
      </c>
      <c r="AC115">
        <v>0.31068114893177318</v>
      </c>
      <c r="AD115">
        <f t="shared" si="6"/>
        <v>0.99988954580232448</v>
      </c>
      <c r="AE115">
        <f t="shared" si="6"/>
        <v>4.1579058307347614E-4</v>
      </c>
      <c r="AF115" s="65">
        <f t="shared" si="7"/>
        <v>-9.7509912484205902E-3</v>
      </c>
      <c r="AG115" s="80">
        <f t="shared" si="7"/>
        <v>0.31071164794142986</v>
      </c>
      <c r="AH115">
        <f t="shared" ref="AH115:AI115" si="19">I12</f>
        <v>3.8512722691834629</v>
      </c>
      <c r="AI115">
        <f t="shared" si="19"/>
        <v>3.9484386600699195E-2</v>
      </c>
      <c r="AJ115">
        <f t="shared" ref="AJ115:AK115" si="20">L12</f>
        <v>5.0010295429872851E-3</v>
      </c>
      <c r="AK115">
        <f t="shared" si="20"/>
        <v>3.9489763464648038E-3</v>
      </c>
    </row>
    <row r="118" spans="1:37">
      <c r="A118" s="90" t="s">
        <v>594</v>
      </c>
    </row>
    <row r="119" spans="1:37">
      <c r="A119" t="s">
        <v>45</v>
      </c>
      <c r="B119" t="s">
        <v>0</v>
      </c>
      <c r="C119" t="s">
        <v>152</v>
      </c>
      <c r="D119" t="s">
        <v>153</v>
      </c>
      <c r="E119" t="s">
        <v>618</v>
      </c>
    </row>
    <row r="120" spans="1:37">
      <c r="A120" s="1">
        <v>34186</v>
      </c>
      <c r="B120" s="337">
        <f>VLOOKUP($A$118,hist_16,2,FALSE)</f>
        <v>0.99983999999999995</v>
      </c>
      <c r="C120">
        <f>VLOOKUP($A$118,hist_16,3,FALSE)</f>
        <v>1.9996799999999999E-4</v>
      </c>
      <c r="D120" s="337">
        <f>VLOOKUP($A$118,hist_16,4,FALSE)</f>
        <v>0.18</v>
      </c>
      <c r="E120">
        <f>VLOOKUP($A$118,hist_16,5,FALSE)</f>
        <v>0.1</v>
      </c>
    </row>
    <row r="121" spans="1:37">
      <c r="A121" s="1">
        <v>34989</v>
      </c>
      <c r="B121" s="337">
        <f>VLOOKUP($A$118,hist_16,2+4,FALSE)</f>
        <v>0.99985999999999997</v>
      </c>
      <c r="C121">
        <f>VLOOKUP($A$118,hist_16,3+4,FALSE)</f>
        <v>1.2E-4</v>
      </c>
      <c r="D121" s="337">
        <f>VLOOKUP($A$118,hist_16,4+4,FALSE)</f>
        <v>0.17499999999999999</v>
      </c>
      <c r="E121">
        <f>VLOOKUP($A$118,hist_16,5+4,FALSE)</f>
        <v>3.9E-2</v>
      </c>
    </row>
    <row r="122" spans="1:37">
      <c r="A122" s="1">
        <v>35761</v>
      </c>
      <c r="B122" s="337">
        <f>VLOOKUP($A$118,hist_16,2+8,FALSE)</f>
        <v>0.99985000000000002</v>
      </c>
      <c r="C122">
        <f>VLOOKUP($A$118,hist_16,3+8,FALSE)</f>
        <v>1.2E-4</v>
      </c>
      <c r="D122" s="337">
        <f>VLOOKUP($A$118,hist_16,4+8,FALSE)</f>
        <v>0.17599999999999999</v>
      </c>
      <c r="E122">
        <f>VLOOKUP($A$118,hist_16,5+8,FALSE)</f>
        <v>3.9E-2</v>
      </c>
    </row>
    <row r="123" spans="1:37">
      <c r="A123" s="1">
        <v>36753</v>
      </c>
      <c r="B123" s="337">
        <f>VLOOKUP($A$118,hist_16,2+12,FALSE)</f>
        <v>0.99988999999999995</v>
      </c>
      <c r="C123">
        <f>VLOOKUP($A$118,hist_16,3+12,FALSE)</f>
        <v>1.2E-4</v>
      </c>
      <c r="D123" s="337">
        <f>VLOOKUP($A$118,hist_16,4+12,FALSE)</f>
        <v>0.17</v>
      </c>
      <c r="E123">
        <f>VLOOKUP($A$118,hist_16,5+12,FALSE)</f>
        <v>0.04</v>
      </c>
    </row>
    <row r="124" spans="1:37">
      <c r="A124" s="1">
        <v>37459</v>
      </c>
      <c r="B124" s="337">
        <f>VLOOKUP($A$118,hist_16,2+16,FALSE)</f>
        <v>0.99987999999999999</v>
      </c>
      <c r="C124">
        <f>VLOOKUP($A$118,hist_16,3+16,FALSE)</f>
        <v>1.2E-4</v>
      </c>
      <c r="D124" s="337">
        <f>VLOOKUP($A$118,hist_16,4+16,FALSE)</f>
        <v>0.16</v>
      </c>
      <c r="E124">
        <f>VLOOKUP($A$118,hist_16,5+16,FALSE)</f>
        <v>0.04</v>
      </c>
    </row>
    <row r="125" spans="1:37">
      <c r="A125" s="1">
        <v>38405</v>
      </c>
      <c r="B125" s="337">
        <f>VLOOKUP($A$118,hist_16,2+20,FALSE)</f>
        <v>0.9998881970720439</v>
      </c>
      <c r="C125">
        <f>VLOOKUP($A$118,hist_16,3+20,FALSE)</f>
        <v>1.1134708971278611E-4</v>
      </c>
      <c r="D125" s="337">
        <f>VLOOKUP($A$118,hist_16,4+20,FALSE)</f>
        <v>0.16474294827471472</v>
      </c>
      <c r="E125">
        <f>VLOOKUP($A$118,hist_16,5+20,FALSE)</f>
        <v>3.4393445337098753E-2</v>
      </c>
    </row>
    <row r="126" spans="1:37">
      <c r="A126" s="1">
        <v>40680</v>
      </c>
      <c r="B126" s="337">
        <f>VLOOKUP($A$118,hist_16,2+24,FALSE)</f>
        <v>0.99990093687267345</v>
      </c>
      <c r="C126">
        <f>VLOOKUP($A$118,hist_16,3+24,FALSE)</f>
        <v>4.289074683682029E-5</v>
      </c>
      <c r="D126" s="337">
        <f>VLOOKUP($A$118,hist_16,4+24,FALSE)</f>
        <v>0.17111407920585317</v>
      </c>
      <c r="E126">
        <f>VLOOKUP($A$118,hist_16,5+24,FALSE)</f>
        <v>3.4533547399875526E-2</v>
      </c>
    </row>
    <row r="127" spans="1:37">
      <c r="A127" s="1">
        <v>41863</v>
      </c>
      <c r="B127" s="337">
        <f>VLOOKUP($A$118,hist_16,2+28,FALSE)</f>
        <v>0.9999044961601945</v>
      </c>
      <c r="C127">
        <f>VLOOKUP($A$118,hist_16,3+28,FALSE)</f>
        <v>4.2890875344783289E-5</v>
      </c>
      <c r="D127" s="337">
        <f>VLOOKUP($A$118,hist_16,4+28,FALSE)</f>
        <v>0.17091143732418621</v>
      </c>
      <c r="E127">
        <f>VLOOKUP($A$118,hist_16,5+28,FALSE)</f>
        <v>3.4533527576831355E-2</v>
      </c>
    </row>
    <row r="128" spans="1:37">
      <c r="A128" s="1">
        <v>43059</v>
      </c>
      <c r="B128" s="337">
        <f>VLOOKUP($A$118,hist_16,2+32,FALSE)</f>
        <v>105.7673773205963</v>
      </c>
      <c r="C128">
        <f>VLOOKUP($A$118,hist_16,3+32,FALSE)</f>
        <v>8.55027445036677E-3</v>
      </c>
      <c r="D128" s="337">
        <f>VLOOKUP($A$118,hist_16,4+32,FALSE)</f>
        <v>7.2014825419016871E-3</v>
      </c>
      <c r="E128">
        <f>VLOOKUP($A$118,hist_16,5+32,FALSE)</f>
        <v>6.5656329226582741E-4</v>
      </c>
    </row>
  </sheetData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N40"/>
  <sheetViews>
    <sheetView workbookViewId="0">
      <selection activeCell="M49" sqref="M49"/>
    </sheetView>
  </sheetViews>
  <sheetFormatPr defaultRowHeight="12.75"/>
  <cols>
    <col min="2" max="2" width="10.140625" bestFit="1" customWidth="1"/>
    <col min="7" max="7" width="12.42578125" bestFit="1" customWidth="1"/>
    <col min="9" max="9" width="10.140625" bestFit="1" customWidth="1"/>
  </cols>
  <sheetData>
    <row r="2" spans="1:12" ht="13.5" thickBot="1"/>
    <row r="3" spans="1:12" ht="16.5" thickTop="1">
      <c r="A3" t="s">
        <v>485</v>
      </c>
      <c r="B3" s="1">
        <v>36130</v>
      </c>
      <c r="D3" s="279" t="s">
        <v>458</v>
      </c>
      <c r="E3" s="606" t="s">
        <v>34</v>
      </c>
      <c r="F3" s="607"/>
      <c r="G3" s="608" t="s">
        <v>468</v>
      </c>
      <c r="H3" s="609"/>
      <c r="I3" s="281" t="s">
        <v>471</v>
      </c>
      <c r="J3" s="280" t="s">
        <v>467</v>
      </c>
      <c r="K3" s="281" t="s">
        <v>468</v>
      </c>
      <c r="L3" s="282" t="s">
        <v>471</v>
      </c>
    </row>
    <row r="4" spans="1:12" ht="15.75">
      <c r="D4" s="283" t="s">
        <v>484</v>
      </c>
      <c r="E4" s="610"/>
      <c r="F4" s="611"/>
      <c r="G4" s="612"/>
      <c r="H4" s="613"/>
      <c r="I4" s="285" t="s">
        <v>472</v>
      </c>
      <c r="J4" s="284" t="s">
        <v>473</v>
      </c>
      <c r="K4" s="286" t="s">
        <v>473</v>
      </c>
      <c r="L4" s="287" t="s">
        <v>472</v>
      </c>
    </row>
    <row r="5" spans="1:12" ht="15.75">
      <c r="D5" s="288" t="s">
        <v>474</v>
      </c>
      <c r="E5" s="308">
        <v>0.99930714044871838</v>
      </c>
      <c r="F5" s="342" t="s">
        <v>479</v>
      </c>
      <c r="G5" s="310">
        <v>6.1732152387317959E-5</v>
      </c>
      <c r="H5" s="342" t="s">
        <v>479</v>
      </c>
      <c r="I5" s="289">
        <v>2.4203985393924405</v>
      </c>
      <c r="J5" s="290">
        <v>8.6756739435900607E-2</v>
      </c>
      <c r="K5" s="291">
        <v>3.4492269623973358E-2</v>
      </c>
      <c r="L5" s="292">
        <v>2.0899553515665761</v>
      </c>
    </row>
    <row r="6" spans="1:12" ht="15.75">
      <c r="D6" s="283" t="s">
        <v>475</v>
      </c>
      <c r="E6" s="314">
        <v>100.16403392360419</v>
      </c>
      <c r="F6" s="343" t="s">
        <v>105</v>
      </c>
      <c r="G6" s="316">
        <v>6.1881392831129103E-3</v>
      </c>
      <c r="H6" s="343" t="s">
        <v>105</v>
      </c>
      <c r="I6" s="293">
        <v>2.4199913287087473</v>
      </c>
      <c r="J6" s="294">
        <v>7.7396990774009869E-2</v>
      </c>
      <c r="K6" s="295">
        <v>3.4494437071416327E-2</v>
      </c>
      <c r="L6" s="296">
        <v>2.1515606235734865</v>
      </c>
    </row>
    <row r="7" spans="1:12" ht="15.75">
      <c r="D7" s="283" t="s">
        <v>476</v>
      </c>
      <c r="E7" s="320">
        <v>9.9943515135518126</v>
      </c>
      <c r="F7" s="344" t="s">
        <v>105</v>
      </c>
      <c r="G7" s="322">
        <v>6.5267228379382186E-4</v>
      </c>
      <c r="H7" s="344" t="s">
        <v>105</v>
      </c>
      <c r="I7" s="293">
        <v>2.2079675767074525</v>
      </c>
      <c r="J7" s="294">
        <v>1.1499552892779244E-2</v>
      </c>
      <c r="K7" s="295">
        <v>3.9661009261211307E-2</v>
      </c>
      <c r="L7" s="296">
        <v>2.151568523174249</v>
      </c>
    </row>
    <row r="8" spans="1:12" ht="15.75">
      <c r="D8" s="283" t="s">
        <v>477</v>
      </c>
      <c r="E8" s="324">
        <v>0.98853962736671819</v>
      </c>
      <c r="F8" s="345" t="s">
        <v>105</v>
      </c>
      <c r="G8" s="326">
        <v>1.2820805276236608E-4</v>
      </c>
      <c r="H8" s="345" t="s">
        <v>105</v>
      </c>
      <c r="I8" s="293">
        <v>2.2630787467018845</v>
      </c>
      <c r="J8" s="294">
        <v>7.5453615637070703E-2</v>
      </c>
      <c r="K8" s="295">
        <v>2.6288738696399298E-2</v>
      </c>
      <c r="L8" s="296">
        <v>2.098521046128917</v>
      </c>
    </row>
    <row r="9" spans="1:12" ht="16.5" thickBot="1">
      <c r="D9" s="299" t="s">
        <v>478</v>
      </c>
      <c r="E9" s="328">
        <v>490.64981974309615</v>
      </c>
      <c r="F9" s="346" t="s">
        <v>106</v>
      </c>
      <c r="G9" s="330">
        <v>0.12939784199318072</v>
      </c>
      <c r="H9" s="346" t="s">
        <v>106</v>
      </c>
      <c r="I9" s="301">
        <v>2.2360415273323517</v>
      </c>
      <c r="J9" s="300">
        <v>0.20160850244843387</v>
      </c>
      <c r="K9" s="302">
        <v>5.1140184016205389E-2</v>
      </c>
      <c r="L9" s="303">
        <v>2.2724260617020136</v>
      </c>
    </row>
    <row r="10" spans="1:12" ht="14.25" thickTop="1" thickBot="1"/>
    <row r="11" spans="1:12" ht="16.5" thickTop="1">
      <c r="A11" t="s">
        <v>469</v>
      </c>
      <c r="B11" s="1">
        <v>37228</v>
      </c>
      <c r="D11" s="279" t="s">
        <v>470</v>
      </c>
      <c r="E11" s="304" t="s">
        <v>34</v>
      </c>
      <c r="F11" s="304"/>
      <c r="G11" s="305" t="s">
        <v>468</v>
      </c>
      <c r="H11" s="305"/>
      <c r="I11" s="341" t="s">
        <v>471</v>
      </c>
      <c r="J11" s="340" t="s">
        <v>467</v>
      </c>
      <c r="K11" s="341" t="s">
        <v>468</v>
      </c>
      <c r="L11" s="282" t="s">
        <v>471</v>
      </c>
    </row>
    <row r="12" spans="1:12" ht="15.75">
      <c r="D12" s="283"/>
      <c r="E12" s="284"/>
      <c r="F12" s="306"/>
      <c r="G12" s="285"/>
      <c r="H12" s="307"/>
      <c r="I12" s="285" t="s">
        <v>472</v>
      </c>
      <c r="J12" s="284" t="s">
        <v>473</v>
      </c>
      <c r="K12" s="286" t="s">
        <v>473</v>
      </c>
      <c r="L12" s="287" t="s">
        <v>472</v>
      </c>
    </row>
    <row r="13" spans="1:12" ht="15.75">
      <c r="D13" s="288" t="s">
        <v>474</v>
      </c>
      <c r="E13" s="308">
        <v>0.99982965725120443</v>
      </c>
      <c r="F13" s="309" t="s">
        <v>479</v>
      </c>
      <c r="G13" s="310">
        <v>1.2370419384979348E-4</v>
      </c>
      <c r="H13" s="311" t="s">
        <v>479</v>
      </c>
      <c r="I13" s="312">
        <v>2.3982678783219868</v>
      </c>
      <c r="J13" s="290">
        <v>5.2006703070784248E-2</v>
      </c>
      <c r="K13" s="291">
        <v>3.9873098835993812E-2</v>
      </c>
      <c r="L13" s="313">
        <v>2.1459962721701977</v>
      </c>
    </row>
    <row r="14" spans="1:12" ht="15.75">
      <c r="D14" s="283" t="s">
        <v>475</v>
      </c>
      <c r="E14" s="314">
        <v>100.09067333674081</v>
      </c>
      <c r="F14" s="315" t="s">
        <v>105</v>
      </c>
      <c r="G14" s="316">
        <v>1.2369584863523094E-2</v>
      </c>
      <c r="H14" s="317" t="s">
        <v>105</v>
      </c>
      <c r="I14" s="318">
        <v>2.3994592626801707</v>
      </c>
      <c r="J14" s="294">
        <v>6.2840412698467699E-2</v>
      </c>
      <c r="K14" s="295">
        <v>3.9873098835993812E-2</v>
      </c>
      <c r="L14" s="319">
        <v>2.1459962721701977</v>
      </c>
    </row>
    <row r="15" spans="1:12" ht="15.75">
      <c r="D15" s="283" t="s">
        <v>476</v>
      </c>
      <c r="E15" s="320">
        <v>9.9928000000000008</v>
      </c>
      <c r="F15" s="321" t="s">
        <v>105</v>
      </c>
      <c r="G15" s="322">
        <v>1.5144856347442156E-3</v>
      </c>
      <c r="H15" s="323" t="s">
        <v>105</v>
      </c>
      <c r="I15" s="318">
        <v>2.1126288614084583</v>
      </c>
      <c r="J15" s="297">
        <v>0.18813545752942118</v>
      </c>
      <c r="K15" s="298">
        <v>0.10942476867893212</v>
      </c>
      <c r="L15" s="319">
        <v>2.1459962721701982</v>
      </c>
    </row>
    <row r="16" spans="1:12" ht="15.75">
      <c r="D16" s="283" t="s">
        <v>477</v>
      </c>
      <c r="E16" s="324">
        <v>0.98796000000000006</v>
      </c>
      <c r="F16" s="325" t="s">
        <v>105</v>
      </c>
      <c r="G16" s="326">
        <v>1.8139725258074842E-4</v>
      </c>
      <c r="H16" s="327" t="s">
        <v>105</v>
      </c>
      <c r="I16" s="318">
        <v>2.0754423450940234</v>
      </c>
      <c r="J16" s="297">
        <v>8.0974938256609591E-2</v>
      </c>
      <c r="K16" s="298">
        <v>0.1094247686789321</v>
      </c>
      <c r="L16" s="319">
        <v>2.1459962721701977</v>
      </c>
    </row>
    <row r="17" spans="1:12" ht="16.5" thickBot="1">
      <c r="D17" s="299" t="s">
        <v>478</v>
      </c>
      <c r="E17" s="328">
        <v>490.43</v>
      </c>
      <c r="F17" s="329" t="s">
        <v>106</v>
      </c>
      <c r="G17" s="330">
        <v>0.13470489356827625</v>
      </c>
      <c r="H17" s="331" t="s">
        <v>106</v>
      </c>
      <c r="I17" s="332">
        <v>2.1682178032619208</v>
      </c>
      <c r="J17" s="300">
        <v>0.14273188834288275</v>
      </c>
      <c r="K17" s="302">
        <v>0.10942476867893211</v>
      </c>
      <c r="L17" s="333">
        <v>2.1459962721701977</v>
      </c>
    </row>
    <row r="18" spans="1:12" ht="13.5" thickTop="1"/>
    <row r="19" spans="1:12" ht="12.75" customHeight="1">
      <c r="A19" t="s">
        <v>486</v>
      </c>
      <c r="B19" s="1">
        <v>38393</v>
      </c>
      <c r="D19" s="614" t="s">
        <v>487</v>
      </c>
      <c r="E19" s="614" t="s">
        <v>34</v>
      </c>
      <c r="F19" s="615"/>
      <c r="G19" s="600" t="s">
        <v>488</v>
      </c>
      <c r="H19" s="615"/>
      <c r="I19" s="600" t="s">
        <v>489</v>
      </c>
      <c r="J19" s="600" t="s">
        <v>490</v>
      </c>
      <c r="K19" s="600" t="s">
        <v>491</v>
      </c>
      <c r="L19" s="603" t="s">
        <v>489</v>
      </c>
    </row>
    <row r="20" spans="1:12">
      <c r="D20" s="601"/>
      <c r="E20" s="601"/>
      <c r="F20" s="616"/>
      <c r="G20" s="601"/>
      <c r="H20" s="616"/>
      <c r="I20" s="601" t="s">
        <v>472</v>
      </c>
      <c r="J20" s="601"/>
      <c r="K20" s="601" t="s">
        <v>131</v>
      </c>
      <c r="L20" s="604" t="s">
        <v>472</v>
      </c>
    </row>
    <row r="21" spans="1:12">
      <c r="D21" s="602"/>
      <c r="E21" s="602"/>
      <c r="F21" s="617"/>
      <c r="G21" s="602"/>
      <c r="H21" s="617"/>
      <c r="I21" s="602"/>
      <c r="J21" s="602" t="s">
        <v>134</v>
      </c>
      <c r="K21" s="602" t="s">
        <v>134</v>
      </c>
      <c r="L21" s="605"/>
    </row>
    <row r="22" spans="1:12">
      <c r="D22" s="253" t="s">
        <v>496</v>
      </c>
      <c r="E22" s="347">
        <v>0.99933615942048282</v>
      </c>
      <c r="F22" s="348" t="s">
        <v>479</v>
      </c>
      <c r="G22" s="347">
        <v>1.3352003870626235E-4</v>
      </c>
      <c r="H22" s="348" t="s">
        <v>479</v>
      </c>
      <c r="I22" s="254">
        <v>2.0529727461668652</v>
      </c>
      <c r="J22" s="264">
        <v>8.0722794394239336E-2</v>
      </c>
      <c r="K22" s="260">
        <v>3.4550498412175314E-2</v>
      </c>
      <c r="L22" s="349">
        <v>2.1447083413460151</v>
      </c>
    </row>
    <row r="23" spans="1:12">
      <c r="D23" s="253" t="s">
        <v>492</v>
      </c>
      <c r="E23" s="350">
        <v>100.17633249645748</v>
      </c>
      <c r="F23" s="351" t="s">
        <v>105</v>
      </c>
      <c r="G23" s="350">
        <v>1.750236448723571E-2</v>
      </c>
      <c r="H23" s="351" t="s">
        <v>105</v>
      </c>
      <c r="I23" s="254">
        <v>2.058566109566752</v>
      </c>
      <c r="J23" s="264">
        <v>5.050348584684923E-2</v>
      </c>
      <c r="K23" s="260">
        <v>3.4522128676187612E-2</v>
      </c>
      <c r="L23" s="349">
        <v>2.1457293046147234</v>
      </c>
    </row>
    <row r="24" spans="1:12">
      <c r="D24" s="253" t="s">
        <v>493</v>
      </c>
      <c r="E24" s="352">
        <v>9.9949116999293217</v>
      </c>
      <c r="F24" s="353" t="s">
        <v>105</v>
      </c>
      <c r="G24" s="352">
        <v>1.1659992002553206E-3</v>
      </c>
      <c r="H24" s="353" t="s">
        <v>105</v>
      </c>
      <c r="I24" s="254">
        <v>2.0906287404783819</v>
      </c>
      <c r="J24" s="264">
        <v>8.090955976746618E-2</v>
      </c>
      <c r="K24" s="260">
        <v>3.4523028401904431E-2</v>
      </c>
      <c r="L24" s="349">
        <v>2.1456998247484713</v>
      </c>
    </row>
    <row r="25" spans="1:12">
      <c r="D25" s="253" t="s">
        <v>494</v>
      </c>
      <c r="E25" s="347">
        <v>0.98941929861088262</v>
      </c>
      <c r="F25" s="353" t="s">
        <v>105</v>
      </c>
      <c r="G25" s="347">
        <v>3.3669717745277112E-4</v>
      </c>
      <c r="H25" s="353" t="s">
        <v>105</v>
      </c>
      <c r="I25" s="254">
        <v>2.0793109056027714</v>
      </c>
      <c r="J25" s="264">
        <v>4.2563773805264465E-2</v>
      </c>
      <c r="K25" s="260">
        <v>3.4525331663875586E-2</v>
      </c>
      <c r="L25" s="349">
        <v>2.145558373791332</v>
      </c>
    </row>
    <row r="26" spans="1:12">
      <c r="D26" s="257" t="s">
        <v>495</v>
      </c>
      <c r="E26" s="354">
        <v>491.65074647239516</v>
      </c>
      <c r="F26" s="355" t="s">
        <v>106</v>
      </c>
      <c r="G26" s="354">
        <v>0.60025354125784069</v>
      </c>
      <c r="H26" s="355" t="s">
        <v>106</v>
      </c>
      <c r="I26" s="258">
        <v>2.124932407275697</v>
      </c>
      <c r="J26" s="356">
        <v>0.13876636669551654</v>
      </c>
      <c r="K26" s="357">
        <v>3.5259284839655923E-2</v>
      </c>
      <c r="L26" s="358">
        <v>2.128560051153507</v>
      </c>
    </row>
    <row r="28" spans="1:12">
      <c r="A28" s="172" t="s">
        <v>483</v>
      </c>
      <c r="B28" s="1">
        <v>43034</v>
      </c>
      <c r="C28" t="str">
        <f>pyReport!M4</f>
        <v>SHORT</v>
      </c>
      <c r="D28">
        <f>pyReport!N4</f>
        <v>53</v>
      </c>
      <c r="E28">
        <f>pyReport!O4/1000</f>
        <v>-9.0006364229272572E-6</v>
      </c>
      <c r="G28">
        <f>pyReport!P4/1000</f>
        <v>9.3192121072910403E-5</v>
      </c>
      <c r="I28" s="83">
        <f>pyReport!Q4</f>
        <v>2.4687245292851547</v>
      </c>
      <c r="J28" s="80">
        <f>pyReport!R4</f>
        <v>-1.0002058917021682E-3</v>
      </c>
      <c r="K28" s="80">
        <f>pyReport!S4</f>
        <v>1.6402607686617325E-2</v>
      </c>
      <c r="L28" s="83" t="e">
        <f>pyReport!#REF!</f>
        <v>#REF!</v>
      </c>
    </row>
    <row r="29" spans="1:12">
      <c r="C29">
        <f>pyReport!M5</f>
        <v>0</v>
      </c>
      <c r="D29">
        <f>pyReport!N5</f>
        <v>400</v>
      </c>
      <c r="E29">
        <f>pyReport!O5</f>
        <v>-1.200084856390301E-3</v>
      </c>
      <c r="G29">
        <f>pyReport!P5</f>
        <v>1.235815446698918E-2</v>
      </c>
      <c r="I29" s="83">
        <f>pyReport!Q5</f>
        <v>2.4236334892966451</v>
      </c>
      <c r="J29" s="80">
        <f>pyReport!R5</f>
        <v>-1.0002058917021681E-4</v>
      </c>
      <c r="K29" s="80">
        <f>pyReport!S5</f>
        <v>2.0558740604072444E-3</v>
      </c>
      <c r="L29" s="83" t="e">
        <f>pyReport!#REF!</f>
        <v>#REF!</v>
      </c>
    </row>
    <row r="30" spans="1:12">
      <c r="C30">
        <f>pyReport!M6</f>
        <v>0</v>
      </c>
      <c r="D30">
        <f>pyReport!N6</f>
        <v>1000</v>
      </c>
      <c r="E30">
        <f>pyReport!O6</f>
        <v>-1.1000777850244425E-3</v>
      </c>
      <c r="G30">
        <f>pyReport!P6</f>
        <v>5.1036638313415247E-3</v>
      </c>
      <c r="I30" s="83">
        <f>pyReport!Q6</f>
        <v>2.2824278406292913</v>
      </c>
      <c r="J30" s="80">
        <f>pyReport!R6</f>
        <v>-1.0002058917021681E-4</v>
      </c>
      <c r="K30" s="80">
        <f>pyReport!S6</f>
        <v>6.978902844397227E-4</v>
      </c>
      <c r="L30" s="83" t="e">
        <f>pyReport!#REF!</f>
        <v>#REF!</v>
      </c>
    </row>
    <row r="31" spans="1:12">
      <c r="C31" t="str">
        <f>pyReport!M7</f>
        <v>0 Ω</v>
      </c>
      <c r="D31">
        <f>pyReport!N7</f>
        <v>53</v>
      </c>
      <c r="E31">
        <f>pyReport!O7</f>
        <v>3.8512723182992072</v>
      </c>
      <c r="G31">
        <f>pyReport!P7</f>
        <v>9.3192117469873686E-2</v>
      </c>
      <c r="I31" s="83">
        <f>pyReport!Q7</f>
        <v>2.4687205363792324</v>
      </c>
      <c r="J31" s="80">
        <f>pyReport!R7</f>
        <v>5.001029458510841E-3</v>
      </c>
      <c r="K31" s="80">
        <f>pyReport!S7</f>
        <v>1.6402539591026777E-2</v>
      </c>
      <c r="L31" s="83" t="e">
        <f>pyReport!#REF!</f>
        <v>#REF!</v>
      </c>
    </row>
    <row r="32" spans="1:12">
      <c r="C32" t="e">
        <f>pyReport!#REF!</f>
        <v>#REF!</v>
      </c>
      <c r="D32" t="e">
        <f>pyReport!#REF!</f>
        <v>#REF!</v>
      </c>
      <c r="E32" t="e">
        <f>pyReport!#REF!*1000</f>
        <v>#REF!</v>
      </c>
      <c r="G32" t="e">
        <f>pyReport!#REF!*1000</f>
        <v>#REF!</v>
      </c>
      <c r="I32" s="83" t="e">
        <f>pyReport!#REF!</f>
        <v>#REF!</v>
      </c>
      <c r="J32" s="80" t="e">
        <f>pyReport!#REF!</f>
        <v>#REF!</v>
      </c>
      <c r="K32" s="80" t="e">
        <f>pyReport!#REF!</f>
        <v>#REF!</v>
      </c>
      <c r="L32" s="83" t="e">
        <f>pyReport!#REF!</f>
        <v>#REF!</v>
      </c>
    </row>
    <row r="35" spans="2:14">
      <c r="J35" s="172" t="s">
        <v>567</v>
      </c>
    </row>
    <row r="36" spans="2:14">
      <c r="C36" t="str">
        <f>C28</f>
        <v>SHORT</v>
      </c>
      <c r="D36">
        <f>C29</f>
        <v>0</v>
      </c>
      <c r="E36">
        <f>C30</f>
        <v>0</v>
      </c>
      <c r="F36" t="str">
        <f>C31</f>
        <v>0 Ω</v>
      </c>
      <c r="G36" t="e">
        <f>C32</f>
        <v>#REF!</v>
      </c>
      <c r="J36">
        <v>307348</v>
      </c>
      <c r="K36">
        <v>365390</v>
      </c>
      <c r="L36">
        <v>365385</v>
      </c>
      <c r="M36">
        <v>365392</v>
      </c>
      <c r="N36">
        <v>365394</v>
      </c>
    </row>
    <row r="37" spans="2:14">
      <c r="B37" s="1">
        <f>B3</f>
        <v>36130</v>
      </c>
      <c r="C37" s="334">
        <f>E5</f>
        <v>0.99930714044871838</v>
      </c>
      <c r="D37" s="335">
        <f>E6</f>
        <v>100.16403392360419</v>
      </c>
      <c r="E37" s="336">
        <f>E7</f>
        <v>9.9943515135518126</v>
      </c>
      <c r="F37" s="334">
        <f>E8</f>
        <v>0.98853962736671819</v>
      </c>
      <c r="G37" s="80">
        <f>E9</f>
        <v>490.64981974309615</v>
      </c>
      <c r="I37" s="1">
        <f>B37</f>
        <v>36130</v>
      </c>
      <c r="J37" s="65">
        <f>(C37-C$37)/C$37*100</f>
        <v>0</v>
      </c>
      <c r="K37" s="65">
        <f t="shared" ref="K37:N40" si="0">(D37-D$37)/D$37*100</f>
        <v>0</v>
      </c>
      <c r="L37" s="65">
        <f t="shared" si="0"/>
        <v>0</v>
      </c>
      <c r="M37" s="65">
        <f t="shared" si="0"/>
        <v>0</v>
      </c>
      <c r="N37" s="65">
        <f t="shared" si="0"/>
        <v>0</v>
      </c>
    </row>
    <row r="38" spans="2:14">
      <c r="B38" s="1">
        <f>B11</f>
        <v>37228</v>
      </c>
      <c r="C38" s="334">
        <f>E13</f>
        <v>0.99982965725120443</v>
      </c>
      <c r="D38" s="335">
        <f>E14</f>
        <v>100.09067333674081</v>
      </c>
      <c r="E38" s="336">
        <f>E15</f>
        <v>9.9928000000000008</v>
      </c>
      <c r="F38" s="334">
        <f>E16</f>
        <v>0.98796000000000006</v>
      </c>
      <c r="G38" s="80">
        <f>E17</f>
        <v>490.43</v>
      </c>
      <c r="I38" s="1">
        <f>B38</f>
        <v>37228</v>
      </c>
      <c r="J38" s="65">
        <f t="shared" ref="J38:J40" si="1">(C38-C$37)/C$37*100</f>
        <v>5.2287908425374112E-2</v>
      </c>
      <c r="K38" s="65">
        <f t="shared" si="0"/>
        <v>-7.3240447683386972E-2</v>
      </c>
      <c r="L38" s="65">
        <f t="shared" si="0"/>
        <v>-1.5523904174353408E-2</v>
      </c>
      <c r="M38" s="65">
        <f t="shared" si="0"/>
        <v>-5.8634712324294423E-2</v>
      </c>
      <c r="N38" s="65">
        <f t="shared" si="0"/>
        <v>-4.4801757638724099E-2</v>
      </c>
    </row>
    <row r="39" spans="2:14">
      <c r="B39" s="1">
        <f>B19</f>
        <v>38393</v>
      </c>
      <c r="C39" s="334">
        <f>E22</f>
        <v>0.99933615942048282</v>
      </c>
      <c r="D39" s="335">
        <f>E23</f>
        <v>100.17633249645748</v>
      </c>
      <c r="E39" s="336">
        <f>E24</f>
        <v>9.9949116999293217</v>
      </c>
      <c r="F39" s="337">
        <f>E25</f>
        <v>0.98941929861088262</v>
      </c>
      <c r="G39" s="83">
        <f>E26</f>
        <v>491.65074647239516</v>
      </c>
      <c r="I39" s="1">
        <f>B39</f>
        <v>38393</v>
      </c>
      <c r="J39" s="65">
        <f t="shared" si="1"/>
        <v>2.9039091776536376E-3</v>
      </c>
      <c r="K39" s="65">
        <f t="shared" si="0"/>
        <v>1.2278432059418368E-2</v>
      </c>
      <c r="L39" s="65">
        <f t="shared" si="0"/>
        <v>5.6050297685599163E-3</v>
      </c>
      <c r="M39" s="65">
        <f t="shared" si="0"/>
        <v>8.8986948000022451E-2</v>
      </c>
      <c r="N39" s="65">
        <f t="shared" si="0"/>
        <v>0.20400022358575301</v>
      </c>
    </row>
    <row r="40" spans="2:14">
      <c r="B40" s="1">
        <f>B28</f>
        <v>43034</v>
      </c>
      <c r="C40" s="337">
        <f>E28</f>
        <v>-9.0006364229272572E-6</v>
      </c>
      <c r="D40" s="65">
        <f>E29</f>
        <v>-1.200084856390301E-3</v>
      </c>
      <c r="E40" s="337">
        <f>E30</f>
        <v>-1.1000777850244425E-3</v>
      </c>
      <c r="F40">
        <f>E31</f>
        <v>3.8512723182992072</v>
      </c>
      <c r="G40" t="e">
        <f>E32</f>
        <v>#REF!</v>
      </c>
      <c r="I40" s="1">
        <f>B40</f>
        <v>43034</v>
      </c>
      <c r="J40" s="65">
        <f t="shared" si="1"/>
        <v>-100.00090068769236</v>
      </c>
      <c r="K40" s="65">
        <f t="shared" si="0"/>
        <v>-100.00119811953392</v>
      </c>
      <c r="L40" s="65">
        <f t="shared" si="0"/>
        <v>-100.01100699513653</v>
      </c>
      <c r="M40" s="65">
        <f t="shared" si="0"/>
        <v>289.5921024995493</v>
      </c>
      <c r="N40" s="65" t="e">
        <f t="shared" si="0"/>
        <v>#REF!</v>
      </c>
    </row>
  </sheetData>
  <mergeCells count="11">
    <mergeCell ref="D19:D21"/>
    <mergeCell ref="E19:F21"/>
    <mergeCell ref="G19:H21"/>
    <mergeCell ref="I19:I21"/>
    <mergeCell ref="J19:J21"/>
    <mergeCell ref="K19:K21"/>
    <mergeCell ref="L19:L21"/>
    <mergeCell ref="E3:F3"/>
    <mergeCell ref="G3:H3"/>
    <mergeCell ref="E4:F4"/>
    <mergeCell ref="G4:H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43"/>
  <sheetViews>
    <sheetView topLeftCell="A31" workbookViewId="0">
      <selection activeCell="O9" sqref="O9"/>
    </sheetView>
  </sheetViews>
  <sheetFormatPr defaultRowHeight="12.75"/>
  <cols>
    <col min="2" max="2" width="13.140625" customWidth="1"/>
    <col min="3" max="3" width="10.140625" bestFit="1" customWidth="1"/>
    <col min="4" max="4" width="10.42578125" customWidth="1"/>
    <col min="5" max="6" width="10" bestFit="1" customWidth="1"/>
    <col min="7" max="7" width="12" customWidth="1"/>
    <col min="8" max="8" width="11.42578125" customWidth="1"/>
    <col min="9" max="9" width="12.42578125" bestFit="1" customWidth="1"/>
    <col min="10" max="10" width="10.140625" bestFit="1" customWidth="1"/>
    <col min="18" max="18" width="13.140625" bestFit="1" customWidth="1"/>
  </cols>
  <sheetData>
    <row r="1" spans="1:21">
      <c r="B1" s="172" t="s">
        <v>410</v>
      </c>
      <c r="I1">
        <f>2*PI()*1591.5</f>
        <v>9999.6894163763118</v>
      </c>
      <c r="J1" s="172"/>
      <c r="M1" s="172" t="s">
        <v>420</v>
      </c>
    </row>
    <row r="2" spans="1:21">
      <c r="C2" s="240" t="s">
        <v>387</v>
      </c>
      <c r="D2" s="172" t="s">
        <v>0</v>
      </c>
      <c r="E2" s="172" t="s">
        <v>142</v>
      </c>
      <c r="F2" s="172" t="s">
        <v>388</v>
      </c>
      <c r="G2" s="172" t="s">
        <v>389</v>
      </c>
      <c r="H2" s="172" t="s">
        <v>390</v>
      </c>
      <c r="J2" s="172" t="s">
        <v>392</v>
      </c>
      <c r="K2" s="172" t="s">
        <v>393</v>
      </c>
      <c r="L2" s="172" t="s">
        <v>394</v>
      </c>
      <c r="M2" s="172" t="s">
        <v>414</v>
      </c>
    </row>
    <row r="3" spans="1:21">
      <c r="C3" s="240"/>
      <c r="D3" s="172" t="s">
        <v>106</v>
      </c>
      <c r="E3" s="172" t="s">
        <v>1</v>
      </c>
      <c r="F3" s="172" t="s">
        <v>391</v>
      </c>
      <c r="G3" s="172" t="s">
        <v>106</v>
      </c>
      <c r="H3" s="172" t="s">
        <v>1</v>
      </c>
      <c r="I3" s="172" t="s">
        <v>242</v>
      </c>
      <c r="J3" s="172" t="s">
        <v>242</v>
      </c>
      <c r="K3" s="172" t="s">
        <v>242</v>
      </c>
      <c r="M3" s="172" t="s">
        <v>242</v>
      </c>
    </row>
    <row r="4" spans="1:21">
      <c r="A4" s="246" t="s">
        <v>368</v>
      </c>
      <c r="C4" s="172">
        <v>10</v>
      </c>
      <c r="D4">
        <v>1034.1413</v>
      </c>
      <c r="E4" s="172">
        <v>2.1623800000000002</v>
      </c>
      <c r="F4" s="172">
        <v>19.420000000000002</v>
      </c>
      <c r="G4" s="242">
        <f>D4-D$14</f>
        <v>984.27937299999996</v>
      </c>
      <c r="H4" s="172">
        <f>E4-E$14</f>
        <v>0.76009250000000028</v>
      </c>
      <c r="I4" s="241">
        <f>(H4*0.000000001)/(I$1*G4*0.000000000001)*1000</f>
        <v>7.7225646377689944E-2</v>
      </c>
      <c r="J4" s="241" t="e">
        <f>Report!#REF!</f>
        <v>#REF!</v>
      </c>
      <c r="K4" s="241" t="e">
        <f>Report!#REF!</f>
        <v>#REF!</v>
      </c>
      <c r="L4" t="e">
        <f>(I4-J4)/K4</f>
        <v>#REF!</v>
      </c>
      <c r="M4" s="241" t="e">
        <f>I4-J4</f>
        <v>#REF!</v>
      </c>
      <c r="N4" s="172"/>
    </row>
    <row r="5" spans="1:21">
      <c r="A5" s="246" t="s">
        <v>367</v>
      </c>
      <c r="C5">
        <v>9</v>
      </c>
      <c r="D5" s="172">
        <v>937.56811000000005</v>
      </c>
      <c r="E5">
        <v>1.85223</v>
      </c>
      <c r="F5">
        <v>19.420000000000002</v>
      </c>
      <c r="G5" s="242">
        <f t="shared" ref="G5:G14" si="0">D5-D$14</f>
        <v>887.70618300000001</v>
      </c>
      <c r="H5" s="172">
        <f t="shared" ref="H5:H14" si="1">E5-E$14</f>
        <v>0.44994250000000013</v>
      </c>
      <c r="I5" s="241">
        <f t="shared" ref="I5:I13" si="2">(H5*0.000000001)/(I$1*G5*0.000000000001)*1000</f>
        <v>5.0687545443315697E-2</v>
      </c>
      <c r="J5" s="91" t="e">
        <f>Report!#REF!</f>
        <v>#REF!</v>
      </c>
      <c r="K5" s="91" t="e">
        <f>Report!#REF!</f>
        <v>#REF!</v>
      </c>
      <c r="L5" t="e">
        <f t="shared" ref="L5:L13" si="3">(I5-J5)/K5</f>
        <v>#REF!</v>
      </c>
      <c r="M5" s="241" t="e">
        <f t="shared" ref="M5:M13" si="4">I5-J5</f>
        <v>#REF!</v>
      </c>
    </row>
    <row r="6" spans="1:21">
      <c r="A6" s="246" t="s">
        <v>366</v>
      </c>
      <c r="C6" s="172">
        <v>8</v>
      </c>
      <c r="D6" s="172">
        <v>837.84025999999994</v>
      </c>
      <c r="E6">
        <v>2.0617100000000002</v>
      </c>
      <c r="F6">
        <v>19.420000000000002</v>
      </c>
      <c r="G6" s="242">
        <f t="shared" si="0"/>
        <v>787.97833299999991</v>
      </c>
      <c r="H6" s="172">
        <f t="shared" si="1"/>
        <v>0.65942250000000024</v>
      </c>
      <c r="I6" s="241">
        <f t="shared" si="2"/>
        <v>8.3687958615363683E-2</v>
      </c>
      <c r="J6" s="91" t="e">
        <f>Report!#REF!</f>
        <v>#REF!</v>
      </c>
      <c r="K6" s="91" t="e">
        <f>Report!#REF!</f>
        <v>#REF!</v>
      </c>
      <c r="L6" t="e">
        <f t="shared" si="3"/>
        <v>#REF!</v>
      </c>
      <c r="M6" s="241" t="e">
        <f t="shared" si="4"/>
        <v>#REF!</v>
      </c>
    </row>
    <row r="7" spans="1:21">
      <c r="A7" s="246" t="s">
        <v>365</v>
      </c>
      <c r="C7">
        <v>7</v>
      </c>
      <c r="D7" s="172">
        <v>741.02656000000002</v>
      </c>
      <c r="E7">
        <v>1.7485900000000001</v>
      </c>
      <c r="F7">
        <v>19.43</v>
      </c>
      <c r="G7" s="242">
        <f t="shared" si="0"/>
        <v>691.16463299999998</v>
      </c>
      <c r="H7" s="172">
        <f t="shared" si="1"/>
        <v>0.34630250000000018</v>
      </c>
      <c r="I7" s="241">
        <f t="shared" si="2"/>
        <v>5.0105754748969604E-2</v>
      </c>
      <c r="J7" s="91" t="e">
        <f>Report!#REF!</f>
        <v>#REF!</v>
      </c>
      <c r="K7" s="91" t="e">
        <f>Report!#REF!</f>
        <v>#REF!</v>
      </c>
      <c r="L7" t="e">
        <f t="shared" si="3"/>
        <v>#REF!</v>
      </c>
      <c r="M7" s="241" t="e">
        <f t="shared" si="4"/>
        <v>#REF!</v>
      </c>
    </row>
    <row r="8" spans="1:21">
      <c r="A8" s="246" t="s">
        <v>364</v>
      </c>
      <c r="C8" s="172">
        <v>6</v>
      </c>
      <c r="D8" s="172">
        <v>641.99019999999996</v>
      </c>
      <c r="E8">
        <v>1.9632719999999999</v>
      </c>
      <c r="F8">
        <v>19.43</v>
      </c>
      <c r="G8" s="242">
        <f t="shared" si="0"/>
        <v>592.12827299999992</v>
      </c>
      <c r="H8" s="172">
        <f t="shared" si="1"/>
        <v>0.5609845</v>
      </c>
      <c r="I8" s="241">
        <f t="shared" si="2"/>
        <v>9.4743309749210233E-2</v>
      </c>
      <c r="J8" s="91" t="e">
        <f>Report!#REF!</f>
        <v>#REF!</v>
      </c>
      <c r="K8" s="91" t="e">
        <f>Report!#REF!</f>
        <v>#REF!</v>
      </c>
      <c r="L8" t="e">
        <f t="shared" si="3"/>
        <v>#REF!</v>
      </c>
      <c r="M8" s="241" t="e">
        <f t="shared" si="4"/>
        <v>#REF!</v>
      </c>
    </row>
    <row r="9" spans="1:21">
      <c r="A9" s="246" t="s">
        <v>363</v>
      </c>
      <c r="C9">
        <v>5</v>
      </c>
      <c r="D9" s="172">
        <v>539.09173999999996</v>
      </c>
      <c r="E9">
        <v>1.913675</v>
      </c>
      <c r="F9">
        <v>19.440000000000001</v>
      </c>
      <c r="G9" s="242">
        <f t="shared" si="0"/>
        <v>489.22981299999998</v>
      </c>
      <c r="H9" s="172">
        <f t="shared" si="1"/>
        <v>0.51138750000000011</v>
      </c>
      <c r="I9" s="241">
        <f t="shared" si="2"/>
        <v>0.10453234242116739</v>
      </c>
      <c r="J9" s="91" t="e">
        <f>Report!#REF!</f>
        <v>#REF!</v>
      </c>
      <c r="K9" s="91" t="e">
        <f>Report!#REF!</f>
        <v>#REF!</v>
      </c>
      <c r="L9" t="e">
        <f t="shared" si="3"/>
        <v>#REF!</v>
      </c>
      <c r="M9" s="241" t="e">
        <f t="shared" si="4"/>
        <v>#REF!</v>
      </c>
    </row>
    <row r="10" spans="1:21">
      <c r="A10" s="246" t="s">
        <v>362</v>
      </c>
      <c r="C10" s="172">
        <v>4</v>
      </c>
      <c r="D10" s="172">
        <v>442.29658999999998</v>
      </c>
      <c r="E10">
        <v>1.597596</v>
      </c>
      <c r="F10">
        <v>19.440000000000001</v>
      </c>
      <c r="G10" s="242">
        <f t="shared" si="0"/>
        <v>392.434663</v>
      </c>
      <c r="H10" s="172">
        <f t="shared" si="1"/>
        <v>0.19530850000000011</v>
      </c>
      <c r="I10" s="241">
        <f t="shared" si="2"/>
        <v>4.9769957795642417E-2</v>
      </c>
      <c r="J10" s="91" t="e">
        <f>Report!#REF!</f>
        <v>#REF!</v>
      </c>
      <c r="K10" s="91" t="e">
        <f>Report!#REF!</f>
        <v>#REF!</v>
      </c>
      <c r="L10" t="e">
        <f t="shared" si="3"/>
        <v>#REF!</v>
      </c>
      <c r="M10" s="241" t="e">
        <f t="shared" si="4"/>
        <v>#REF!</v>
      </c>
    </row>
    <row r="11" spans="1:21">
      <c r="A11" s="246" t="s">
        <v>361</v>
      </c>
      <c r="C11">
        <v>3</v>
      </c>
      <c r="D11" s="172">
        <v>342.59751999999997</v>
      </c>
      <c r="E11">
        <v>1.810192</v>
      </c>
      <c r="F11">
        <v>19.420000000000002</v>
      </c>
      <c r="G11" s="242">
        <f t="shared" si="0"/>
        <v>292.73559299999999</v>
      </c>
      <c r="H11" s="172">
        <f t="shared" si="1"/>
        <v>0.40790450000000011</v>
      </c>
      <c r="I11" s="241">
        <f t="shared" si="2"/>
        <v>0.13934662507516088</v>
      </c>
      <c r="J11" s="91" t="e">
        <f>Report!#REF!</f>
        <v>#REF!</v>
      </c>
      <c r="K11" s="91" t="e">
        <f>Report!#REF!</f>
        <v>#REF!</v>
      </c>
      <c r="L11" t="e">
        <f t="shared" si="3"/>
        <v>#REF!</v>
      </c>
      <c r="M11" s="241" t="e">
        <f t="shared" si="4"/>
        <v>#REF!</v>
      </c>
    </row>
    <row r="12" spans="1:21">
      <c r="A12" s="246" t="s">
        <v>360</v>
      </c>
      <c r="C12" s="172">
        <v>2</v>
      </c>
      <c r="D12" s="172">
        <v>245.77631</v>
      </c>
      <c r="E12">
        <v>1.495633</v>
      </c>
      <c r="F12">
        <v>19.41</v>
      </c>
      <c r="G12" s="242">
        <f t="shared" si="0"/>
        <v>195.91438299999999</v>
      </c>
      <c r="H12" s="172">
        <f t="shared" si="1"/>
        <v>9.3345500000000081E-2</v>
      </c>
      <c r="I12" s="241">
        <f t="shared" si="2"/>
        <v>4.7647547780302842E-2</v>
      </c>
      <c r="J12" s="91" t="e">
        <f>Report!#REF!</f>
        <v>#REF!</v>
      </c>
      <c r="K12" s="91" t="e">
        <f>Report!#REF!</f>
        <v>#REF!</v>
      </c>
      <c r="L12" t="e">
        <f t="shared" si="3"/>
        <v>#REF!</v>
      </c>
      <c r="M12" s="241" t="e">
        <f t="shared" si="4"/>
        <v>#REF!</v>
      </c>
      <c r="N12" s="91"/>
    </row>
    <row r="13" spans="1:21">
      <c r="A13" s="246" t="s">
        <v>359</v>
      </c>
      <c r="C13">
        <v>1</v>
      </c>
      <c r="D13" s="172">
        <v>146.7929</v>
      </c>
      <c r="E13">
        <v>1.7151879999999999</v>
      </c>
      <c r="F13">
        <v>19.399999999999999</v>
      </c>
      <c r="G13" s="243">
        <f t="shared" si="0"/>
        <v>96.930972999999994</v>
      </c>
      <c r="H13" s="172">
        <f t="shared" si="1"/>
        <v>0.31290050000000003</v>
      </c>
      <c r="I13" s="241">
        <f t="shared" si="2"/>
        <v>0.32281757708029457</v>
      </c>
      <c r="J13" s="91" t="e">
        <f>Report!#REF!</f>
        <v>#REF!</v>
      </c>
      <c r="K13" s="91" t="e">
        <f>Report!#REF!</f>
        <v>#REF!</v>
      </c>
      <c r="L13" t="e">
        <f t="shared" si="3"/>
        <v>#REF!</v>
      </c>
      <c r="M13" s="241" t="e">
        <f t="shared" si="4"/>
        <v>#REF!</v>
      </c>
    </row>
    <row r="14" spans="1:21">
      <c r="A14" s="247"/>
      <c r="C14" s="172">
        <v>0</v>
      </c>
      <c r="D14" s="172">
        <v>49.861927000000001</v>
      </c>
      <c r="E14">
        <v>1.4022874999999999</v>
      </c>
      <c r="F14">
        <v>19.41</v>
      </c>
      <c r="G14" s="172">
        <f t="shared" si="0"/>
        <v>0</v>
      </c>
      <c r="H14" s="172">
        <f t="shared" si="1"/>
        <v>0</v>
      </c>
      <c r="I14" s="241"/>
      <c r="J14" s="172"/>
      <c r="M14" s="91" t="e">
        <f>AVERAGE(M4:M13)</f>
        <v>#REF!</v>
      </c>
      <c r="O14" s="172"/>
      <c r="R14" s="172"/>
      <c r="T14" s="172"/>
    </row>
    <row r="15" spans="1:21">
      <c r="A15" s="247"/>
      <c r="J15" s="172"/>
      <c r="K15" s="172"/>
      <c r="L15" s="172"/>
      <c r="M15" s="172"/>
      <c r="O15" s="172"/>
      <c r="P15" s="172"/>
      <c r="R15" s="172"/>
      <c r="S15" s="172"/>
    </row>
    <row r="16" spans="1:21">
      <c r="A16" s="247"/>
      <c r="D16" s="172"/>
      <c r="I16" s="80"/>
      <c r="J16" s="84"/>
      <c r="K16" s="84"/>
      <c r="M16" s="65"/>
      <c r="P16" s="65"/>
      <c r="T16" s="65"/>
      <c r="U16" s="65"/>
    </row>
    <row r="17" spans="1:25">
      <c r="A17" s="247"/>
      <c r="B17" s="172" t="s">
        <v>411</v>
      </c>
      <c r="P17" s="65"/>
      <c r="T17" s="65"/>
      <c r="U17" s="65"/>
    </row>
    <row r="18" spans="1:25">
      <c r="A18" s="247"/>
      <c r="P18" s="65"/>
      <c r="T18" s="65"/>
      <c r="U18" s="65"/>
    </row>
    <row r="19" spans="1:25">
      <c r="A19" s="247"/>
      <c r="C19" s="172" t="s">
        <v>106</v>
      </c>
      <c r="D19" s="172" t="s">
        <v>1</v>
      </c>
      <c r="E19" s="172" t="s">
        <v>242</v>
      </c>
      <c r="P19" s="65"/>
      <c r="T19" s="65"/>
      <c r="U19" s="65"/>
    </row>
    <row r="20" spans="1:25">
      <c r="A20" s="247"/>
      <c r="C20">
        <v>1000.1648</v>
      </c>
      <c r="D20">
        <v>0.49130000000000001</v>
      </c>
      <c r="E20" s="242">
        <f>(D20*0.000000001)/(I$1*C20*0.000000000001)*1000</f>
        <v>4.9123430403406054E-2</v>
      </c>
      <c r="P20" t="s">
        <v>395</v>
      </c>
    </row>
    <row r="21" spans="1:25">
      <c r="A21" s="247"/>
      <c r="O21" s="172"/>
      <c r="P21" t="s">
        <v>396</v>
      </c>
    </row>
    <row r="22" spans="1:25">
      <c r="A22" s="247"/>
      <c r="B22" s="172" t="s">
        <v>395</v>
      </c>
      <c r="O22" s="172"/>
      <c r="P22" s="244">
        <v>1</v>
      </c>
      <c r="Q22" s="2">
        <v>2</v>
      </c>
      <c r="R22" s="244">
        <v>3</v>
      </c>
      <c r="S22" s="2">
        <v>4</v>
      </c>
      <c r="T22" s="244">
        <v>5</v>
      </c>
      <c r="U22" s="244">
        <v>6</v>
      </c>
      <c r="V22" s="2">
        <v>7</v>
      </c>
      <c r="W22" s="244">
        <v>8</v>
      </c>
      <c r="X22" s="2">
        <v>9</v>
      </c>
      <c r="Y22" s="244">
        <v>10</v>
      </c>
    </row>
    <row r="23" spans="1:25">
      <c r="A23" s="247"/>
      <c r="B23" s="172" t="s">
        <v>412</v>
      </c>
      <c r="P23" s="119" t="s">
        <v>399</v>
      </c>
      <c r="Q23" s="119" t="s">
        <v>400</v>
      </c>
      <c r="R23" s="2" t="s">
        <v>397</v>
      </c>
      <c r="S23" s="2" t="s">
        <v>398</v>
      </c>
      <c r="T23" s="2" t="s">
        <v>401</v>
      </c>
      <c r="U23" s="2" t="s">
        <v>402</v>
      </c>
      <c r="V23" s="2" t="s">
        <v>403</v>
      </c>
      <c r="W23" s="2" t="s">
        <v>404</v>
      </c>
      <c r="X23" s="2" t="s">
        <v>405</v>
      </c>
      <c r="Y23" s="2" t="s">
        <v>406</v>
      </c>
    </row>
    <row r="24" spans="1:25">
      <c r="A24" s="247"/>
      <c r="B24" s="172" t="s">
        <v>413</v>
      </c>
      <c r="P24" s="172" t="s">
        <v>407</v>
      </c>
    </row>
    <row r="25" spans="1:25">
      <c r="A25" s="247"/>
      <c r="B25" s="172"/>
      <c r="P25" s="172" t="s">
        <v>408</v>
      </c>
    </row>
    <row r="26" spans="1:25">
      <c r="A26" s="247"/>
      <c r="G26" s="172" t="s">
        <v>389</v>
      </c>
      <c r="H26" s="172" t="s">
        <v>390</v>
      </c>
      <c r="J26" s="172" t="s">
        <v>392</v>
      </c>
      <c r="K26" s="172" t="s">
        <v>393</v>
      </c>
      <c r="L26" s="172" t="s">
        <v>394</v>
      </c>
      <c r="M26" s="172" t="s">
        <v>414</v>
      </c>
      <c r="O26" s="80"/>
      <c r="P26" s="245">
        <f>1/0.00000000025</f>
        <v>3999999999.9999995</v>
      </c>
      <c r="Q26" s="172" t="s">
        <v>409</v>
      </c>
    </row>
    <row r="27" spans="1:25">
      <c r="A27" s="247"/>
      <c r="D27" s="172" t="s">
        <v>106</v>
      </c>
      <c r="E27" s="172" t="s">
        <v>1</v>
      </c>
      <c r="F27" s="172" t="s">
        <v>388</v>
      </c>
      <c r="G27" s="172" t="s">
        <v>106</v>
      </c>
      <c r="H27" s="172" t="s">
        <v>1</v>
      </c>
      <c r="I27" s="172" t="s">
        <v>242</v>
      </c>
      <c r="J27" s="172" t="s">
        <v>242</v>
      </c>
      <c r="K27" s="172" t="s">
        <v>242</v>
      </c>
      <c r="M27" s="172" t="s">
        <v>242</v>
      </c>
    </row>
    <row r="28" spans="1:25">
      <c r="A28" s="247"/>
      <c r="B28" s="172" t="s">
        <v>416</v>
      </c>
      <c r="C28">
        <v>0</v>
      </c>
      <c r="D28">
        <v>49.930540000000001</v>
      </c>
      <c r="E28">
        <v>1.42866</v>
      </c>
      <c r="F28">
        <v>19.399999999999999</v>
      </c>
      <c r="G28" s="242"/>
      <c r="H28" s="172"/>
      <c r="I28" s="241"/>
    </row>
    <row r="29" spans="1:25">
      <c r="A29" s="246" t="s">
        <v>349</v>
      </c>
      <c r="C29">
        <v>10</v>
      </c>
      <c r="D29">
        <v>60.058689999999999</v>
      </c>
      <c r="E29">
        <v>1.43798</v>
      </c>
      <c r="F29">
        <v>19.399999999999999</v>
      </c>
      <c r="G29" s="242">
        <f t="shared" ref="G29:G38" si="5">D29-D$28</f>
        <v>10.128149999999998</v>
      </c>
      <c r="H29" s="172">
        <f t="shared" ref="H29:H38" si="6">E29-E$28</f>
        <v>9.319999999999995E-3</v>
      </c>
      <c r="I29" s="241">
        <f t="shared" ref="I29:I38" si="7">(H29*0.000000001)/(I$1*G29*0.000000000001)*1000</f>
        <v>9.2023612139707944E-2</v>
      </c>
      <c r="J29" s="80">
        <f>Report!Q5</f>
        <v>0</v>
      </c>
      <c r="K29" s="80">
        <f>Report!R5</f>
        <v>0</v>
      </c>
      <c r="L29" t="e">
        <f t="shared" ref="L29" si="8">(I29-J29)/K29</f>
        <v>#DIV/0!</v>
      </c>
      <c r="M29" s="241">
        <f t="shared" ref="M29" si="9">I29-J29</f>
        <v>9.2023612139707944E-2</v>
      </c>
    </row>
    <row r="30" spans="1:25">
      <c r="A30" s="246" t="s">
        <v>350</v>
      </c>
      <c r="C30">
        <v>20</v>
      </c>
      <c r="D30">
        <v>70.955949000000004</v>
      </c>
      <c r="E30">
        <v>1.4565399999999999</v>
      </c>
      <c r="F30">
        <v>19.39</v>
      </c>
      <c r="G30" s="242">
        <f t="shared" si="5"/>
        <v>21.025409000000003</v>
      </c>
      <c r="H30" s="172">
        <f t="shared" si="6"/>
        <v>2.7879999999999905E-2</v>
      </c>
      <c r="I30" s="241">
        <f t="shared" si="7"/>
        <v>0.13260558181787208</v>
      </c>
      <c r="J30" s="80">
        <f>Report!Q6</f>
        <v>0</v>
      </c>
      <c r="K30" s="80">
        <f>Report!R6</f>
        <v>0</v>
      </c>
      <c r="L30" t="e">
        <f t="shared" ref="L30:L38" si="10">(I30-J30)/K30</f>
        <v>#DIV/0!</v>
      </c>
      <c r="M30" s="241">
        <f t="shared" ref="M30:M38" si="11">I30-J30</f>
        <v>0.13260558181787208</v>
      </c>
    </row>
    <row r="31" spans="1:25">
      <c r="A31" s="246" t="s">
        <v>351</v>
      </c>
      <c r="C31">
        <v>30</v>
      </c>
      <c r="D31">
        <v>81.492323999999996</v>
      </c>
      <c r="E31">
        <v>1.4451400000000001</v>
      </c>
      <c r="F31">
        <v>19.39</v>
      </c>
      <c r="G31" s="242">
        <f t="shared" si="5"/>
        <v>31.561783999999996</v>
      </c>
      <c r="H31" s="172">
        <f t="shared" si="6"/>
        <v>1.648000000000005E-2</v>
      </c>
      <c r="I31" s="241">
        <f t="shared" si="7"/>
        <v>5.2216667656395321E-2</v>
      </c>
      <c r="J31" s="80">
        <f>Report!Q7</f>
        <v>0</v>
      </c>
      <c r="K31" s="80">
        <f>Report!R7</f>
        <v>0</v>
      </c>
      <c r="L31" t="e">
        <f t="shared" si="10"/>
        <v>#DIV/0!</v>
      </c>
      <c r="M31" s="241">
        <f t="shared" si="11"/>
        <v>5.2216667656395321E-2</v>
      </c>
    </row>
    <row r="32" spans="1:25">
      <c r="A32" s="246" t="s">
        <v>352</v>
      </c>
      <c r="C32">
        <v>40</v>
      </c>
      <c r="D32">
        <v>91.672465000000003</v>
      </c>
      <c r="E32">
        <v>1.4492</v>
      </c>
      <c r="F32">
        <v>19.39</v>
      </c>
      <c r="G32" s="242">
        <f t="shared" si="5"/>
        <v>41.741925000000002</v>
      </c>
      <c r="H32" s="172">
        <f t="shared" si="6"/>
        <v>2.0540000000000003E-2</v>
      </c>
      <c r="I32" s="241">
        <f t="shared" si="7"/>
        <v>4.9208650436167019E-2</v>
      </c>
      <c r="J32" s="80">
        <f>Report!Q8</f>
        <v>0</v>
      </c>
      <c r="K32" s="80">
        <f>Report!R8</f>
        <v>0</v>
      </c>
      <c r="L32" t="e">
        <f t="shared" si="10"/>
        <v>#DIV/0!</v>
      </c>
      <c r="M32" s="241">
        <f t="shared" si="11"/>
        <v>4.9208650436167019E-2</v>
      </c>
    </row>
    <row r="33" spans="1:13">
      <c r="A33" s="246" t="s">
        <v>353</v>
      </c>
      <c r="C33">
        <v>50</v>
      </c>
      <c r="D33">
        <v>101.31236</v>
      </c>
      <c r="E33">
        <v>1.44834</v>
      </c>
      <c r="F33">
        <v>19.38</v>
      </c>
      <c r="G33" s="242">
        <f t="shared" si="5"/>
        <v>51.381819999999998</v>
      </c>
      <c r="H33" s="172">
        <f t="shared" si="6"/>
        <v>1.967999999999992E-2</v>
      </c>
      <c r="I33" s="241">
        <f t="shared" si="7"/>
        <v>3.8302674462593361E-2</v>
      </c>
      <c r="J33" s="80">
        <f>Report!Q9</f>
        <v>0</v>
      </c>
      <c r="K33" s="80">
        <f>Report!R9</f>
        <v>0</v>
      </c>
      <c r="L33" t="e">
        <f t="shared" si="10"/>
        <v>#DIV/0!</v>
      </c>
      <c r="M33" s="241">
        <f t="shared" si="11"/>
        <v>3.8302674462593361E-2</v>
      </c>
    </row>
    <row r="34" spans="1:13">
      <c r="A34" s="246" t="s">
        <v>354</v>
      </c>
      <c r="C34">
        <v>60</v>
      </c>
      <c r="D34">
        <v>111.09294</v>
      </c>
      <c r="E34">
        <v>1.4488099999999999</v>
      </c>
      <c r="F34">
        <v>19.399999999999999</v>
      </c>
      <c r="G34" s="242">
        <f t="shared" si="5"/>
        <v>61.162399999999998</v>
      </c>
      <c r="H34" s="172">
        <f t="shared" si="6"/>
        <v>2.014999999999989E-2</v>
      </c>
      <c r="I34" s="241">
        <f t="shared" si="7"/>
        <v>3.2946100619726103E-2</v>
      </c>
      <c r="J34" s="80" t="e">
        <f>Report!#REF!</f>
        <v>#REF!</v>
      </c>
      <c r="K34" s="80" t="e">
        <f>Report!#REF!</f>
        <v>#REF!</v>
      </c>
      <c r="L34" t="e">
        <f t="shared" si="10"/>
        <v>#REF!</v>
      </c>
      <c r="M34" s="241" t="e">
        <f t="shared" si="11"/>
        <v>#REF!</v>
      </c>
    </row>
    <row r="35" spans="1:13">
      <c r="A35" s="246" t="s">
        <v>355</v>
      </c>
      <c r="C35">
        <v>70</v>
      </c>
      <c r="D35">
        <v>120.57935999999999</v>
      </c>
      <c r="E35">
        <v>1.46289</v>
      </c>
      <c r="F35">
        <v>19.399999999999999</v>
      </c>
      <c r="G35" s="242">
        <f t="shared" si="5"/>
        <v>70.648820000000001</v>
      </c>
      <c r="H35" s="172">
        <f t="shared" si="6"/>
        <v>3.4229999999999983E-2</v>
      </c>
      <c r="I35" s="241">
        <f t="shared" si="7"/>
        <v>4.8452420239664153E-2</v>
      </c>
      <c r="J35" s="80" t="e">
        <f>Report!#REF!</f>
        <v>#REF!</v>
      </c>
      <c r="K35" s="80" t="e">
        <f>Report!#REF!</f>
        <v>#REF!</v>
      </c>
      <c r="L35" t="e">
        <f t="shared" si="10"/>
        <v>#REF!</v>
      </c>
      <c r="M35" s="241" t="e">
        <f t="shared" si="11"/>
        <v>#REF!</v>
      </c>
    </row>
    <row r="36" spans="1:13">
      <c r="A36" s="246" t="s">
        <v>356</v>
      </c>
      <c r="C36">
        <v>80</v>
      </c>
      <c r="D36">
        <v>130.28264999999999</v>
      </c>
      <c r="E36">
        <v>1.46722</v>
      </c>
      <c r="F36">
        <v>19.41</v>
      </c>
      <c r="G36" s="242">
        <f t="shared" si="5"/>
        <v>80.352109999999982</v>
      </c>
      <c r="H36" s="172">
        <f t="shared" si="6"/>
        <v>3.8559999999999928E-2</v>
      </c>
      <c r="I36" s="241">
        <f t="shared" si="7"/>
        <v>4.7990273867916919E-2</v>
      </c>
      <c r="J36" s="80" t="e">
        <f>Report!#REF!</f>
        <v>#REF!</v>
      </c>
      <c r="K36" s="80" t="e">
        <f>Report!#REF!</f>
        <v>#REF!</v>
      </c>
      <c r="L36" t="e">
        <f t="shared" si="10"/>
        <v>#REF!</v>
      </c>
      <c r="M36" s="241" t="e">
        <f t="shared" si="11"/>
        <v>#REF!</v>
      </c>
    </row>
    <row r="37" spans="1:13">
      <c r="A37" s="246" t="s">
        <v>357</v>
      </c>
      <c r="C37">
        <v>90</v>
      </c>
      <c r="D37">
        <v>140.26821000000001</v>
      </c>
      <c r="E37">
        <v>1.4661999999999999</v>
      </c>
      <c r="F37">
        <v>19.41</v>
      </c>
      <c r="G37" s="242">
        <f t="shared" si="5"/>
        <v>90.337670000000003</v>
      </c>
      <c r="H37" s="172">
        <f t="shared" si="6"/>
        <v>3.7539999999999907E-2</v>
      </c>
      <c r="I37" s="241">
        <f t="shared" si="7"/>
        <v>4.1556491292210951E-2</v>
      </c>
      <c r="J37" s="80" t="e">
        <f>Report!#REF!</f>
        <v>#REF!</v>
      </c>
      <c r="K37" s="80" t="e">
        <f>Report!#REF!</f>
        <v>#REF!</v>
      </c>
      <c r="L37" t="e">
        <f t="shared" si="10"/>
        <v>#REF!</v>
      </c>
      <c r="M37" s="241" t="e">
        <f t="shared" si="11"/>
        <v>#REF!</v>
      </c>
    </row>
    <row r="38" spans="1:13">
      <c r="A38" s="246" t="s">
        <v>358</v>
      </c>
      <c r="C38">
        <v>100</v>
      </c>
      <c r="D38">
        <v>150.26972000000001</v>
      </c>
      <c r="E38">
        <v>1.4538</v>
      </c>
      <c r="F38">
        <v>19.41</v>
      </c>
      <c r="G38" s="242">
        <f t="shared" si="5"/>
        <v>100.33918</v>
      </c>
      <c r="H38" s="172">
        <f t="shared" si="6"/>
        <v>2.513999999999994E-2</v>
      </c>
      <c r="I38" s="241">
        <f t="shared" si="7"/>
        <v>2.5055796580639025E-2</v>
      </c>
      <c r="J38" s="80" t="e">
        <f>Report!#REF!</f>
        <v>#REF!</v>
      </c>
      <c r="K38" s="80" t="e">
        <f>Report!#REF!</f>
        <v>#REF!</v>
      </c>
      <c r="L38" t="e">
        <f t="shared" si="10"/>
        <v>#REF!</v>
      </c>
      <c r="M38" s="241" t="e">
        <f t="shared" si="11"/>
        <v>#REF!</v>
      </c>
    </row>
    <row r="39" spans="1:13">
      <c r="A39" s="247"/>
    </row>
    <row r="40" spans="1:13">
      <c r="A40" s="247"/>
      <c r="B40" s="172" t="s">
        <v>417</v>
      </c>
      <c r="C40">
        <v>1</v>
      </c>
      <c r="D40">
        <v>1045.5838000000001</v>
      </c>
      <c r="E40">
        <v>1.97946</v>
      </c>
      <c r="F40">
        <v>19.43</v>
      </c>
      <c r="G40" s="242">
        <f>D40-D$42</f>
        <v>995.65090400000008</v>
      </c>
      <c r="H40" s="172">
        <f>E40-E$42</f>
        <v>0.52967999999999993</v>
      </c>
      <c r="I40" s="241">
        <f>(H40*0.000000001)/(I$1*G40*0.000000000001)*1000</f>
        <v>5.3201021500236215E-2</v>
      </c>
      <c r="J40" s="80" t="e">
        <f>Report!#REF!</f>
        <v>#REF!</v>
      </c>
      <c r="K40" s="80" t="e">
        <f>Report!#REF!</f>
        <v>#REF!</v>
      </c>
      <c r="L40" t="e">
        <f t="shared" ref="L40:L42" si="12">(I40-J40)/K40</f>
        <v>#REF!</v>
      </c>
      <c r="M40" s="241" t="e">
        <f t="shared" ref="M40:M42" si="13">I40-J40</f>
        <v>#REF!</v>
      </c>
    </row>
    <row r="41" spans="1:13">
      <c r="A41" s="247"/>
      <c r="B41" s="172" t="s">
        <v>418</v>
      </c>
      <c r="C41">
        <v>1</v>
      </c>
      <c r="D41">
        <v>146.87622999999999</v>
      </c>
      <c r="E41">
        <v>1.7224701</v>
      </c>
      <c r="F41">
        <v>19.41</v>
      </c>
      <c r="G41" s="242">
        <f>D41-D$42</f>
        <v>96.943333999999993</v>
      </c>
      <c r="H41" s="172">
        <f>E41-E$42</f>
        <v>0.27269009999999994</v>
      </c>
      <c r="I41" s="241">
        <f>(H41*0.000000001)/(I$1*G41*0.000000000001)*1000</f>
        <v>0.28129687552420179</v>
      </c>
      <c r="J41" s="80" t="e">
        <f>Report!#REF!</f>
        <v>#REF!</v>
      </c>
      <c r="K41" s="80" t="e">
        <f>Report!#REF!</f>
        <v>#REF!</v>
      </c>
      <c r="L41" t="e">
        <f t="shared" si="12"/>
        <v>#REF!</v>
      </c>
      <c r="M41" s="241" t="e">
        <f t="shared" si="13"/>
        <v>#REF!</v>
      </c>
    </row>
    <row r="42" spans="1:13">
      <c r="A42" s="247" t="s">
        <v>348</v>
      </c>
      <c r="C42">
        <v>0</v>
      </c>
      <c r="D42">
        <v>49.932896</v>
      </c>
      <c r="E42">
        <v>1.4497800000000001</v>
      </c>
      <c r="F42">
        <v>19.46</v>
      </c>
      <c r="G42" s="242">
        <f>D42-D$43</f>
        <v>49.042311900000001</v>
      </c>
      <c r="H42" s="172">
        <f>E42-E$43</f>
        <v>1.4497439000000001</v>
      </c>
      <c r="I42" s="241">
        <f>(H42*0.000000001)/(I$1*G42*0.000000000001)*1000</f>
        <v>2.9562002114135382</v>
      </c>
      <c r="J42" s="80" t="e">
        <f>Report!#REF!</f>
        <v>#REF!</v>
      </c>
      <c r="K42" s="80" t="e">
        <f>Report!#REF!</f>
        <v>#REF!</v>
      </c>
      <c r="L42" t="e">
        <f t="shared" si="12"/>
        <v>#REF!</v>
      </c>
      <c r="M42" s="241" t="e">
        <f t="shared" si="13"/>
        <v>#REF!</v>
      </c>
    </row>
    <row r="43" spans="1:13">
      <c r="A43" s="246"/>
      <c r="B43" s="172" t="s">
        <v>419</v>
      </c>
      <c r="D43">
        <v>0.89058409999999999</v>
      </c>
      <c r="E43">
        <v>3.6100000000000003E-5</v>
      </c>
      <c r="G43" s="242"/>
      <c r="H43" s="172"/>
      <c r="I43" s="241"/>
    </row>
  </sheetData>
  <pageMargins left="0.7" right="0.7" top="0.75" bottom="0.75" header="0.3" footer="0.3"/>
  <pageSetup paperSize="9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E27"/>
  <sheetViews>
    <sheetView workbookViewId="0">
      <selection activeCell="B26" sqref="B26"/>
    </sheetView>
  </sheetViews>
  <sheetFormatPr defaultRowHeight="12.75"/>
  <cols>
    <col min="1" max="1" width="17.42578125" customWidth="1"/>
    <col min="2" max="2" width="12.140625" customWidth="1"/>
    <col min="4" max="4" width="12" bestFit="1" customWidth="1"/>
  </cols>
  <sheetData>
    <row r="2" spans="1:5">
      <c r="A2" s="178" t="s">
        <v>273</v>
      </c>
      <c r="B2" s="172" t="s">
        <v>257</v>
      </c>
    </row>
    <row r="4" spans="1:5">
      <c r="B4" s="172" t="s">
        <v>258</v>
      </c>
    </row>
    <row r="5" spans="1:5">
      <c r="A5">
        <v>1</v>
      </c>
      <c r="B5" s="172" t="s">
        <v>260</v>
      </c>
    </row>
    <row r="6" spans="1:5">
      <c r="B6" s="172" t="s">
        <v>259</v>
      </c>
    </row>
    <row r="7" spans="1:5">
      <c r="A7">
        <v>2</v>
      </c>
      <c r="B7" s="172" t="s">
        <v>261</v>
      </c>
    </row>
    <row r="8" spans="1:5">
      <c r="A8">
        <v>3</v>
      </c>
      <c r="B8" s="172" t="s">
        <v>262</v>
      </c>
    </row>
    <row r="9" spans="1:5">
      <c r="A9">
        <v>4</v>
      </c>
      <c r="B9" s="172" t="s">
        <v>263</v>
      </c>
      <c r="D9" s="80">
        <f>0.000000000005353/(10000*0.0000000001)*1000000</f>
        <v>5.3530000000000006</v>
      </c>
      <c r="E9" s="172" t="s">
        <v>264</v>
      </c>
    </row>
    <row r="10" spans="1:5">
      <c r="A10">
        <v>5</v>
      </c>
      <c r="B10" s="172" t="s">
        <v>265</v>
      </c>
      <c r="D10">
        <v>-0.02</v>
      </c>
      <c r="E10" s="172" t="s">
        <v>266</v>
      </c>
    </row>
    <row r="12" spans="1:5">
      <c r="B12" s="172" t="s">
        <v>267</v>
      </c>
    </row>
    <row r="13" spans="1:5">
      <c r="B13" s="172" t="s">
        <v>268</v>
      </c>
    </row>
    <row r="14" spans="1:5">
      <c r="B14" s="172" t="s">
        <v>269</v>
      </c>
    </row>
    <row r="16" spans="1:5">
      <c r="B16" s="172" t="s">
        <v>271</v>
      </c>
    </row>
    <row r="17" spans="1:3">
      <c r="B17" s="172" t="s">
        <v>272</v>
      </c>
    </row>
    <row r="19" spans="1:3">
      <c r="A19" s="178" t="s">
        <v>270</v>
      </c>
      <c r="B19" s="172" t="s">
        <v>274</v>
      </c>
    </row>
    <row r="20" spans="1:3">
      <c r="B20" s="172" t="s">
        <v>275</v>
      </c>
    </row>
    <row r="21" spans="1:3">
      <c r="C21" s="172" t="s">
        <v>280</v>
      </c>
    </row>
    <row r="22" spans="1:3">
      <c r="B22" s="172" t="s">
        <v>182</v>
      </c>
      <c r="C22" s="172" t="s">
        <v>277</v>
      </c>
    </row>
    <row r="23" spans="1:3">
      <c r="B23" s="172" t="s">
        <v>181</v>
      </c>
      <c r="C23" s="172" t="s">
        <v>278</v>
      </c>
    </row>
    <row r="24" spans="1:3">
      <c r="B24" s="172" t="s">
        <v>276</v>
      </c>
      <c r="C24" s="172" t="s">
        <v>279</v>
      </c>
    </row>
    <row r="26" spans="1:3">
      <c r="B26" s="172" t="s">
        <v>281</v>
      </c>
    </row>
    <row r="27" spans="1:3">
      <c r="B27" s="172" t="s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AK75"/>
  <sheetViews>
    <sheetView workbookViewId="0">
      <selection activeCell="G67" sqref="G67"/>
    </sheetView>
  </sheetViews>
  <sheetFormatPr defaultRowHeight="12.75"/>
  <cols>
    <col min="2" max="2" width="10.140625" bestFit="1" customWidth="1"/>
    <col min="3" max="3" width="11" customWidth="1"/>
    <col min="11" max="11" width="11.7109375" customWidth="1"/>
    <col min="12" max="12" width="10.140625" bestFit="1" customWidth="1"/>
    <col min="30" max="30" width="10.28515625" customWidth="1"/>
    <col min="31" max="31" width="11.140625" customWidth="1"/>
    <col min="32" max="32" width="14.5703125" customWidth="1"/>
    <col min="33" max="33" width="12.28515625" customWidth="1"/>
    <col min="34" max="34" width="6.5703125" customWidth="1"/>
    <col min="35" max="35" width="12.85546875" customWidth="1"/>
    <col min="36" max="36" width="12.5703125" customWidth="1"/>
  </cols>
  <sheetData>
    <row r="2" spans="2:37" ht="13.5" thickBot="1">
      <c r="B2" s="172" t="s">
        <v>434</v>
      </c>
      <c r="C2" s="1">
        <v>36426</v>
      </c>
      <c r="D2" s="172" t="s">
        <v>432</v>
      </c>
      <c r="E2" s="172" t="s">
        <v>433</v>
      </c>
      <c r="K2" s="172" t="s">
        <v>424</v>
      </c>
      <c r="L2" s="1">
        <v>38240</v>
      </c>
      <c r="M2" s="172" t="s">
        <v>430</v>
      </c>
      <c r="N2" s="172" t="s">
        <v>431</v>
      </c>
      <c r="T2" s="172" t="s">
        <v>427</v>
      </c>
      <c r="U2" s="1">
        <v>40148</v>
      </c>
      <c r="V2" s="172" t="s">
        <v>428</v>
      </c>
      <c r="W2" s="172" t="s">
        <v>429</v>
      </c>
      <c r="AC2" t="s">
        <v>437</v>
      </c>
      <c r="AD2" s="1">
        <v>42124</v>
      </c>
      <c r="AE2" t="s">
        <v>288</v>
      </c>
      <c r="AF2" t="s">
        <v>438</v>
      </c>
    </row>
    <row r="3" spans="2:37" ht="15.75" thickTop="1">
      <c r="C3" s="248" t="s">
        <v>336</v>
      </c>
      <c r="D3" s="249" t="s">
        <v>337</v>
      </c>
      <c r="E3" s="249" t="s">
        <v>34</v>
      </c>
      <c r="F3" s="249" t="s">
        <v>130</v>
      </c>
      <c r="G3" s="250" t="s">
        <v>17</v>
      </c>
      <c r="H3" s="249" t="s">
        <v>108</v>
      </c>
      <c r="I3" s="249" t="s">
        <v>130</v>
      </c>
      <c r="J3" s="251" t="s">
        <v>17</v>
      </c>
      <c r="L3" s="182" t="s">
        <v>336</v>
      </c>
      <c r="M3" s="187" t="s">
        <v>337</v>
      </c>
      <c r="N3" s="187" t="s">
        <v>34</v>
      </c>
      <c r="O3" s="187" t="s">
        <v>130</v>
      </c>
      <c r="P3" s="201" t="s">
        <v>17</v>
      </c>
      <c r="Q3" s="187" t="s">
        <v>108</v>
      </c>
      <c r="R3" s="187" t="s">
        <v>130</v>
      </c>
      <c r="S3" s="207" t="s">
        <v>17</v>
      </c>
      <c r="U3" s="182" t="s">
        <v>336</v>
      </c>
      <c r="V3" s="187" t="s">
        <v>337</v>
      </c>
      <c r="W3" s="187" t="s">
        <v>34</v>
      </c>
      <c r="X3" s="187" t="s">
        <v>130</v>
      </c>
      <c r="Y3" s="201" t="s">
        <v>17</v>
      </c>
      <c r="Z3" s="187" t="s">
        <v>108</v>
      </c>
      <c r="AA3" s="187" t="s">
        <v>130</v>
      </c>
      <c r="AB3" s="207" t="s">
        <v>17</v>
      </c>
      <c r="AD3" s="212" t="s">
        <v>336</v>
      </c>
      <c r="AE3" s="213" t="s">
        <v>337</v>
      </c>
      <c r="AF3" s="213" t="s">
        <v>34</v>
      </c>
      <c r="AG3" s="213" t="s">
        <v>130</v>
      </c>
      <c r="AH3" s="238" t="s">
        <v>17</v>
      </c>
      <c r="AI3" s="213" t="s">
        <v>108</v>
      </c>
      <c r="AJ3" s="213" t="s">
        <v>130</v>
      </c>
      <c r="AK3" s="239" t="s">
        <v>17</v>
      </c>
    </row>
    <row r="4" spans="2:37" ht="15">
      <c r="C4" s="252"/>
      <c r="D4" s="253"/>
      <c r="E4" s="253" t="s">
        <v>133</v>
      </c>
      <c r="F4" s="253" t="s">
        <v>131</v>
      </c>
      <c r="G4" s="254"/>
      <c r="H4" s="253"/>
      <c r="I4" s="253" t="s">
        <v>131</v>
      </c>
      <c r="J4" s="255"/>
      <c r="L4" s="183"/>
      <c r="M4" s="188"/>
      <c r="N4" s="188" t="s">
        <v>133</v>
      </c>
      <c r="O4" s="188" t="s">
        <v>131</v>
      </c>
      <c r="P4" s="193"/>
      <c r="Q4" s="188"/>
      <c r="R4" s="188" t="s">
        <v>131</v>
      </c>
      <c r="S4" s="208"/>
      <c r="U4" s="183"/>
      <c r="V4" s="188"/>
      <c r="W4" s="188" t="s">
        <v>133</v>
      </c>
      <c r="X4" s="188" t="s">
        <v>131</v>
      </c>
      <c r="Y4" s="193"/>
      <c r="Z4" s="188"/>
      <c r="AA4" s="188" t="s">
        <v>131</v>
      </c>
      <c r="AB4" s="208"/>
      <c r="AD4" s="214"/>
      <c r="AE4" s="166"/>
      <c r="AF4" s="166" t="s">
        <v>133</v>
      </c>
      <c r="AG4" s="166" t="s">
        <v>131</v>
      </c>
      <c r="AH4" s="167"/>
      <c r="AI4" s="166"/>
      <c r="AJ4" s="166" t="s">
        <v>131</v>
      </c>
      <c r="AK4" s="215"/>
    </row>
    <row r="5" spans="2:37" ht="15">
      <c r="C5" s="256"/>
      <c r="D5" s="257"/>
      <c r="E5" s="257"/>
      <c r="F5" s="257"/>
      <c r="G5" s="258"/>
      <c r="H5" s="257" t="s">
        <v>134</v>
      </c>
      <c r="I5" s="257" t="s">
        <v>134</v>
      </c>
      <c r="J5" s="259"/>
      <c r="L5" s="184"/>
      <c r="M5" s="189"/>
      <c r="N5" s="189"/>
      <c r="O5" s="189"/>
      <c r="P5" s="202"/>
      <c r="Q5" s="189" t="s">
        <v>134</v>
      </c>
      <c r="R5" s="189" t="s">
        <v>134</v>
      </c>
      <c r="S5" s="209"/>
      <c r="U5" s="184"/>
      <c r="V5" s="189"/>
      <c r="W5" s="189"/>
      <c r="X5" s="189"/>
      <c r="Y5" s="202"/>
      <c r="Z5" s="189" t="s">
        <v>134</v>
      </c>
      <c r="AA5" s="189" t="s">
        <v>134</v>
      </c>
      <c r="AB5" s="209"/>
      <c r="AD5" s="216"/>
      <c r="AE5" s="168"/>
      <c r="AF5" s="168"/>
      <c r="AG5" s="168"/>
      <c r="AH5" s="169"/>
      <c r="AI5" s="168" t="s">
        <v>134</v>
      </c>
      <c r="AJ5" s="168" t="s">
        <v>134</v>
      </c>
      <c r="AK5" s="217"/>
    </row>
    <row r="6" spans="2:37" ht="15">
      <c r="B6" t="s">
        <v>2</v>
      </c>
      <c r="C6" s="252" t="s">
        <v>338</v>
      </c>
      <c r="D6" s="253">
        <v>10</v>
      </c>
      <c r="E6" s="254">
        <v>10.199999999999999</v>
      </c>
      <c r="F6" s="254">
        <v>1.2</v>
      </c>
      <c r="G6" s="254">
        <v>2.469610312893018</v>
      </c>
      <c r="H6" s="260">
        <v>8.8527248114708787E-2</v>
      </c>
      <c r="I6" s="260">
        <v>3.4599540478940323E-2</v>
      </c>
      <c r="J6" s="255">
        <v>2.1476896791993485</v>
      </c>
      <c r="L6" s="183" t="s">
        <v>338</v>
      </c>
      <c r="M6" s="188">
        <v>10</v>
      </c>
      <c r="N6" s="193">
        <v>10.6</v>
      </c>
      <c r="O6" s="193">
        <v>1.2</v>
      </c>
      <c r="P6" s="193">
        <v>2.4696100574368529</v>
      </c>
      <c r="Q6" s="194">
        <v>9.4467260736983846E-2</v>
      </c>
      <c r="R6" s="194">
        <v>3.4598958356785288E-2</v>
      </c>
      <c r="S6" s="208">
        <v>2.1477105772792346</v>
      </c>
      <c r="U6" s="183" t="s">
        <v>338</v>
      </c>
      <c r="V6" s="188">
        <v>10</v>
      </c>
      <c r="W6" s="193">
        <v>10.3</v>
      </c>
      <c r="X6" s="193">
        <v>1.2</v>
      </c>
      <c r="Y6" s="193">
        <v>2.4696100868213162</v>
      </c>
      <c r="Z6" s="195">
        <v>0.21829371087479849</v>
      </c>
      <c r="AA6" s="195">
        <v>0.20369517920224095</v>
      </c>
      <c r="AB6" s="208">
        <v>2.1403870158886953</v>
      </c>
      <c r="AD6" s="214" t="s">
        <v>338</v>
      </c>
      <c r="AE6" s="166">
        <v>10</v>
      </c>
      <c r="AF6" s="167">
        <v>10.325593878760797</v>
      </c>
      <c r="AG6" s="167">
        <v>1.234805057211908</v>
      </c>
      <c r="AH6" s="167">
        <v>2.4695030191085343</v>
      </c>
      <c r="AI6" s="218">
        <v>9.2023612139707944E-2</v>
      </c>
      <c r="AJ6" s="218">
        <v>0.34495167113807446</v>
      </c>
      <c r="AK6" s="215">
        <v>2.0819794831418976</v>
      </c>
    </row>
    <row r="7" spans="2:37" ht="15">
      <c r="B7" t="s">
        <v>3</v>
      </c>
      <c r="C7" s="252" t="s">
        <v>339</v>
      </c>
      <c r="D7" s="253">
        <v>20</v>
      </c>
      <c r="E7" s="254">
        <v>20.464660075237305</v>
      </c>
      <c r="F7" s="254">
        <v>1.2348063242519718</v>
      </c>
      <c r="G7" s="254">
        <v>2.4696023876676239</v>
      </c>
      <c r="H7" s="260">
        <v>0.13192651218431348</v>
      </c>
      <c r="I7" s="260">
        <v>3.455936087726575E-2</v>
      </c>
      <c r="J7" s="255">
        <v>2.1491471974019514</v>
      </c>
      <c r="L7" s="183" t="s">
        <v>339</v>
      </c>
      <c r="M7" s="188">
        <v>20</v>
      </c>
      <c r="N7" s="193">
        <v>20.997394473489596</v>
      </c>
      <c r="O7" s="193">
        <v>1.2348063153197701</v>
      </c>
      <c r="P7" s="193">
        <v>2.4696016903127509</v>
      </c>
      <c r="Q7" s="194">
        <v>0.17620107583686923</v>
      </c>
      <c r="R7" s="194">
        <v>3.4558653283961661E-2</v>
      </c>
      <c r="S7" s="208">
        <v>2.1491731812021393</v>
      </c>
      <c r="U7" s="183" t="s">
        <v>339</v>
      </c>
      <c r="V7" s="188">
        <v>20</v>
      </c>
      <c r="W7" s="193">
        <v>21.016783150833682</v>
      </c>
      <c r="X7" s="193">
        <v>1.2348063085685228</v>
      </c>
      <c r="Y7" s="193">
        <v>2.4696011632552595</v>
      </c>
      <c r="Z7" s="195">
        <v>0.29117794196833929</v>
      </c>
      <c r="AA7" s="195">
        <v>0.11728770772950052</v>
      </c>
      <c r="AB7" s="208">
        <v>2.1437641648384163</v>
      </c>
      <c r="AD7" s="214" t="s">
        <v>339</v>
      </c>
      <c r="AE7" s="166">
        <v>20</v>
      </c>
      <c r="AF7" s="167">
        <v>21.066251827619013</v>
      </c>
      <c r="AG7" s="167">
        <v>1.2348045805253904</v>
      </c>
      <c r="AH7" s="167">
        <v>2.4694653919921175</v>
      </c>
      <c r="AI7" s="218">
        <v>0.13260558181787208</v>
      </c>
      <c r="AJ7" s="218">
        <v>0.17817364412761788</v>
      </c>
      <c r="AK7" s="215">
        <v>2.070230476118041</v>
      </c>
    </row>
    <row r="8" spans="2:37" ht="15">
      <c r="B8" t="s">
        <v>4</v>
      </c>
      <c r="C8" s="252"/>
      <c r="D8" s="253">
        <v>30</v>
      </c>
      <c r="E8" s="254">
        <v>31.034110870470162</v>
      </c>
      <c r="F8" s="254">
        <v>1.2348061496016891</v>
      </c>
      <c r="G8" s="254">
        <v>2.4695887441349131</v>
      </c>
      <c r="H8" s="260">
        <v>0.12888237662969812</v>
      </c>
      <c r="I8" s="260">
        <v>3.45330615461572E-2</v>
      </c>
      <c r="J8" s="255">
        <v>2.1501197979519073</v>
      </c>
      <c r="L8" s="183"/>
      <c r="M8" s="188">
        <v>30</v>
      </c>
      <c r="N8" s="193">
        <v>31.491791506569193</v>
      </c>
      <c r="O8" s="193">
        <v>1.2348061363189979</v>
      </c>
      <c r="P8" s="193">
        <v>2.4695877059297286</v>
      </c>
      <c r="Q8" s="194">
        <v>0.16511183922055836</v>
      </c>
      <c r="R8" s="194">
        <v>3.4532742563910222E-2</v>
      </c>
      <c r="S8" s="208">
        <v>2.1501316946940205</v>
      </c>
      <c r="U8" s="183"/>
      <c r="V8" s="188">
        <v>30</v>
      </c>
      <c r="W8" s="193">
        <v>31.698184465924587</v>
      </c>
      <c r="X8" s="193">
        <v>1.2348061171292968</v>
      </c>
      <c r="Y8" s="193">
        <v>2.4695862060719711</v>
      </c>
      <c r="Z8" s="195">
        <v>0.27444679119813609</v>
      </c>
      <c r="AA8" s="195">
        <v>8.9296431685813679E-2</v>
      </c>
      <c r="AB8" s="208">
        <v>2.1459764178796372</v>
      </c>
      <c r="AD8" s="214"/>
      <c r="AE8" s="166">
        <v>30</v>
      </c>
      <c r="AF8" s="167">
        <v>31.701893565970654</v>
      </c>
      <c r="AG8" s="167">
        <v>1.2348040337479795</v>
      </c>
      <c r="AH8" s="167">
        <v>2.4694220654283998</v>
      </c>
      <c r="AI8" s="218">
        <v>5.2216667656395321E-2</v>
      </c>
      <c r="AJ8" s="218">
        <v>0.12525498684301165</v>
      </c>
      <c r="AK8" s="215">
        <v>2.0637140692388911</v>
      </c>
    </row>
    <row r="9" spans="2:37" ht="15">
      <c r="B9" t="s">
        <v>325</v>
      </c>
      <c r="C9" s="252"/>
      <c r="D9" s="253">
        <v>40</v>
      </c>
      <c r="E9" s="254">
        <v>41.548858297439899</v>
      </c>
      <c r="F9" s="254">
        <v>1.2348059054159055</v>
      </c>
      <c r="G9" s="254">
        <v>2.4695696407781367</v>
      </c>
      <c r="H9" s="260">
        <v>0.15402589161675023</v>
      </c>
      <c r="I9" s="260">
        <v>3.4515427384264101E-2</v>
      </c>
      <c r="J9" s="255">
        <v>2.1507803992398369</v>
      </c>
      <c r="L9" s="183"/>
      <c r="M9" s="188">
        <v>40</v>
      </c>
      <c r="N9" s="193">
        <v>41.495765312343195</v>
      </c>
      <c r="O9" s="193">
        <v>1.234805899699249</v>
      </c>
      <c r="P9" s="193">
        <v>2.4695691934726924</v>
      </c>
      <c r="Q9" s="194">
        <v>0.18313951196700715</v>
      </c>
      <c r="R9" s="194">
        <v>3.4515919388080983E-2</v>
      </c>
      <c r="S9" s="208">
        <v>2.1507618796470278</v>
      </c>
      <c r="U9" s="183"/>
      <c r="V9" s="188">
        <v>40</v>
      </c>
      <c r="W9" s="193">
        <v>41.812553859655992</v>
      </c>
      <c r="X9" s="193">
        <v>1.2348058649260472</v>
      </c>
      <c r="Y9" s="193">
        <v>2.4695664714567451</v>
      </c>
      <c r="Z9" s="195">
        <v>0.29797830198877456</v>
      </c>
      <c r="AA9" s="195">
        <v>7.5986823895112132E-2</v>
      </c>
      <c r="AB9" s="208">
        <v>2.1474286186744638</v>
      </c>
      <c r="AD9" s="214"/>
      <c r="AE9" s="166">
        <v>40</v>
      </c>
      <c r="AF9" s="167">
        <v>41.895467065808894</v>
      </c>
      <c r="AG9" s="167">
        <v>1.2348034407971593</v>
      </c>
      <c r="AH9" s="167">
        <v>2.4693748760708152</v>
      </c>
      <c r="AI9" s="218">
        <v>4.9208650436167019E-2</v>
      </c>
      <c r="AJ9" s="218">
        <v>0.10027982340329335</v>
      </c>
      <c r="AK9" s="215">
        <v>2.0612499105141193</v>
      </c>
    </row>
    <row r="10" spans="2:37" ht="15">
      <c r="B10" t="s">
        <v>326</v>
      </c>
      <c r="C10" s="252"/>
      <c r="D10" s="253">
        <v>50</v>
      </c>
      <c r="E10" s="254">
        <v>51.465457972948656</v>
      </c>
      <c r="F10" s="254">
        <v>1.2348053169859514</v>
      </c>
      <c r="G10" s="254">
        <v>2.4695234926087268</v>
      </c>
      <c r="H10" s="260">
        <v>2.3317095861165187E-2</v>
      </c>
      <c r="I10" s="260">
        <v>4.0484495052466769E-2</v>
      </c>
      <c r="J10" s="255">
        <v>2.0754696695179602</v>
      </c>
      <c r="L10" s="183"/>
      <c r="M10" s="188">
        <v>50</v>
      </c>
      <c r="N10" s="193">
        <v>51.150512676959998</v>
      </c>
      <c r="O10" s="193">
        <v>1.2348053167123532</v>
      </c>
      <c r="P10" s="193">
        <v>2.4695234718219696</v>
      </c>
      <c r="Q10" s="194">
        <v>1.9550460076824257E-2</v>
      </c>
      <c r="R10" s="194">
        <v>4.0557833967752956E-2</v>
      </c>
      <c r="S10" s="208">
        <v>2.0752886578376684</v>
      </c>
      <c r="U10" s="183"/>
      <c r="V10" s="188">
        <v>50</v>
      </c>
      <c r="W10" s="193">
        <v>51.556955522625849</v>
      </c>
      <c r="X10" s="193">
        <v>1.2348053753541812</v>
      </c>
      <c r="Y10" s="193">
        <v>2.4695280761768985</v>
      </c>
      <c r="Z10" s="195">
        <v>3.1034171856253935E-2</v>
      </c>
      <c r="AA10" s="195">
        <v>9.5175931670200636E-2</v>
      </c>
      <c r="AB10" s="208">
        <v>2.0671691684039026</v>
      </c>
      <c r="AD10" s="214"/>
      <c r="AE10" s="166">
        <v>50</v>
      </c>
      <c r="AF10" s="167">
        <v>51.635970628890206</v>
      </c>
      <c r="AG10" s="167">
        <v>1.2348028121084194</v>
      </c>
      <c r="AH10" s="167">
        <v>2.4693246074661128</v>
      </c>
      <c r="AI10" s="218">
        <v>3.8302674462593361E-2</v>
      </c>
      <c r="AJ10" s="218">
        <v>8.5958829536314854E-2</v>
      </c>
      <c r="AK10" s="215">
        <v>2.0614388563081398</v>
      </c>
    </row>
    <row r="11" spans="2:37" ht="15">
      <c r="B11" t="s">
        <v>327</v>
      </c>
      <c r="C11" s="252"/>
      <c r="D11" s="253">
        <v>60</v>
      </c>
      <c r="E11" s="254">
        <v>61.30088324610302</v>
      </c>
      <c r="F11" s="254">
        <v>1.2348049120574982</v>
      </c>
      <c r="G11" s="254">
        <v>2.4694916244641778</v>
      </c>
      <c r="H11" s="260">
        <v>1.4681986868072153E-2</v>
      </c>
      <c r="I11" s="260">
        <v>3.9422208799307315E-2</v>
      </c>
      <c r="J11" s="255">
        <v>2.0789902799542106</v>
      </c>
      <c r="L11" s="183"/>
      <c r="M11" s="188">
        <v>60</v>
      </c>
      <c r="N11" s="193">
        <v>60.889752713879993</v>
      </c>
      <c r="O11" s="193">
        <v>1.2348049131801193</v>
      </c>
      <c r="P11" s="193">
        <v>2.4694917143828876</v>
      </c>
      <c r="Q11" s="194">
        <v>8.2116941802922033E-3</v>
      </c>
      <c r="R11" s="194">
        <v>3.9491297106357473E-2</v>
      </c>
      <c r="S11" s="208">
        <v>2.0786434801312446</v>
      </c>
      <c r="U11" s="183"/>
      <c r="V11" s="188">
        <v>60</v>
      </c>
      <c r="W11" s="193">
        <v>61.695323284659949</v>
      </c>
      <c r="X11" s="193">
        <v>1.2348049551069349</v>
      </c>
      <c r="Y11" s="193">
        <v>2.4694950125196962</v>
      </c>
      <c r="Z11" s="195">
        <v>2.2692546473181609E-2</v>
      </c>
      <c r="AA11" s="195">
        <v>8.3241045819243534E-2</v>
      </c>
      <c r="AB11" s="208">
        <v>2.0645766098571277</v>
      </c>
      <c r="AD11" s="214"/>
      <c r="AE11" s="166">
        <v>60</v>
      </c>
      <c r="AF11" s="167">
        <v>61.118434360441071</v>
      </c>
      <c r="AG11" s="167">
        <v>1.2348021427059599</v>
      </c>
      <c r="AH11" s="167">
        <v>2.4692708135176198</v>
      </c>
      <c r="AI11" s="218">
        <v>3.2946100619726103E-2</v>
      </c>
      <c r="AJ11" s="218">
        <v>7.6622970178303565E-2</v>
      </c>
      <c r="AK11" s="215">
        <v>2.0632917137285234</v>
      </c>
    </row>
    <row r="12" spans="2:37" ht="15">
      <c r="B12" t="s">
        <v>328</v>
      </c>
      <c r="C12" s="252"/>
      <c r="D12" s="253">
        <v>70</v>
      </c>
      <c r="E12" s="254">
        <v>70.428205906547049</v>
      </c>
      <c r="F12" s="254">
        <v>1.2348044873608577</v>
      </c>
      <c r="G12" s="254">
        <v>2.469458104651109</v>
      </c>
      <c r="H12" s="260">
        <v>1.2779237398362332E-2</v>
      </c>
      <c r="I12" s="260">
        <v>3.8661559076044946E-2</v>
      </c>
      <c r="J12" s="255">
        <v>2.0828613212641853</v>
      </c>
      <c r="L12" s="183"/>
      <c r="M12" s="188">
        <v>70</v>
      </c>
      <c r="N12" s="193">
        <v>70.214940032039991</v>
      </c>
      <c r="O12" s="193">
        <v>1.2348044758907344</v>
      </c>
      <c r="P12" s="193">
        <v>2.4694572005481348</v>
      </c>
      <c r="Q12" s="194">
        <v>0</v>
      </c>
      <c r="R12" s="194">
        <v>3.8693925109861145E-2</v>
      </c>
      <c r="S12" s="208">
        <v>2.0827088099173281</v>
      </c>
      <c r="U12" s="183"/>
      <c r="V12" s="188">
        <v>70</v>
      </c>
      <c r="W12" s="193">
        <v>70.424500933573199</v>
      </c>
      <c r="X12" s="193">
        <v>1.2348045418067435</v>
      </c>
      <c r="Y12" s="193">
        <v>2.4694624022620526</v>
      </c>
      <c r="Z12" s="195">
        <v>1.4199846971436223E-2</v>
      </c>
      <c r="AA12" s="195">
        <v>7.5890683705522183E-2</v>
      </c>
      <c r="AB12" s="208">
        <v>2.0639216163060348</v>
      </c>
      <c r="AD12" s="214"/>
      <c r="AE12" s="166">
        <v>70</v>
      </c>
      <c r="AF12" s="167">
        <v>70.650905811280779</v>
      </c>
      <c r="AG12" s="167">
        <v>1.2348014137132861</v>
      </c>
      <c r="AH12" s="167">
        <v>2.4692119089699229</v>
      </c>
      <c r="AI12" s="218">
        <v>4.8452420239664153E-2</v>
      </c>
      <c r="AJ12" s="218">
        <v>6.9923354278962555E-2</v>
      </c>
      <c r="AK12" s="215">
        <v>2.0662552927213116</v>
      </c>
    </row>
    <row r="13" spans="2:37" ht="15">
      <c r="B13" t="s">
        <v>329</v>
      </c>
      <c r="C13" s="252"/>
      <c r="D13" s="253">
        <v>80</v>
      </c>
      <c r="E13" s="254">
        <v>80.482662920073679</v>
      </c>
      <c r="F13" s="254">
        <v>1.2348039651074114</v>
      </c>
      <c r="G13" s="254">
        <v>2.4694167484047278</v>
      </c>
      <c r="H13" s="260">
        <v>7.4551771372534095E-3</v>
      </c>
      <c r="I13" s="260">
        <v>3.801172670677621E-2</v>
      </c>
      <c r="J13" s="255">
        <v>2.0872593418543195</v>
      </c>
      <c r="L13" s="183"/>
      <c r="M13" s="188">
        <v>80</v>
      </c>
      <c r="N13" s="193">
        <v>80.305224765299997</v>
      </c>
      <c r="O13" s="193">
        <v>1.2348039467187297</v>
      </c>
      <c r="P13" s="193">
        <v>2.4694152938871374</v>
      </c>
      <c r="Q13" s="194">
        <v>0</v>
      </c>
      <c r="R13" s="194">
        <v>3.8026138357724663E-2</v>
      </c>
      <c r="S13" s="208">
        <v>2.0872706312281362</v>
      </c>
      <c r="U13" s="183"/>
      <c r="V13" s="188">
        <v>80</v>
      </c>
      <c r="W13" s="193">
        <v>80.28483118570837</v>
      </c>
      <c r="X13" s="193">
        <v>1.2348040179716695</v>
      </c>
      <c r="Y13" s="193">
        <v>2.46942093613128</v>
      </c>
      <c r="Z13" s="195">
        <v>6.2279332317667097E-3</v>
      </c>
      <c r="AA13" s="195">
        <v>6.9657284780941561E-2</v>
      </c>
      <c r="AB13" s="208">
        <v>2.0645210451722864</v>
      </c>
      <c r="AD13" s="214"/>
      <c r="AE13" s="166">
        <v>80</v>
      </c>
      <c r="AF13" s="167">
        <v>80.203380349836024</v>
      </c>
      <c r="AG13" s="167">
        <v>1.2348006278811119</v>
      </c>
      <c r="AH13" s="167">
        <v>2.4691480291297583</v>
      </c>
      <c r="AI13" s="218">
        <v>4.7990273867916919E-2</v>
      </c>
      <c r="AJ13" s="218">
        <v>6.4925909082736835E-2</v>
      </c>
      <c r="AK13" s="215">
        <v>2.06990880959561</v>
      </c>
    </row>
    <row r="14" spans="2:37" ht="15">
      <c r="B14" t="s">
        <v>330</v>
      </c>
      <c r="C14" s="252"/>
      <c r="D14" s="253">
        <v>90</v>
      </c>
      <c r="E14" s="254">
        <v>90.48511239707355</v>
      </c>
      <c r="F14" s="254">
        <v>1.2348033890747041</v>
      </c>
      <c r="G14" s="254">
        <v>2.4693709560966495</v>
      </c>
      <c r="H14" s="260">
        <v>2.2103544353019684E-3</v>
      </c>
      <c r="I14" s="260">
        <v>3.7627993896216697E-2</v>
      </c>
      <c r="J14" s="255">
        <v>2.0892589675511455</v>
      </c>
      <c r="L14" s="183"/>
      <c r="M14" s="188">
        <v>90</v>
      </c>
      <c r="N14" s="193">
        <v>90.053465948279992</v>
      </c>
      <c r="O14" s="193">
        <v>1.2348033803229113</v>
      </c>
      <c r="P14" s="193">
        <v>2.4693702659431365</v>
      </c>
      <c r="Q14" s="194">
        <v>0</v>
      </c>
      <c r="R14" s="194">
        <v>3.7517072183823351E-2</v>
      </c>
      <c r="S14" s="208">
        <v>2.0916951736915652</v>
      </c>
      <c r="U14" s="183"/>
      <c r="V14" s="188">
        <v>90</v>
      </c>
      <c r="W14" s="193">
        <v>90.423198947742492</v>
      </c>
      <c r="X14" s="193">
        <v>1.2348034167308324</v>
      </c>
      <c r="Y14" s="193">
        <v>2.4693731549645732</v>
      </c>
      <c r="Z14" s="195">
        <v>0</v>
      </c>
      <c r="AA14" s="195">
        <v>6.4791011201062385E-2</v>
      </c>
      <c r="AB14" s="208">
        <v>2.0662292410902494</v>
      </c>
      <c r="AD14" s="214"/>
      <c r="AE14" s="166">
        <v>90</v>
      </c>
      <c r="AF14" s="167">
        <v>90.322942425126783</v>
      </c>
      <c r="AG14" s="167">
        <v>1.2347997363011229</v>
      </c>
      <c r="AH14" s="167">
        <v>2.4690750630306866</v>
      </c>
      <c r="AI14" s="218">
        <v>4.1556491292210951E-2</v>
      </c>
      <c r="AJ14" s="218">
        <v>6.0881065081670342E-2</v>
      </c>
      <c r="AK14" s="215">
        <v>2.0741819857134889</v>
      </c>
    </row>
    <row r="15" spans="2:37" ht="15">
      <c r="B15" t="s">
        <v>331</v>
      </c>
      <c r="C15" s="252"/>
      <c r="D15" s="253" t="s">
        <v>340</v>
      </c>
      <c r="E15" s="254">
        <v>100.26352940903514</v>
      </c>
      <c r="F15" s="254">
        <v>1.2348027717104675</v>
      </c>
      <c r="G15" s="254">
        <v>2.4693216683035963</v>
      </c>
      <c r="H15" s="260">
        <v>0</v>
      </c>
      <c r="I15" s="260">
        <v>3.7080271158589369E-2</v>
      </c>
      <c r="J15" s="255">
        <v>2.0962929632162539</v>
      </c>
      <c r="L15" s="183"/>
      <c r="M15" s="188" t="s">
        <v>340</v>
      </c>
      <c r="N15" s="193">
        <v>99.80570764062</v>
      </c>
      <c r="O15" s="193">
        <v>1.2348027596728699</v>
      </c>
      <c r="P15" s="193">
        <v>2.4693207157584216</v>
      </c>
      <c r="Q15" s="194">
        <v>-1.0019627931509222E-2</v>
      </c>
      <c r="R15" s="194">
        <v>3.7114343644909842E-2</v>
      </c>
      <c r="S15" s="208">
        <v>2.0958380351306021</v>
      </c>
      <c r="U15" s="183"/>
      <c r="V15" s="188" t="s">
        <v>340</v>
      </c>
      <c r="W15" s="193">
        <v>100.26852717596226</v>
      </c>
      <c r="X15" s="193">
        <v>1.2348027725885997</v>
      </c>
      <c r="Y15" s="193">
        <v>2.4693217385776922</v>
      </c>
      <c r="Z15" s="195">
        <v>-1.0970729110199485E-2</v>
      </c>
      <c r="AA15" s="195">
        <v>6.1101744594989099E-2</v>
      </c>
      <c r="AB15" s="208">
        <v>2.0686282846512829</v>
      </c>
      <c r="AD15" s="214"/>
      <c r="AE15" s="166" t="s">
        <v>340</v>
      </c>
      <c r="AF15" s="167">
        <v>100.16246127240001</v>
      </c>
      <c r="AG15" s="167">
        <v>1.2347988124898768</v>
      </c>
      <c r="AH15" s="167">
        <v>2.4689988976491599</v>
      </c>
      <c r="AI15" s="218">
        <v>2.5055796580639025E-2</v>
      </c>
      <c r="AJ15" s="218">
        <v>5.7803466754986529E-2</v>
      </c>
      <c r="AK15" s="215">
        <v>2.0784941689553644</v>
      </c>
    </row>
    <row r="16" spans="2:37" ht="15">
      <c r="B16" s="81"/>
      <c r="C16" s="252"/>
      <c r="D16" s="261"/>
      <c r="E16" s="261"/>
      <c r="F16" s="261"/>
      <c r="G16" s="262"/>
      <c r="H16" s="261"/>
      <c r="I16" s="261"/>
      <c r="J16" s="263"/>
      <c r="L16" s="183"/>
      <c r="M16" s="190"/>
      <c r="N16" s="190"/>
      <c r="O16" s="190"/>
      <c r="P16" s="203"/>
      <c r="Q16" s="190"/>
      <c r="R16" s="190"/>
      <c r="S16" s="210"/>
      <c r="U16" s="183"/>
      <c r="V16" s="190"/>
      <c r="W16" s="190"/>
      <c r="X16" s="190"/>
      <c r="Y16" s="203"/>
      <c r="Z16" s="190"/>
      <c r="AA16" s="190"/>
      <c r="AB16" s="210"/>
      <c r="AD16" s="214"/>
      <c r="AE16" s="219"/>
      <c r="AF16" s="219"/>
      <c r="AG16" s="219"/>
      <c r="AH16" s="220"/>
      <c r="AI16" s="219"/>
      <c r="AJ16" s="219"/>
      <c r="AK16" s="221"/>
    </row>
    <row r="17" spans="2:37" ht="15">
      <c r="B17" s="172" t="s">
        <v>5</v>
      </c>
      <c r="C17" s="252" t="s">
        <v>341</v>
      </c>
      <c r="D17" s="253">
        <v>1</v>
      </c>
      <c r="E17" s="260">
        <v>97.49</v>
      </c>
      <c r="F17" s="260">
        <v>1.6E-2</v>
      </c>
      <c r="G17" s="254">
        <v>2.1075358315943968</v>
      </c>
      <c r="H17" s="260">
        <v>7.4880937935269704E-2</v>
      </c>
      <c r="I17" s="260">
        <v>3.7186656280500482E-2</v>
      </c>
      <c r="J17" s="255">
        <v>2.0950954323305075</v>
      </c>
      <c r="L17" s="183" t="s">
        <v>341</v>
      </c>
      <c r="M17" s="188">
        <v>1</v>
      </c>
      <c r="N17" s="194">
        <v>97.144999999999996</v>
      </c>
      <c r="O17" s="194">
        <v>1.6E-2</v>
      </c>
      <c r="P17" s="193">
        <v>2.1039197834560452</v>
      </c>
      <c r="Q17" s="194">
        <v>5.1470083811325708E-2</v>
      </c>
      <c r="R17" s="194">
        <v>3.721111967726709E-2</v>
      </c>
      <c r="S17" s="208">
        <v>2.0948263771403299</v>
      </c>
      <c r="U17" s="183" t="s">
        <v>341</v>
      </c>
      <c r="V17" s="188">
        <v>1</v>
      </c>
      <c r="W17" s="194">
        <v>96.977000000000004</v>
      </c>
      <c r="X17" s="194">
        <v>1.4999999999999999E-2</v>
      </c>
      <c r="Y17" s="193">
        <v>2.1078899662362414</v>
      </c>
      <c r="Z17" s="195">
        <v>3.5060430296589624E-2</v>
      </c>
      <c r="AA17" s="195">
        <v>6.2242066293902276E-2</v>
      </c>
      <c r="AB17" s="208">
        <v>2.0677604743544173</v>
      </c>
      <c r="AD17" s="214" t="s">
        <v>341</v>
      </c>
      <c r="AE17" s="166">
        <v>1</v>
      </c>
      <c r="AF17" s="170">
        <v>96.959966929142354</v>
      </c>
      <c r="AG17" s="170">
        <v>2.4080429429392564E-2</v>
      </c>
      <c r="AH17" s="167">
        <v>2.2337942649327687</v>
      </c>
      <c r="AI17" s="218">
        <v>0.32281757708029457</v>
      </c>
      <c r="AJ17" s="218">
        <v>5.8728539677740443E-2</v>
      </c>
      <c r="AK17" s="215">
        <v>2.0770722466574383</v>
      </c>
    </row>
    <row r="18" spans="2:37" ht="15">
      <c r="B18" s="172" t="s">
        <v>315</v>
      </c>
      <c r="C18" s="252" t="s">
        <v>342</v>
      </c>
      <c r="D18" s="253">
        <v>2</v>
      </c>
      <c r="E18" s="260">
        <v>195.97639937197994</v>
      </c>
      <c r="F18" s="260">
        <v>3.0255754993742355E-2</v>
      </c>
      <c r="G18" s="254">
        <v>2.1365728821379615</v>
      </c>
      <c r="H18" s="260">
        <v>2.3982979576520468E-2</v>
      </c>
      <c r="I18" s="260">
        <v>3.538288466910719E-2</v>
      </c>
      <c r="J18" s="255">
        <v>2.1247521319708529</v>
      </c>
      <c r="L18" s="183" t="s">
        <v>342</v>
      </c>
      <c r="M18" s="188">
        <v>2</v>
      </c>
      <c r="N18" s="194">
        <v>195.84693597347999</v>
      </c>
      <c r="O18" s="194">
        <v>3.0358583710593454E-2</v>
      </c>
      <c r="P18" s="193">
        <v>2.1320808027933933</v>
      </c>
      <c r="Q18" s="194">
        <v>2.0424441179624348E-2</v>
      </c>
      <c r="R18" s="194">
        <v>3.538657393856065E-2</v>
      </c>
      <c r="S18" s="208">
        <v>2.1246610292025649</v>
      </c>
      <c r="U18" s="183" t="s">
        <v>342</v>
      </c>
      <c r="V18" s="188">
        <v>2</v>
      </c>
      <c r="W18" s="194">
        <v>195.83942059654578</v>
      </c>
      <c r="X18" s="194">
        <v>3.0609080776182476E-2</v>
      </c>
      <c r="Y18" s="193">
        <v>2.1248714774906956</v>
      </c>
      <c r="Z18" s="194">
        <v>-1.0212623518292263E-3</v>
      </c>
      <c r="AA18" s="194">
        <v>4.6049262462747542E-2</v>
      </c>
      <c r="AB18" s="208">
        <v>2.0992751371596077</v>
      </c>
      <c r="AD18" s="214" t="s">
        <v>342</v>
      </c>
      <c r="AE18" s="166">
        <v>2</v>
      </c>
      <c r="AF18" s="170">
        <v>195.93924556316827</v>
      </c>
      <c r="AG18" s="170">
        <v>4.0182518091219609E-2</v>
      </c>
      <c r="AH18" s="167">
        <v>2.2424488430538321</v>
      </c>
      <c r="AI18" s="170">
        <v>4.7647547780302842E-2</v>
      </c>
      <c r="AJ18" s="170">
        <v>4.5047724160050234E-2</v>
      </c>
      <c r="AK18" s="215">
        <v>2.1123206051247916</v>
      </c>
    </row>
    <row r="19" spans="2:37" ht="15">
      <c r="B19" s="172" t="s">
        <v>316</v>
      </c>
      <c r="C19" s="252"/>
      <c r="D19" s="253">
        <v>3</v>
      </c>
      <c r="E19" s="264">
        <v>293.33550789498292</v>
      </c>
      <c r="F19" s="264">
        <v>4.4873349204521205E-2</v>
      </c>
      <c r="G19" s="254">
        <v>2.1469567858959517</v>
      </c>
      <c r="H19" s="260">
        <v>3.2045885050512847E-2</v>
      </c>
      <c r="I19" s="260">
        <v>3.4919142097813494E-2</v>
      </c>
      <c r="J19" s="255">
        <v>2.1371908731100779</v>
      </c>
      <c r="L19" s="183"/>
      <c r="M19" s="188">
        <v>3</v>
      </c>
      <c r="N19" s="195">
        <v>292.83828527934003</v>
      </c>
      <c r="O19" s="195">
        <v>4.497786793909983E-2</v>
      </c>
      <c r="P19" s="193">
        <v>2.1420624005158597</v>
      </c>
      <c r="Q19" s="194">
        <v>2.0489453181562218E-2</v>
      </c>
      <c r="R19" s="194">
        <v>3.4922881240593097E-2</v>
      </c>
      <c r="S19" s="208">
        <v>2.1370731523710167</v>
      </c>
      <c r="U19" s="183"/>
      <c r="V19" s="188">
        <v>3</v>
      </c>
      <c r="W19" s="195">
        <v>292.67648483558992</v>
      </c>
      <c r="X19" s="195">
        <v>4.5488012185065776E-2</v>
      </c>
      <c r="Y19" s="193">
        <v>2.1304495614354257</v>
      </c>
      <c r="Z19" s="194">
        <v>6.1502407559147565E-3</v>
      </c>
      <c r="AA19" s="194">
        <v>4.1629830253542603E-2</v>
      </c>
      <c r="AB19" s="208">
        <v>2.1198569873137667</v>
      </c>
      <c r="AD19" s="214"/>
      <c r="AE19" s="166">
        <v>3</v>
      </c>
      <c r="AF19" s="218">
        <v>292.77619350286005</v>
      </c>
      <c r="AG19" s="218">
        <v>5.5966023789375881E-2</v>
      </c>
      <c r="AH19" s="167">
        <v>2.244899107800411</v>
      </c>
      <c r="AI19" s="170">
        <v>0.13934662507516088</v>
      </c>
      <c r="AJ19" s="170">
        <v>4.1170160055634626E-2</v>
      </c>
      <c r="AK19" s="215">
        <v>2.1293383582675753</v>
      </c>
    </row>
    <row r="20" spans="2:37" ht="15">
      <c r="B20" s="172" t="s">
        <v>317</v>
      </c>
      <c r="C20" s="252"/>
      <c r="D20" s="253">
        <v>4</v>
      </c>
      <c r="E20" s="264">
        <v>392.64089845800606</v>
      </c>
      <c r="F20" s="264">
        <v>5.9837009422528981E-2</v>
      </c>
      <c r="G20" s="254">
        <v>2.1517152263970107</v>
      </c>
      <c r="H20" s="260">
        <v>1.6045530061910701E-2</v>
      </c>
      <c r="I20" s="260">
        <v>3.4734566462926622E-2</v>
      </c>
      <c r="J20" s="255">
        <v>2.1430186671167415</v>
      </c>
      <c r="L20" s="183"/>
      <c r="M20" s="188">
        <v>4</v>
      </c>
      <c r="N20" s="195">
        <v>392.22994020119995</v>
      </c>
      <c r="O20" s="195">
        <v>6.0013212061829108E-2</v>
      </c>
      <c r="P20" s="193">
        <v>2.146655459881158</v>
      </c>
      <c r="Q20" s="194">
        <v>1.2747829187733947E-2</v>
      </c>
      <c r="R20" s="194">
        <v>3.4737973457877033E-2</v>
      </c>
      <c r="S20" s="208">
        <v>2.1429001546829261</v>
      </c>
      <c r="U20" s="183"/>
      <c r="V20" s="188">
        <v>4</v>
      </c>
      <c r="W20" s="195">
        <v>392.24891810187717</v>
      </c>
      <c r="X20" s="195">
        <v>6.0820211107660734E-2</v>
      </c>
      <c r="Y20" s="193">
        <v>2.1329603293559556</v>
      </c>
      <c r="Z20" s="194">
        <v>-8.6681138086021209E-3</v>
      </c>
      <c r="AA20" s="194">
        <v>3.9571525280563E-2</v>
      </c>
      <c r="AB20" s="208">
        <v>2.1314530064351911</v>
      </c>
      <c r="AD20" s="214"/>
      <c r="AE20" s="166">
        <v>4</v>
      </c>
      <c r="AF20" s="218">
        <v>392.49358607358937</v>
      </c>
      <c r="AG20" s="218">
        <v>7.2228570399291966E-2</v>
      </c>
      <c r="AH20" s="167">
        <v>2.2459543791987522</v>
      </c>
      <c r="AI20" s="170">
        <v>4.9769957795642417E-2</v>
      </c>
      <c r="AJ20" s="170">
        <v>3.9310818528632968E-2</v>
      </c>
      <c r="AK20" s="215">
        <v>2.1380651299009945</v>
      </c>
    </row>
    <row r="21" spans="2:37" ht="15">
      <c r="B21" s="172" t="s">
        <v>318</v>
      </c>
      <c r="C21" s="252"/>
      <c r="D21" s="253">
        <v>5</v>
      </c>
      <c r="E21" s="264">
        <v>489.94299871981627</v>
      </c>
      <c r="F21" s="264">
        <v>7.4526152955221622E-2</v>
      </c>
      <c r="G21" s="254">
        <v>2.1541663271514411</v>
      </c>
      <c r="H21" s="260">
        <v>2.2860278689853315E-2</v>
      </c>
      <c r="I21" s="260">
        <v>3.4640062317612776E-2</v>
      </c>
      <c r="J21" s="255">
        <v>2.1462497572800356</v>
      </c>
      <c r="L21" s="183"/>
      <c r="M21" s="188">
        <v>5</v>
      </c>
      <c r="N21" s="195">
        <v>489.19928670557999</v>
      </c>
      <c r="O21" s="195">
        <v>7.4709640678352451E-2</v>
      </c>
      <c r="P21" s="193">
        <v>2.1490094183852664</v>
      </c>
      <c r="Q21" s="194">
        <v>1.0220947609453997E-2</v>
      </c>
      <c r="R21" s="194">
        <v>3.4650799605733335E-2</v>
      </c>
      <c r="S21" s="208">
        <v>2.1458600598340154</v>
      </c>
      <c r="U21" s="183"/>
      <c r="V21" s="188">
        <v>5</v>
      </c>
      <c r="W21" s="195">
        <v>489.04397667395813</v>
      </c>
      <c r="X21" s="195">
        <v>7.5741589716227881E-2</v>
      </c>
      <c r="Y21" s="193">
        <v>2.1342269948080235</v>
      </c>
      <c r="Z21" s="194">
        <v>-5.9300386746063754E-3</v>
      </c>
      <c r="AA21" s="194">
        <v>3.8444850616812833E-2</v>
      </c>
      <c r="AB21" s="208">
        <v>2.1379387412258706</v>
      </c>
      <c r="AD21" s="214"/>
      <c r="AE21" s="166">
        <v>5</v>
      </c>
      <c r="AF21" s="218">
        <v>489.30953077117977</v>
      </c>
      <c r="AG21" s="218">
        <v>8.8022048141629866E-2</v>
      </c>
      <c r="AH21" s="167">
        <v>2.246475255874341</v>
      </c>
      <c r="AI21" s="170">
        <v>0.10453234242116739</v>
      </c>
      <c r="AJ21" s="170">
        <v>3.8275665633810046E-2</v>
      </c>
      <c r="AK21" s="215">
        <v>2.1427290130100083</v>
      </c>
    </row>
    <row r="22" spans="2:37" ht="15">
      <c r="B22" s="172" t="s">
        <v>319</v>
      </c>
      <c r="C22" s="252"/>
      <c r="D22" s="253">
        <v>6</v>
      </c>
      <c r="E22" s="264">
        <v>592.96692814450182</v>
      </c>
      <c r="F22" s="264">
        <v>9.0096003180293913E-2</v>
      </c>
      <c r="G22" s="254">
        <v>2.1556786490744106</v>
      </c>
      <c r="H22" s="260">
        <v>1.7876580431728968E-2</v>
      </c>
      <c r="I22" s="260">
        <v>3.4587004431087101E-2</v>
      </c>
      <c r="J22" s="255">
        <v>2.1481358148252623</v>
      </c>
      <c r="L22" s="183"/>
      <c r="M22" s="188">
        <v>6</v>
      </c>
      <c r="N22" s="195">
        <v>592.32641724233997</v>
      </c>
      <c r="O22" s="195">
        <v>9.0356434201146418E-2</v>
      </c>
      <c r="P22" s="193">
        <v>2.1504678413344829</v>
      </c>
      <c r="Q22" s="194">
        <v>3.3765708463779714E-3</v>
      </c>
      <c r="R22" s="194">
        <v>3.4701163459882917E-2</v>
      </c>
      <c r="S22" s="208">
        <v>2.1440587825018613</v>
      </c>
      <c r="U22" s="183"/>
      <c r="V22" s="188">
        <v>6</v>
      </c>
      <c r="W22" s="195">
        <v>592.009867749911</v>
      </c>
      <c r="X22" s="195">
        <v>9.1624752575172094E-2</v>
      </c>
      <c r="Y22" s="193">
        <v>2.1350075316785193</v>
      </c>
      <c r="Z22" s="194">
        <v>-1.064189687008632E-2</v>
      </c>
      <c r="AA22" s="194">
        <v>3.7683034725429082E-2</v>
      </c>
      <c r="AB22" s="208">
        <v>2.1421643348321564</v>
      </c>
      <c r="AD22" s="214"/>
      <c r="AE22" s="166">
        <v>6</v>
      </c>
      <c r="AF22" s="218">
        <v>592.13040240097473</v>
      </c>
      <c r="AG22" s="218">
        <v>0.10479744259151502</v>
      </c>
      <c r="AH22" s="167">
        <v>2.2467924442376193</v>
      </c>
      <c r="AI22" s="170">
        <v>9.4743309749210233E-2</v>
      </c>
      <c r="AJ22" s="170">
        <v>3.7567577511245877E-2</v>
      </c>
      <c r="AK22" s="215">
        <v>2.145692674472881</v>
      </c>
    </row>
    <row r="23" spans="2:37" ht="15">
      <c r="B23" s="172" t="s">
        <v>320</v>
      </c>
      <c r="C23" s="252"/>
      <c r="D23" s="253">
        <v>7</v>
      </c>
      <c r="E23" s="264">
        <v>691.49520609442334</v>
      </c>
      <c r="F23" s="264">
        <v>0.10499660456508784</v>
      </c>
      <c r="G23" s="254">
        <v>2.1565877517036731</v>
      </c>
      <c r="H23" s="260">
        <v>2.3283365530393622E-2</v>
      </c>
      <c r="I23" s="260">
        <v>3.4552703737386066E-2</v>
      </c>
      <c r="J23" s="255">
        <v>2.1493895416330142</v>
      </c>
      <c r="L23" s="183"/>
      <c r="M23" s="188">
        <v>7</v>
      </c>
      <c r="N23" s="195">
        <v>691.04198608235993</v>
      </c>
      <c r="O23" s="195">
        <v>0.10534421610247872</v>
      </c>
      <c r="P23" s="193">
        <v>2.1513440956852179</v>
      </c>
      <c r="Q23" s="194">
        <v>1.3458153785306447E-2</v>
      </c>
      <c r="R23" s="194">
        <v>3.4558058897599608E-2</v>
      </c>
      <c r="S23" s="208">
        <v>2.1491884372238728</v>
      </c>
      <c r="U23" s="183"/>
      <c r="V23" s="188">
        <v>7</v>
      </c>
      <c r="W23" s="195">
        <v>690.89620845580021</v>
      </c>
      <c r="X23" s="195">
        <v>0.10688502859971501</v>
      </c>
      <c r="Y23" s="193">
        <v>2.1354761395475177</v>
      </c>
      <c r="Z23" s="194">
        <v>-4.1975186138909016E-3</v>
      </c>
      <c r="AA23" s="194">
        <v>3.7180687253343322E-2</v>
      </c>
      <c r="AB23" s="208">
        <v>2.1447883425351537</v>
      </c>
      <c r="AD23" s="214"/>
      <c r="AE23" s="166">
        <v>7</v>
      </c>
      <c r="AF23" s="218">
        <v>691.16668983499005</v>
      </c>
      <c r="AG23" s="218">
        <v>0.12095672612610965</v>
      </c>
      <c r="AH23" s="167">
        <v>2.2469822333284308</v>
      </c>
      <c r="AI23" s="170">
        <v>5.0105754748969604E-2</v>
      </c>
      <c r="AJ23" s="170">
        <v>3.7094766593034234E-2</v>
      </c>
      <c r="AK23" s="215">
        <v>2.1475123001630574</v>
      </c>
    </row>
    <row r="24" spans="2:37" ht="15">
      <c r="B24" s="172" t="s">
        <v>321</v>
      </c>
      <c r="C24" s="252"/>
      <c r="D24" s="253">
        <v>8</v>
      </c>
      <c r="E24" s="264">
        <v>788.85931534209249</v>
      </c>
      <c r="F24" s="264">
        <v>0.11972764446506644</v>
      </c>
      <c r="G24" s="254">
        <v>2.1571950093067525</v>
      </c>
      <c r="H24" s="260">
        <v>3.359350893807219E-2</v>
      </c>
      <c r="I24" s="260">
        <v>3.4529772592225054E-2</v>
      </c>
      <c r="J24" s="255">
        <v>2.1502414573388746</v>
      </c>
      <c r="L24" s="183"/>
      <c r="M24" s="188">
        <v>8</v>
      </c>
      <c r="N24" s="195">
        <v>788.03533564290001</v>
      </c>
      <c r="O24" s="195">
        <v>0.12007705872519479</v>
      </c>
      <c r="P24" s="193">
        <v>2.1519259330843954</v>
      </c>
      <c r="Q24" s="194">
        <v>2.5760679779972623E-2</v>
      </c>
      <c r="R24" s="194">
        <v>3.4530867130742507E-2</v>
      </c>
      <c r="S24" s="208">
        <v>2.1502000224164926</v>
      </c>
      <c r="U24" s="183"/>
      <c r="V24" s="188">
        <v>8</v>
      </c>
      <c r="W24" s="195">
        <v>787.72327134556747</v>
      </c>
      <c r="X24" s="195">
        <v>0.12183157209622629</v>
      </c>
      <c r="Y24" s="193">
        <v>2.1357854052283822</v>
      </c>
      <c r="Z24" s="194">
        <v>7.4900683003448626E-3</v>
      </c>
      <c r="AA24" s="194">
        <v>3.6819149895865981E-2</v>
      </c>
      <c r="AB24" s="208">
        <v>2.1465566934566822</v>
      </c>
      <c r="AD24" s="214"/>
      <c r="AE24" s="166">
        <v>8</v>
      </c>
      <c r="AF24" s="218">
        <v>787.99863700275284</v>
      </c>
      <c r="AG24" s="218">
        <v>0.13675715850784195</v>
      </c>
      <c r="AH24" s="167">
        <v>2.2471067736267698</v>
      </c>
      <c r="AI24" s="170">
        <v>8.3687958615363683E-2</v>
      </c>
      <c r="AJ24" s="170">
        <v>3.6752675286357554E-2</v>
      </c>
      <c r="AK24" s="215">
        <v>2.1487253918711398</v>
      </c>
    </row>
    <row r="25" spans="2:37" ht="15">
      <c r="B25" s="172" t="s">
        <v>322</v>
      </c>
      <c r="C25" s="252"/>
      <c r="D25" s="253">
        <v>9</v>
      </c>
      <c r="E25" s="264">
        <v>888.18070822404684</v>
      </c>
      <c r="F25" s="264">
        <v>0.13475949087623623</v>
      </c>
      <c r="G25" s="254">
        <v>2.1576325060947275</v>
      </c>
      <c r="H25" s="260">
        <v>4.3573122499660805E-2</v>
      </c>
      <c r="I25" s="260">
        <v>3.4513865265687969E-2</v>
      </c>
      <c r="J25" s="255">
        <v>2.1508386863411837</v>
      </c>
      <c r="L25" s="183"/>
      <c r="M25" s="188">
        <v>9</v>
      </c>
      <c r="N25" s="195">
        <v>887.48599807782</v>
      </c>
      <c r="O25" s="195">
        <v>0.13518788223156361</v>
      </c>
      <c r="P25" s="193">
        <v>2.1523472886872184</v>
      </c>
      <c r="Q25" s="194">
        <v>3.8311078684780127E-2</v>
      </c>
      <c r="R25" s="194">
        <v>3.4514199365382012E-2</v>
      </c>
      <c r="S25" s="208">
        <v>2.1508259847462865</v>
      </c>
      <c r="U25" s="183"/>
      <c r="V25" s="188">
        <v>9</v>
      </c>
      <c r="W25" s="195">
        <v>887.34571135823933</v>
      </c>
      <c r="X25" s="195">
        <v>0.13721256521806771</v>
      </c>
      <c r="Y25" s="193">
        <v>2.1360097468191461</v>
      </c>
      <c r="Z25" s="194">
        <v>2.3215701325896489E-2</v>
      </c>
      <c r="AA25" s="194">
        <v>3.6534558198688949E-2</v>
      </c>
      <c r="AB25" s="208">
        <v>2.1478578024816706</v>
      </c>
      <c r="AD25" s="214"/>
      <c r="AE25" s="166">
        <v>9</v>
      </c>
      <c r="AF25" s="218">
        <v>887.7340323524262</v>
      </c>
      <c r="AG25" s="218">
        <v>0.15303193644190988</v>
      </c>
      <c r="AH25" s="167">
        <v>2.2471969591830452</v>
      </c>
      <c r="AI25" s="170">
        <v>5.0687545443315697E-2</v>
      </c>
      <c r="AJ25" s="170">
        <v>3.6481627995017862E-2</v>
      </c>
      <c r="AK25" s="215">
        <v>2.1496134100965452</v>
      </c>
    </row>
    <row r="26" spans="2:37" ht="15">
      <c r="B26" s="172" t="s">
        <v>323</v>
      </c>
      <c r="C26" s="252"/>
      <c r="D26" s="253" t="s">
        <v>343</v>
      </c>
      <c r="E26" s="264">
        <v>985.32878616614312</v>
      </c>
      <c r="F26" s="264">
        <v>0.14946574763555182</v>
      </c>
      <c r="G26" s="254">
        <v>2.1579457144192014</v>
      </c>
      <c r="H26" s="260">
        <v>5.0136594570211114E-2</v>
      </c>
      <c r="I26" s="260">
        <v>3.4502760582382143E-2</v>
      </c>
      <c r="J26" s="255">
        <v>2.1512587754148904</v>
      </c>
      <c r="L26" s="183"/>
      <c r="M26" s="188" t="s">
        <v>343</v>
      </c>
      <c r="N26" s="195">
        <v>984.25431898685986</v>
      </c>
      <c r="O26" s="195">
        <v>0.14989449706071573</v>
      </c>
      <c r="P26" s="193">
        <v>2.1526473564398581</v>
      </c>
      <c r="Q26" s="194">
        <v>4.2672583235634956E-2</v>
      </c>
      <c r="R26" s="194">
        <v>3.4503123651581723E-2</v>
      </c>
      <c r="S26" s="208">
        <v>2.1512449007161365</v>
      </c>
      <c r="U26" s="183"/>
      <c r="V26" s="188" t="s">
        <v>343</v>
      </c>
      <c r="W26" s="195">
        <v>983.95474483376927</v>
      </c>
      <c r="X26" s="195">
        <v>0.1521303961941462</v>
      </c>
      <c r="Y26" s="193">
        <v>2.136168757054195</v>
      </c>
      <c r="Z26" s="194">
        <v>2.5916270142961714E-2</v>
      </c>
      <c r="AA26" s="194">
        <v>3.6316721525046385E-2</v>
      </c>
      <c r="AB26" s="208">
        <v>2.1487896085713123</v>
      </c>
      <c r="AD26" s="214"/>
      <c r="AE26" s="166" t="s">
        <v>343</v>
      </c>
      <c r="AF26" s="218">
        <v>984.3529466360186</v>
      </c>
      <c r="AG26" s="218">
        <v>0.16879856909167018</v>
      </c>
      <c r="AH26" s="167">
        <v>2.2472606833655924</v>
      </c>
      <c r="AI26" s="170">
        <v>7.7225646377689944E-2</v>
      </c>
      <c r="AJ26" s="170">
        <v>3.6273469505851155E-2</v>
      </c>
      <c r="AK26" s="215">
        <v>2.1502455468824437</v>
      </c>
    </row>
    <row r="27" spans="2:37" ht="15">
      <c r="B27" s="81"/>
      <c r="C27" s="252"/>
      <c r="D27" s="261"/>
      <c r="E27" s="261"/>
      <c r="F27" s="261"/>
      <c r="G27" s="262"/>
      <c r="H27" s="261"/>
      <c r="I27" s="261"/>
      <c r="J27" s="263"/>
      <c r="L27" s="183"/>
      <c r="M27" s="190"/>
      <c r="N27" s="190"/>
      <c r="O27" s="190"/>
      <c r="P27" s="203"/>
      <c r="Q27" s="190"/>
      <c r="R27" s="190"/>
      <c r="S27" s="210"/>
      <c r="U27" s="183"/>
      <c r="V27" s="190"/>
      <c r="W27" s="190"/>
      <c r="X27" s="190"/>
      <c r="Y27" s="203"/>
      <c r="Z27" s="190"/>
      <c r="AA27" s="190"/>
      <c r="AB27" s="210"/>
      <c r="AD27" s="214"/>
      <c r="AE27" s="219"/>
      <c r="AF27" s="219"/>
      <c r="AG27" s="219"/>
      <c r="AH27" s="220"/>
      <c r="AI27" s="219"/>
      <c r="AJ27" s="219"/>
      <c r="AK27" s="221"/>
    </row>
    <row r="28" spans="2:37" ht="15">
      <c r="B28" s="172" t="s">
        <v>40</v>
      </c>
      <c r="C28" s="252" t="s">
        <v>344</v>
      </c>
      <c r="D28" s="253">
        <v>1</v>
      </c>
      <c r="E28" s="264">
        <v>0.99504999999999999</v>
      </c>
      <c r="F28" s="265">
        <v>1.7000000000000001E-4</v>
      </c>
      <c r="G28" s="254">
        <v>2.080448301344854</v>
      </c>
      <c r="H28" s="260">
        <v>2.0098614529959855E-2</v>
      </c>
      <c r="I28" s="260">
        <v>4.0169085267383796E-2</v>
      </c>
      <c r="J28" s="255">
        <v>2.0761952257075111</v>
      </c>
      <c r="L28" s="183" t="s">
        <v>344</v>
      </c>
      <c r="M28" s="188">
        <v>1</v>
      </c>
      <c r="N28" s="195">
        <v>0.99470999999999998</v>
      </c>
      <c r="O28" s="196">
        <v>1.7000000000000001E-4</v>
      </c>
      <c r="P28" s="193">
        <v>2.0780413039482668</v>
      </c>
      <c r="Q28" s="194">
        <v>2.312113872290246E-2</v>
      </c>
      <c r="R28" s="194">
        <v>4.0171607896663533E-2</v>
      </c>
      <c r="S28" s="208">
        <v>2.0762705643307036</v>
      </c>
      <c r="U28" s="183" t="s">
        <v>344</v>
      </c>
      <c r="V28" s="188">
        <v>1</v>
      </c>
      <c r="W28" s="195">
        <v>0.99519999999999997</v>
      </c>
      <c r="X28" s="196">
        <v>1.6000000000000001E-4</v>
      </c>
      <c r="Y28" s="193">
        <v>2.0905603200437128</v>
      </c>
      <c r="Z28" s="195">
        <v>4.2200569882662402E-2</v>
      </c>
      <c r="AA28" s="195">
        <v>4.9981346365802572E-2</v>
      </c>
      <c r="AB28" s="208">
        <v>2.0661795420783564</v>
      </c>
      <c r="AD28" s="214" t="s">
        <v>344</v>
      </c>
      <c r="AE28" s="166">
        <v>1</v>
      </c>
      <c r="AF28" s="222">
        <v>0.99596003160883473</v>
      </c>
      <c r="AG28" s="222">
        <v>1.7246721837312919E-4</v>
      </c>
      <c r="AH28" s="167">
        <v>2.2219726789872971</v>
      </c>
      <c r="AI28" s="218">
        <v>2.4096663691863713E-2</v>
      </c>
      <c r="AJ28" s="218">
        <v>4.5354081522708464E-2</v>
      </c>
      <c r="AK28" s="215">
        <v>2.0618897455233425</v>
      </c>
    </row>
    <row r="29" spans="2:37" ht="15">
      <c r="B29" s="172" t="s">
        <v>307</v>
      </c>
      <c r="C29" s="252" t="s">
        <v>342</v>
      </c>
      <c r="D29" s="253">
        <v>2</v>
      </c>
      <c r="E29" s="265">
        <v>1.9976401979060725</v>
      </c>
      <c r="F29" s="265">
        <v>3.1105121456655085E-4</v>
      </c>
      <c r="G29" s="254">
        <v>2.1280742928276086</v>
      </c>
      <c r="H29" s="260">
        <v>1.0011423700418106E-2</v>
      </c>
      <c r="I29" s="260">
        <v>3.5870302459244621E-2</v>
      </c>
      <c r="J29" s="255">
        <v>2.1140096135857145</v>
      </c>
      <c r="L29" s="183" t="s">
        <v>342</v>
      </c>
      <c r="M29" s="188">
        <v>2</v>
      </c>
      <c r="N29" s="196">
        <v>1.9966969499068798</v>
      </c>
      <c r="O29" s="196">
        <v>3.1215929932989616E-4</v>
      </c>
      <c r="P29" s="193">
        <v>2.1239427371393473</v>
      </c>
      <c r="Q29" s="194">
        <v>1.0516868020947959E-2</v>
      </c>
      <c r="R29" s="194">
        <v>3.5846636599414956E-2</v>
      </c>
      <c r="S29" s="208">
        <v>2.1146351065871931</v>
      </c>
      <c r="U29" s="183" t="s">
        <v>342</v>
      </c>
      <c r="V29" s="188">
        <v>2</v>
      </c>
      <c r="W29" s="196">
        <v>1.9971396875419236</v>
      </c>
      <c r="X29" s="196">
        <v>3.1376431838192842E-4</v>
      </c>
      <c r="Y29" s="193">
        <v>2.1202022721691143</v>
      </c>
      <c r="Z29" s="194">
        <v>1.9526993718983476E-2</v>
      </c>
      <c r="AA29" s="194">
        <v>3.8708001482755466E-2</v>
      </c>
      <c r="AB29" s="208">
        <v>2.0865914848478955</v>
      </c>
      <c r="AD29" s="214" t="s">
        <v>342</v>
      </c>
      <c r="AE29" s="166">
        <v>2</v>
      </c>
      <c r="AF29" s="222">
        <v>1.9991407159416352</v>
      </c>
      <c r="AG29" s="222">
        <v>3.3526220333219333E-4</v>
      </c>
      <c r="AH29" s="167">
        <v>2.2402788220182446</v>
      </c>
      <c r="AI29" s="170">
        <v>1.0004012282560397E-2</v>
      </c>
      <c r="AJ29" s="170">
        <v>3.7509828367562961E-2</v>
      </c>
      <c r="AK29" s="215">
        <v>2.1003669119069301</v>
      </c>
    </row>
    <row r="30" spans="2:37" ht="15">
      <c r="B30" s="172" t="s">
        <v>308</v>
      </c>
      <c r="C30" s="252"/>
      <c r="D30" s="253">
        <v>3</v>
      </c>
      <c r="E30" s="266">
        <v>2.99240495134578</v>
      </c>
      <c r="F30" s="266">
        <v>4.5898182185751256E-4</v>
      </c>
      <c r="G30" s="254">
        <v>2.1438022441930769</v>
      </c>
      <c r="H30" s="260">
        <v>1.0024991310031659E-2</v>
      </c>
      <c r="I30" s="260">
        <v>3.5104989249754907E-2</v>
      </c>
      <c r="J30" s="255">
        <v>2.1316565875768618</v>
      </c>
      <c r="L30" s="183"/>
      <c r="M30" s="188">
        <v>3</v>
      </c>
      <c r="N30" s="197">
        <v>2.9909101619404797</v>
      </c>
      <c r="O30" s="197">
        <v>4.6059161325964553E-4</v>
      </c>
      <c r="P30" s="193">
        <v>2.1390674596775363</v>
      </c>
      <c r="Q30" s="194">
        <v>8.0239304762098635E-3</v>
      </c>
      <c r="R30" s="194">
        <v>3.5094528767183039E-2</v>
      </c>
      <c r="S30" s="208">
        <v>2.1319846310305781</v>
      </c>
      <c r="U30" s="183"/>
      <c r="V30" s="188">
        <v>3</v>
      </c>
      <c r="W30" s="197">
        <v>2.9919992718032309</v>
      </c>
      <c r="X30" s="197">
        <v>4.6575832498174186E-4</v>
      </c>
      <c r="Y30" s="193">
        <v>2.1288157559174028</v>
      </c>
      <c r="Z30" s="194">
        <v>1.5373599742862626E-2</v>
      </c>
      <c r="AA30" s="194">
        <v>3.6484457300433717E-2</v>
      </c>
      <c r="AB30" s="208">
        <v>2.1131226473024194</v>
      </c>
      <c r="AD30" s="214"/>
      <c r="AE30" s="166">
        <v>3</v>
      </c>
      <c r="AF30" s="223">
        <v>2.9947107122925276</v>
      </c>
      <c r="AG30" s="223">
        <v>4.9746345512619288E-4</v>
      </c>
      <c r="AH30" s="167">
        <v>2.2442019825261053</v>
      </c>
      <c r="AI30" s="170">
        <v>8.3478131104425743E-3</v>
      </c>
      <c r="AJ30" s="170">
        <v>3.5975656748749432E-2</v>
      </c>
      <c r="AK30" s="215">
        <v>2.1240365712234421</v>
      </c>
    </row>
    <row r="31" spans="2:37" ht="15">
      <c r="B31" s="172" t="s">
        <v>309</v>
      </c>
      <c r="C31" s="252"/>
      <c r="D31" s="253">
        <v>4</v>
      </c>
      <c r="E31" s="266">
        <v>3.9948503591732476</v>
      </c>
      <c r="F31" s="266">
        <v>6.094944348109285E-4</v>
      </c>
      <c r="G31" s="254">
        <v>2.1502566880753924</v>
      </c>
      <c r="H31" s="260">
        <v>-2.5031253519047585E-3</v>
      </c>
      <c r="I31" s="260">
        <v>3.5404139370542161E-2</v>
      </c>
      <c r="J31" s="255">
        <v>2.1236496118807544</v>
      </c>
      <c r="L31" s="183"/>
      <c r="M31" s="188">
        <v>4</v>
      </c>
      <c r="N31" s="197">
        <v>3.9926838546691199</v>
      </c>
      <c r="O31" s="197">
        <v>6.1159453493404153E-4</v>
      </c>
      <c r="P31" s="193">
        <v>2.1452675091545306</v>
      </c>
      <c r="Q31" s="194">
        <v>1.0017846004317487E-3</v>
      </c>
      <c r="R31" s="194">
        <v>3.7183004103493754E-2</v>
      </c>
      <c r="S31" s="208">
        <v>2.0973934381430017</v>
      </c>
      <c r="U31" s="183"/>
      <c r="V31" s="188">
        <v>4</v>
      </c>
      <c r="W31" s="197">
        <v>3.9942893757833344</v>
      </c>
      <c r="X31" s="197">
        <v>6.1976165231914882E-4</v>
      </c>
      <c r="Y31" s="193">
        <v>2.1322151744142714</v>
      </c>
      <c r="Z31" s="194">
        <v>6.2586361629119744E-3</v>
      </c>
      <c r="AA31" s="194">
        <v>3.568362095816191E-2</v>
      </c>
      <c r="AB31" s="208">
        <v>2.127798821946044</v>
      </c>
      <c r="AD31" s="214"/>
      <c r="AE31" s="166">
        <v>4</v>
      </c>
      <c r="AF31" s="223">
        <v>3.9982214264589713</v>
      </c>
      <c r="AG31" s="223">
        <v>6.611055828082544E-4</v>
      </c>
      <c r="AH31" s="167">
        <v>2.2456465252310345</v>
      </c>
      <c r="AI31" s="170">
        <v>7.5031218173023562E-4</v>
      </c>
      <c r="AJ31" s="170">
        <v>3.540694155156008E-2</v>
      </c>
      <c r="AK31" s="215">
        <v>2.1353686860843459</v>
      </c>
    </row>
    <row r="32" spans="2:37" ht="15">
      <c r="B32" s="172" t="s">
        <v>310</v>
      </c>
      <c r="C32" s="252"/>
      <c r="D32" s="253">
        <v>5</v>
      </c>
      <c r="E32" s="266">
        <v>4.9985458735091388</v>
      </c>
      <c r="F32" s="266">
        <v>7.607600128930141E-4</v>
      </c>
      <c r="G32" s="254">
        <v>2.1534305897300579</v>
      </c>
      <c r="H32" s="260">
        <v>-4.0010080788124638E-3</v>
      </c>
      <c r="I32" s="260">
        <v>3.4875705967351817E-2</v>
      </c>
      <c r="J32" s="255">
        <v>2.1382795682376323</v>
      </c>
      <c r="L32" s="183"/>
      <c r="M32" s="188">
        <v>5</v>
      </c>
      <c r="N32" s="197">
        <v>4.9959176402303997</v>
      </c>
      <c r="O32" s="197">
        <v>7.6338539829167774E-4</v>
      </c>
      <c r="P32" s="193">
        <v>2.1483155538402428</v>
      </c>
      <c r="Q32" s="194">
        <v>-3.2024620804721972E-3</v>
      </c>
      <c r="R32" s="194">
        <v>3.4820463625662913E-2</v>
      </c>
      <c r="S32" s="208">
        <v>2.1400453283892951</v>
      </c>
      <c r="U32" s="183"/>
      <c r="V32" s="188">
        <v>5</v>
      </c>
      <c r="W32" s="197">
        <v>4.9973495336239324</v>
      </c>
      <c r="X32" s="197">
        <v>7.7423011203899472E-4</v>
      </c>
      <c r="Y32" s="193">
        <v>2.1338595951357573</v>
      </c>
      <c r="Z32" s="194">
        <v>2.0009650126901781E-4</v>
      </c>
      <c r="AA32" s="194">
        <v>3.5302605812836209E-2</v>
      </c>
      <c r="AB32" s="208">
        <v>2.1359306136092173</v>
      </c>
      <c r="AD32" s="214"/>
      <c r="AE32" s="166">
        <v>5</v>
      </c>
      <c r="AF32" s="223">
        <v>5.0023721984846041</v>
      </c>
      <c r="AG32" s="223">
        <v>8.2490977980313838E-4</v>
      </c>
      <c r="AH32" s="167">
        <v>2.2463262490997358</v>
      </c>
      <c r="AI32" s="170">
        <v>-4.7975866209008372E-3</v>
      </c>
      <c r="AJ32" s="170">
        <v>3.512909782078158E-2</v>
      </c>
      <c r="AK32" s="215">
        <v>2.1412804407843291</v>
      </c>
    </row>
    <row r="33" spans="2:37" ht="15">
      <c r="B33" s="172" t="s">
        <v>311</v>
      </c>
      <c r="C33" s="252"/>
      <c r="D33" s="253">
        <v>6</v>
      </c>
      <c r="E33" s="266">
        <v>5.9926805732686006</v>
      </c>
      <c r="F33" s="266">
        <v>9.1085991498276195E-4</v>
      </c>
      <c r="G33" s="254">
        <v>2.1551939971167138</v>
      </c>
      <c r="H33" s="260">
        <v>-6.6745497870968791E-3</v>
      </c>
      <c r="I33" s="260">
        <v>3.4658707748653227E-2</v>
      </c>
      <c r="J33" s="255">
        <v>2.1455419141174596</v>
      </c>
      <c r="L33" s="183"/>
      <c r="M33" s="188">
        <v>6</v>
      </c>
      <c r="N33" s="197">
        <v>5.9896208198361593</v>
      </c>
      <c r="O33" s="197">
        <v>9.1401122345331754E-4</v>
      </c>
      <c r="P33" s="193">
        <v>2.1500085478345943</v>
      </c>
      <c r="Q33" s="194">
        <v>-6.6779005221058538E-3</v>
      </c>
      <c r="R33" s="194">
        <v>3.4622652147999707E-2</v>
      </c>
      <c r="S33" s="208">
        <v>2.1468404312534979</v>
      </c>
      <c r="U33" s="183"/>
      <c r="V33" s="188">
        <v>6</v>
      </c>
      <c r="W33" s="197">
        <v>5.9916090759160232</v>
      </c>
      <c r="X33" s="197">
        <v>9.2751369784962914E-4</v>
      </c>
      <c r="Y33" s="193">
        <v>2.1347665993283402</v>
      </c>
      <c r="Z33" s="194">
        <v>-1.1682446255066143E-3</v>
      </c>
      <c r="AA33" s="194">
        <v>3.5090094683835907E-2</v>
      </c>
      <c r="AB33" s="208">
        <v>2.1407161894182249</v>
      </c>
      <c r="AD33" s="214"/>
      <c r="AE33" s="166">
        <v>6</v>
      </c>
      <c r="AF33" s="223">
        <v>5.9974221478249055</v>
      </c>
      <c r="AG33" s="223">
        <v>9.8725756350970164E-4</v>
      </c>
      <c r="AH33" s="167">
        <v>2.2466960447621105</v>
      </c>
      <c r="AI33" s="170">
        <v>-6.1691409075789114E-3</v>
      </c>
      <c r="AJ33" s="170">
        <v>3.4970775368034598E-2</v>
      </c>
      <c r="AK33" s="215">
        <v>2.1446495311637563</v>
      </c>
    </row>
    <row r="34" spans="2:37" ht="15">
      <c r="B34" s="172" t="s">
        <v>312</v>
      </c>
      <c r="C34" s="252"/>
      <c r="D34" s="253">
        <v>7</v>
      </c>
      <c r="E34" s="266">
        <v>6.9954760109184271</v>
      </c>
      <c r="F34" s="266">
        <v>1.0624250695576382E-3</v>
      </c>
      <c r="G34" s="254">
        <v>2.1562878731526141</v>
      </c>
      <c r="H34" s="260">
        <v>0</v>
      </c>
      <c r="I34" s="260">
        <v>3.4560056732901606E-2</v>
      </c>
      <c r="J34" s="255">
        <v>2.1491220083377258</v>
      </c>
      <c r="L34" s="183"/>
      <c r="M34" s="188">
        <v>7</v>
      </c>
      <c r="N34" s="197">
        <v>6.9916345278249592</v>
      </c>
      <c r="O34" s="197">
        <v>1.0660554277853447E-3</v>
      </c>
      <c r="P34" s="193">
        <v>2.1510582450010882</v>
      </c>
      <c r="Q34" s="194">
        <v>5.7208499444325316E-4</v>
      </c>
      <c r="R34" s="194">
        <v>4.2668066599234819E-2</v>
      </c>
      <c r="S34" s="208">
        <v>2.0950468428192695</v>
      </c>
      <c r="U34" s="183"/>
      <c r="V34" s="188">
        <v>7</v>
      </c>
      <c r="W34" s="197">
        <v>6.9936991659063876</v>
      </c>
      <c r="X34" s="197">
        <v>1.0821025153710995E-3</v>
      </c>
      <c r="Y34" s="193">
        <v>2.1353261653384323</v>
      </c>
      <c r="Z34" s="194">
        <v>3.5744751581937412E-3</v>
      </c>
      <c r="AA34" s="194">
        <v>3.4956095453931135E-2</v>
      </c>
      <c r="AB34" s="208">
        <v>2.1437645736839239</v>
      </c>
      <c r="AD34" s="214"/>
      <c r="AE34" s="166">
        <v>7</v>
      </c>
      <c r="AF34" s="223">
        <v>7.0007328439103542</v>
      </c>
      <c r="AG34" s="223">
        <v>1.1509692915366554E-3</v>
      </c>
      <c r="AH34" s="167">
        <v>2.2469225469949592</v>
      </c>
      <c r="AI34" s="170">
        <v>-2.8567621023052424E-4</v>
      </c>
      <c r="AJ34" s="170">
        <v>3.4869145051625632E-2</v>
      </c>
      <c r="AK34" s="215">
        <v>2.1467522632439726</v>
      </c>
    </row>
    <row r="35" spans="2:37" ht="15">
      <c r="B35" s="172" t="s">
        <v>313</v>
      </c>
      <c r="C35" s="252"/>
      <c r="D35" s="253">
        <v>8</v>
      </c>
      <c r="E35" s="266">
        <v>7.9895507055654837</v>
      </c>
      <c r="F35" s="266">
        <v>1.2127696474019361E-3</v>
      </c>
      <c r="G35" s="254">
        <v>2.1570005109385626</v>
      </c>
      <c r="H35" s="260">
        <v>8.7611032281235679E-3</v>
      </c>
      <c r="I35" s="260">
        <v>3.4633179128241015E-2</v>
      </c>
      <c r="J35" s="255">
        <v>2.1464509929573063</v>
      </c>
      <c r="L35" s="183"/>
      <c r="M35" s="188">
        <v>8</v>
      </c>
      <c r="N35" s="197">
        <v>7.98518769789312</v>
      </c>
      <c r="O35" s="197">
        <v>1.2169140749488327E-3</v>
      </c>
      <c r="P35" s="193">
        <v>2.1517422389969507</v>
      </c>
      <c r="Q35" s="194">
        <v>1.0518975430240945E-2</v>
      </c>
      <c r="R35" s="194">
        <v>3.4581629149244515E-2</v>
      </c>
      <c r="S35" s="208">
        <v>2.1483081594436024</v>
      </c>
      <c r="U35" s="183"/>
      <c r="V35" s="188">
        <v>8</v>
      </c>
      <c r="W35" s="197">
        <v>7.9878386998046347</v>
      </c>
      <c r="X35" s="197">
        <v>1.2355257045789326E-3</v>
      </c>
      <c r="Y35" s="193">
        <v>2.1356899444743953</v>
      </c>
      <c r="Z35" s="194">
        <v>1.3394722258643391E-2</v>
      </c>
      <c r="AA35" s="194">
        <v>3.4866764657006492E-2</v>
      </c>
      <c r="AB35" s="208">
        <v>2.1457716940280727</v>
      </c>
      <c r="AD35" s="214"/>
      <c r="AE35" s="166">
        <v>8</v>
      </c>
      <c r="AF35" s="223">
        <v>7.9956327796899078</v>
      </c>
      <c r="AG35" s="223">
        <v>1.3133186304642333E-3</v>
      </c>
      <c r="AH35" s="167">
        <v>2.2470690297242397</v>
      </c>
      <c r="AI35" s="170">
        <v>9.7550465896618019E-3</v>
      </c>
      <c r="AJ35" s="170">
        <v>3.4800461607960041E-2</v>
      </c>
      <c r="AK35" s="215">
        <v>2.1481129701335027</v>
      </c>
    </row>
    <row r="36" spans="2:37" ht="15">
      <c r="B36" s="172" t="s">
        <v>314</v>
      </c>
      <c r="C36" s="252"/>
      <c r="D36" s="253">
        <v>9</v>
      </c>
      <c r="E36" s="266">
        <v>8.9917460920912671</v>
      </c>
      <c r="F36" s="266">
        <v>1.3644078268093714E-3</v>
      </c>
      <c r="G36" s="254">
        <v>2.1574975331450812</v>
      </c>
      <c r="H36" s="260">
        <v>2.1129668372002208E-2</v>
      </c>
      <c r="I36" s="260">
        <v>3.4552389007754272E-2</v>
      </c>
      <c r="J36" s="255">
        <v>2.1493871656913162</v>
      </c>
      <c r="L36" s="183"/>
      <c r="M36" s="188">
        <v>9</v>
      </c>
      <c r="N36" s="197">
        <v>8.9867213753615989</v>
      </c>
      <c r="O36" s="197">
        <v>1.3690504001406109E-3</v>
      </c>
      <c r="P36" s="193">
        <v>2.1522191904309667</v>
      </c>
      <c r="Q36" s="194">
        <v>2.2253995828590258E-2</v>
      </c>
      <c r="R36" s="194">
        <v>3.4541387376746398E-2</v>
      </c>
      <c r="S36" s="208">
        <v>2.1497983621787911</v>
      </c>
      <c r="U36" s="183"/>
      <c r="V36" s="188">
        <v>9</v>
      </c>
      <c r="W36" s="197">
        <v>8.9898887869970512</v>
      </c>
      <c r="X36" s="197">
        <v>1.3902106545487232E-3</v>
      </c>
      <c r="Y36" s="193">
        <v>2.1359430911851756</v>
      </c>
      <c r="Z36" s="194">
        <v>2.4248305563683716E-2</v>
      </c>
      <c r="AA36" s="194">
        <v>3.480305507695701E-2</v>
      </c>
      <c r="AB36" s="208">
        <v>2.1471660173676579</v>
      </c>
      <c r="AD36" s="214"/>
      <c r="AE36" s="166">
        <v>9</v>
      </c>
      <c r="AF36" s="223">
        <v>8.9988334658308098</v>
      </c>
      <c r="AG36" s="223">
        <v>1.4770292190093837E-3</v>
      </c>
      <c r="AH36" s="167">
        <v>2.247170682097114</v>
      </c>
      <c r="AI36" s="170">
        <v>2.2002222920624166E-2</v>
      </c>
      <c r="AJ36" s="170">
        <v>3.4750900213838747E-2</v>
      </c>
      <c r="AK36" s="215">
        <v>2.1490430200971198</v>
      </c>
    </row>
    <row r="37" spans="2:37" ht="15">
      <c r="B37" s="172" t="s">
        <v>42</v>
      </c>
      <c r="C37" s="252"/>
      <c r="D37" s="253" t="s">
        <v>343</v>
      </c>
      <c r="E37" s="266">
        <v>9.9858907927027953</v>
      </c>
      <c r="F37" s="266">
        <v>1.5148733399660119E-3</v>
      </c>
      <c r="G37" s="254">
        <v>2.157852436736174</v>
      </c>
      <c r="H37" s="260">
        <v>3.4046715334226062E-2</v>
      </c>
      <c r="I37" s="260">
        <v>3.4530786952490691E-2</v>
      </c>
      <c r="J37" s="255">
        <v>2.1501945422902744</v>
      </c>
      <c r="L37" s="183"/>
      <c r="M37" s="188" t="s">
        <v>343</v>
      </c>
      <c r="N37" s="197">
        <v>9.9802945467014403</v>
      </c>
      <c r="O37" s="197">
        <v>1.5200233216949724E-3</v>
      </c>
      <c r="P37" s="193">
        <v>2.1525597803080769</v>
      </c>
      <c r="Q37" s="194">
        <v>3.6069359107139452E-2</v>
      </c>
      <c r="R37" s="194">
        <v>3.452471916655539E-2</v>
      </c>
      <c r="S37" s="208">
        <v>2.1504234571835488</v>
      </c>
      <c r="U37" s="183"/>
      <c r="V37" s="188" t="s">
        <v>343</v>
      </c>
      <c r="W37" s="197">
        <v>9.9840383215947863</v>
      </c>
      <c r="X37" s="197">
        <v>1.543704499888891E-3</v>
      </c>
      <c r="Y37" s="193">
        <v>2.1361236235959833</v>
      </c>
      <c r="Z37" s="194">
        <v>3.9461101538710006E-2</v>
      </c>
      <c r="AA37" s="194">
        <v>3.4756622523482834E-2</v>
      </c>
      <c r="AB37" s="208">
        <v>2.1481457202437229</v>
      </c>
      <c r="AD37" s="214"/>
      <c r="AE37" s="166" t="s">
        <v>343</v>
      </c>
      <c r="AF37" s="223">
        <v>9.9937734052265625</v>
      </c>
      <c r="AG37" s="223">
        <v>1.6393964182611523E-3</v>
      </c>
      <c r="AH37" s="167">
        <v>2.2472429893631318</v>
      </c>
      <c r="AI37" s="170">
        <v>3.632157829743575E-2</v>
      </c>
      <c r="AJ37" s="170">
        <v>3.4714468823970369E-2</v>
      </c>
      <c r="AK37" s="215">
        <v>2.1496838409970422</v>
      </c>
    </row>
    <row r="38" spans="2:37" ht="15">
      <c r="B38" s="81"/>
      <c r="C38" s="252"/>
      <c r="D38" s="261"/>
      <c r="E38" s="261"/>
      <c r="F38" s="261"/>
      <c r="G38" s="262"/>
      <c r="H38" s="261"/>
      <c r="I38" s="261"/>
      <c r="J38" s="263"/>
      <c r="L38" s="183"/>
      <c r="M38" s="190"/>
      <c r="N38" s="190"/>
      <c r="O38" s="190"/>
      <c r="P38" s="203"/>
      <c r="Q38" s="190"/>
      <c r="R38" s="190"/>
      <c r="S38" s="210"/>
      <c r="U38" s="183"/>
      <c r="V38" s="190"/>
      <c r="W38" s="190"/>
      <c r="X38" s="190"/>
      <c r="Y38" s="203"/>
      <c r="Z38" s="190"/>
      <c r="AA38" s="190"/>
      <c r="AB38" s="210"/>
      <c r="AD38" s="214"/>
      <c r="AE38" s="219"/>
      <c r="AF38" s="219"/>
      <c r="AG38" s="219"/>
      <c r="AH38" s="220"/>
      <c r="AI38" s="219"/>
      <c r="AJ38" s="219"/>
      <c r="AK38" s="221"/>
    </row>
    <row r="39" spans="2:37" ht="15">
      <c r="B39" s="172" t="s">
        <v>298</v>
      </c>
      <c r="C39" s="252" t="s">
        <v>423</v>
      </c>
      <c r="D39" s="253">
        <v>1</v>
      </c>
      <c r="E39" s="265">
        <f>0.01001*1000</f>
        <v>10.01</v>
      </c>
      <c r="F39" s="267">
        <f>0.000009*1000</f>
        <v>9.0000000000000011E-3</v>
      </c>
      <c r="G39" s="254">
        <v>2.1351585277221945</v>
      </c>
      <c r="H39" s="264">
        <v>2.99693053734751E-2</v>
      </c>
      <c r="I39" s="264">
        <v>0.256395978363955</v>
      </c>
      <c r="J39" s="255">
        <v>2.2484967486200942</v>
      </c>
      <c r="L39" s="183" t="s">
        <v>425</v>
      </c>
      <c r="M39" s="188">
        <v>1</v>
      </c>
      <c r="N39" s="196">
        <v>10.005836</v>
      </c>
      <c r="O39" s="198">
        <v>1.7080000000000001E-3</v>
      </c>
      <c r="P39" s="193">
        <v>2.0752028533136793</v>
      </c>
      <c r="Q39" s="195">
        <v>3.6976654893246488E-2</v>
      </c>
      <c r="R39" s="195">
        <v>4.0658022413615186E-2</v>
      </c>
      <c r="S39" s="208">
        <v>2.0748616621658509</v>
      </c>
      <c r="U39" s="183" t="s">
        <v>345</v>
      </c>
      <c r="V39" s="188">
        <v>1</v>
      </c>
      <c r="W39" s="196">
        <v>10.0116</v>
      </c>
      <c r="X39" s="198">
        <v>1.6999999999999999E-3</v>
      </c>
      <c r="Y39" s="193">
        <v>2.0885054293286829</v>
      </c>
      <c r="Z39" s="195">
        <v>4.0950534807552334E-2</v>
      </c>
      <c r="AA39" s="195">
        <v>4.8840005989845496E-2</v>
      </c>
      <c r="AB39" s="208">
        <v>2.0674174985618916</v>
      </c>
      <c r="AD39" s="214" t="s">
        <v>435</v>
      </c>
      <c r="AE39" s="166">
        <v>1</v>
      </c>
      <c r="AF39" s="223">
        <v>10.021205885035201</v>
      </c>
      <c r="AG39" s="223">
        <v>1.6624077829409626E-3</v>
      </c>
      <c r="AH39" s="167">
        <v>2.220221936632067</v>
      </c>
      <c r="AI39" s="170">
        <v>4.0912070301598963E-2</v>
      </c>
      <c r="AJ39" s="170">
        <v>4.4109422790355936E-2</v>
      </c>
      <c r="AK39" s="215">
        <v>2.0612371722288789</v>
      </c>
    </row>
    <row r="40" spans="2:37" ht="15">
      <c r="B40" s="172" t="s">
        <v>299</v>
      </c>
      <c r="C40" s="252" t="s">
        <v>342</v>
      </c>
      <c r="D40" s="253">
        <v>2</v>
      </c>
      <c r="E40" s="267">
        <f>0.0200017041347912*1000</f>
        <v>20.001704134791201</v>
      </c>
      <c r="F40" s="267">
        <f>9.41146875959135E-06*1000</f>
        <v>9.4114687595913491E-3</v>
      </c>
      <c r="G40" s="254">
        <v>2.110718107230027</v>
      </c>
      <c r="H40" s="264">
        <v>3.9995036997748312E-2</v>
      </c>
      <c r="I40" s="264">
        <v>0.13040621939903219</v>
      </c>
      <c r="J40" s="255">
        <v>2.2151769651875965</v>
      </c>
      <c r="L40" s="183" t="s">
        <v>342</v>
      </c>
      <c r="M40" s="188">
        <v>2</v>
      </c>
      <c r="N40" s="198">
        <v>19.994771266703999</v>
      </c>
      <c r="O40" s="198">
        <v>3.1296410120622113E-3</v>
      </c>
      <c r="P40" s="193">
        <v>2.1228856445451076</v>
      </c>
      <c r="Q40" s="195">
        <v>2.6505665502787351E-2</v>
      </c>
      <c r="R40" s="195">
        <v>3.59449051017545E-2</v>
      </c>
      <c r="S40" s="208">
        <v>2.1125235406433358</v>
      </c>
      <c r="U40" s="183" t="s">
        <v>342</v>
      </c>
      <c r="V40" s="188">
        <v>2</v>
      </c>
      <c r="W40" s="197">
        <v>20.000498910926233</v>
      </c>
      <c r="X40" s="197">
        <v>3.1444756079831537E-3</v>
      </c>
      <c r="Y40" s="193">
        <v>2.1195846280131776</v>
      </c>
      <c r="Z40" s="195">
        <v>2.9497852800193833E-2</v>
      </c>
      <c r="AA40" s="195">
        <v>3.8050550586521951E-2</v>
      </c>
      <c r="AB40" s="208">
        <v>2.0844080100876687</v>
      </c>
      <c r="AD40" s="214" t="s">
        <v>342</v>
      </c>
      <c r="AE40" s="166">
        <v>2</v>
      </c>
      <c r="AF40" s="223">
        <v>20.020709808282309</v>
      </c>
      <c r="AG40" s="223">
        <v>3.2844668216827802E-3</v>
      </c>
      <c r="AH40" s="167">
        <v>2.2399821129277853</v>
      </c>
      <c r="AI40" s="170">
        <v>2.946864221182155E-2</v>
      </c>
      <c r="AJ40" s="170">
        <v>3.6828452785982208E-2</v>
      </c>
      <c r="AK40" s="215">
        <v>2.097996701581426</v>
      </c>
    </row>
    <row r="41" spans="2:37" ht="15">
      <c r="B41" s="172" t="s">
        <v>300</v>
      </c>
      <c r="C41" s="252"/>
      <c r="D41" s="253">
        <v>3</v>
      </c>
      <c r="E41" s="267">
        <f>0.0300115569690475*1000</f>
        <v>30.011556969047501</v>
      </c>
      <c r="F41" s="267">
        <f>9.86066487979601E-06*1000</f>
        <v>9.8606648797960102E-3</v>
      </c>
      <c r="G41" s="254">
        <v>2.0844930430551152</v>
      </c>
      <c r="H41" s="264">
        <v>2.6655361390081848E-2</v>
      </c>
      <c r="I41" s="264">
        <v>8.9258707498885259E-2</v>
      </c>
      <c r="J41" s="255">
        <v>2.1739002231017399</v>
      </c>
      <c r="L41" s="183"/>
      <c r="M41" s="188">
        <v>3</v>
      </c>
      <c r="N41" s="198">
        <v>30.000407424623997</v>
      </c>
      <c r="O41" s="198">
        <v>4.6213425936250958E-3</v>
      </c>
      <c r="P41" s="193">
        <v>2.1387381791265323</v>
      </c>
      <c r="Q41" s="195">
        <v>1.7998896960205783E-2</v>
      </c>
      <c r="R41" s="195">
        <v>3.5201613133966053E-2</v>
      </c>
      <c r="S41" s="208">
        <v>2.1287924629251882</v>
      </c>
      <c r="U41" s="183"/>
      <c r="V41" s="188">
        <v>3</v>
      </c>
      <c r="W41" s="197">
        <v>30.011899146317283</v>
      </c>
      <c r="X41" s="197">
        <v>4.6727309106092754E-3</v>
      </c>
      <c r="Y41" s="193">
        <v>2.1286336389821199</v>
      </c>
      <c r="Z41" s="195">
        <v>2.0990669601597071E-2</v>
      </c>
      <c r="AA41" s="195">
        <v>3.6078865515880978E-2</v>
      </c>
      <c r="AB41" s="208">
        <v>2.1100020208670807</v>
      </c>
      <c r="AD41" s="214"/>
      <c r="AE41" s="166">
        <v>3</v>
      </c>
      <c r="AF41" s="223">
        <v>30.041615666196012</v>
      </c>
      <c r="AG41" s="223">
        <v>4.9170021569003262E-3</v>
      </c>
      <c r="AH41" s="167">
        <v>2.2441238967691435</v>
      </c>
      <c r="AI41" s="170">
        <v>2.063744784804886E-2</v>
      </c>
      <c r="AJ41" s="170">
        <v>3.5565494415031283E-2</v>
      </c>
      <c r="AK41" s="215">
        <v>2.1207634693028763</v>
      </c>
    </row>
    <row r="42" spans="2:37" ht="15">
      <c r="B42" s="172" t="s">
        <v>301</v>
      </c>
      <c r="C42" s="252"/>
      <c r="D42" s="253">
        <v>4</v>
      </c>
      <c r="E42" s="267">
        <f>0.0400154092920633*1000</f>
        <v>40.015409292063296</v>
      </c>
      <c r="F42" s="267">
        <f>0.0000104987403955649*1000</f>
        <v>1.0498740395564901E-2</v>
      </c>
      <c r="G42" s="254">
        <v>2.0652358619948092</v>
      </c>
      <c r="H42" s="264">
        <v>4.2481982215442957E-2</v>
      </c>
      <c r="I42" s="264">
        <v>6.9652616691876987E-2</v>
      </c>
      <c r="J42" s="255">
        <v>2.1356288357311652</v>
      </c>
      <c r="L42" s="183"/>
      <c r="M42" s="188">
        <v>4</v>
      </c>
      <c r="N42" s="198">
        <v>40.001043264623995</v>
      </c>
      <c r="O42" s="198">
        <v>6.1281071079481737E-3</v>
      </c>
      <c r="P42" s="193">
        <v>2.1451102946026119</v>
      </c>
      <c r="Q42" s="195">
        <v>1.1749133088627149E-2</v>
      </c>
      <c r="R42" s="195">
        <v>3.504448937566737E-2</v>
      </c>
      <c r="S42" s="208">
        <v>2.133083192919051</v>
      </c>
      <c r="U42" s="183"/>
      <c r="V42" s="188">
        <v>4</v>
      </c>
      <c r="W42" s="194">
        <v>40.012898654241923</v>
      </c>
      <c r="X42" s="194">
        <v>6.2089767369026376E-3</v>
      </c>
      <c r="Y42" s="193">
        <v>2.1321289565259476</v>
      </c>
      <c r="Z42" s="195">
        <v>1.549426205986976E-2</v>
      </c>
      <c r="AA42" s="195">
        <v>3.5474519452757529E-2</v>
      </c>
      <c r="AB42" s="208">
        <v>2.1224974908288043</v>
      </c>
      <c r="AD42" s="214"/>
      <c r="AE42" s="166">
        <v>4</v>
      </c>
      <c r="AF42" s="170">
        <v>40.053020665262395</v>
      </c>
      <c r="AG42" s="170">
        <v>6.5495271887414481E-3</v>
      </c>
      <c r="AH42" s="167">
        <v>2.2456107484703618</v>
      </c>
      <c r="AI42" s="170">
        <v>1.5229377268238262E-2</v>
      </c>
      <c r="AJ42" s="170">
        <v>3.5195614552460765E-2</v>
      </c>
      <c r="AK42" s="215">
        <v>2.129803351023869</v>
      </c>
    </row>
    <row r="43" spans="2:37" ht="15">
      <c r="B43" s="172" t="s">
        <v>302</v>
      </c>
      <c r="C43" s="252"/>
      <c r="D43" s="253">
        <v>5</v>
      </c>
      <c r="E43" s="267">
        <f>0.0500142611890455*1000</f>
        <v>50.014261189045499</v>
      </c>
      <c r="F43" s="267">
        <f>0.0000113105078928091*1000</f>
        <v>1.13105078928091E-2</v>
      </c>
      <c r="G43" s="254">
        <v>2.0552782299028385</v>
      </c>
      <c r="H43" s="264">
        <v>3.3988983651355796E-2</v>
      </c>
      <c r="I43" s="264">
        <v>5.8700099579989271E-2</v>
      </c>
      <c r="J43" s="255">
        <v>2.1058737982825098</v>
      </c>
      <c r="L43" s="183"/>
      <c r="M43" s="188">
        <v>5</v>
      </c>
      <c r="N43" s="198">
        <v>49.995778729478396</v>
      </c>
      <c r="O43" s="198">
        <v>7.6400034366144488E-3</v>
      </c>
      <c r="P43" s="193">
        <v>2.1482236841073363</v>
      </c>
      <c r="Q43" s="195">
        <v>8.6003158651967622E-3</v>
      </c>
      <c r="R43" s="195">
        <v>3.5078205094771553E-2</v>
      </c>
      <c r="S43" s="208">
        <v>2.132314390329265</v>
      </c>
      <c r="U43" s="183"/>
      <c r="V43" s="188">
        <v>5</v>
      </c>
      <c r="W43" s="194">
        <v>50.023598840668896</v>
      </c>
      <c r="X43" s="194">
        <v>7.7503979173590863E-3</v>
      </c>
      <c r="Y43" s="193">
        <v>2.1338119030085054</v>
      </c>
      <c r="Z43" s="195">
        <v>1.15939729382377E-2</v>
      </c>
      <c r="AA43" s="195">
        <v>3.5264630964172858E-2</v>
      </c>
      <c r="AB43" s="208">
        <v>2.1276217195816929</v>
      </c>
      <c r="AD43" s="214"/>
      <c r="AE43" s="166">
        <v>5</v>
      </c>
      <c r="AF43" s="170">
        <v>50.069326107313188</v>
      </c>
      <c r="AG43" s="170">
        <v>8.1834428707813905E-3</v>
      </c>
      <c r="AH43" s="167">
        <v>2.2463065400605888</v>
      </c>
      <c r="AI43" s="170">
        <v>1.0784737991430447E-2</v>
      </c>
      <c r="AJ43" s="170">
        <v>3.5089765968379337E-2</v>
      </c>
      <c r="AK43" s="215">
        <v>2.1326330483656957</v>
      </c>
    </row>
    <row r="44" spans="2:37" ht="15">
      <c r="B44" s="172" t="s">
        <v>303</v>
      </c>
      <c r="C44" s="252"/>
      <c r="D44" s="253">
        <v>6</v>
      </c>
      <c r="E44" s="267">
        <f>0.0600241140233018*1000</f>
        <v>60.024114023301799</v>
      </c>
      <c r="F44" s="267">
        <f>0.0000122697963127539*1000</f>
        <v>1.22697963127539E-2</v>
      </c>
      <c r="G44" s="254">
        <v>2.0531101311035003</v>
      </c>
      <c r="H44" s="264">
        <v>2.8320849604363676E-2</v>
      </c>
      <c r="I44" s="264">
        <v>5.2033096406282175E-2</v>
      </c>
      <c r="J44" s="255">
        <v>2.08551098624711</v>
      </c>
      <c r="L44" s="183"/>
      <c r="M44" s="188">
        <v>6</v>
      </c>
      <c r="N44" s="198">
        <v>60.001314881039995</v>
      </c>
      <c r="O44" s="198">
        <v>9.1564734010971625E-3</v>
      </c>
      <c r="P44" s="193">
        <v>2.1499632124902361</v>
      </c>
      <c r="Q44" s="195">
        <v>0</v>
      </c>
      <c r="R44" s="195">
        <v>3.4601307027454509E-2</v>
      </c>
      <c r="S44" s="208">
        <v>2.1476269843891016</v>
      </c>
      <c r="U44" s="183"/>
      <c r="V44" s="188">
        <v>6</v>
      </c>
      <c r="W44" s="194">
        <v>60.034799062070206</v>
      </c>
      <c r="X44" s="194">
        <v>9.2937056073533874E-3</v>
      </c>
      <c r="Y44" s="193">
        <v>2.134743364471122</v>
      </c>
      <c r="Z44" s="195">
        <v>5.4965489526611951E-3</v>
      </c>
      <c r="AA44" s="195">
        <v>3.5220410834392327E-2</v>
      </c>
      <c r="AB44" s="208">
        <v>2.1288151860648461</v>
      </c>
      <c r="AD44" s="214"/>
      <c r="AE44" s="166">
        <v>6</v>
      </c>
      <c r="AF44" s="170">
        <v>60.090131956186404</v>
      </c>
      <c r="AG44" s="170">
        <v>9.8183838004512903E-3</v>
      </c>
      <c r="AH44" s="167">
        <v>2.2466865645868932</v>
      </c>
      <c r="AI44" s="170">
        <v>4.8259456348959144E-3</v>
      </c>
      <c r="AJ44" s="170">
        <v>3.5100549639919813E-2</v>
      </c>
      <c r="AK44" s="215">
        <v>2.1323600945813834</v>
      </c>
    </row>
    <row r="45" spans="2:37" ht="15">
      <c r="B45" s="172" t="s">
        <v>304</v>
      </c>
      <c r="C45" s="252"/>
      <c r="D45" s="253">
        <v>7</v>
      </c>
      <c r="E45" s="267">
        <f>0.0700159653238367*1000</f>
        <v>70.01596532383671</v>
      </c>
      <c r="F45" s="267">
        <f>0.0000133440543031849*1000</f>
        <v>1.33440543031849E-2</v>
      </c>
      <c r="G45" s="254">
        <v>2.0561477387954339</v>
      </c>
      <c r="H45" s="260">
        <v>3.2848373480510326E-2</v>
      </c>
      <c r="I45" s="260">
        <v>4.7773418769283094E-2</v>
      </c>
      <c r="J45" s="255">
        <v>2.0730963564171927</v>
      </c>
      <c r="L45" s="183"/>
      <c r="M45" s="188">
        <v>7</v>
      </c>
      <c r="N45" s="198">
        <v>69.989949958031985</v>
      </c>
      <c r="O45" s="198">
        <v>1.0672034956781354E-2</v>
      </c>
      <c r="P45" s="193">
        <v>2.1510266839481553</v>
      </c>
      <c r="Q45" s="194">
        <v>1.1572538107052175E-2</v>
      </c>
      <c r="R45" s="194">
        <v>3.5239241749614909E-2</v>
      </c>
      <c r="S45" s="208">
        <v>2.1286152885260328</v>
      </c>
      <c r="U45" s="183"/>
      <c r="V45" s="188">
        <v>7</v>
      </c>
      <c r="W45" s="194">
        <v>70.02339770263103</v>
      </c>
      <c r="X45" s="194">
        <v>1.0834549366309686E-2</v>
      </c>
      <c r="Y45" s="193">
        <v>2.1353099509051012</v>
      </c>
      <c r="Z45" s="194">
        <v>1.5851085937199787E-2</v>
      </c>
      <c r="AA45" s="194">
        <v>3.5266401899229707E-2</v>
      </c>
      <c r="AB45" s="208">
        <v>2.1277828489650479</v>
      </c>
      <c r="AD45" s="214"/>
      <c r="AE45" s="166">
        <v>7</v>
      </c>
      <c r="AF45" s="170">
        <v>70.089335852312004</v>
      </c>
      <c r="AG45" s="170">
        <v>1.1449964695501379E-2</v>
      </c>
      <c r="AH45" s="167">
        <v>2.2469159449117</v>
      </c>
      <c r="AI45" s="170">
        <v>1.4980452757419259E-2</v>
      </c>
      <c r="AJ45" s="170">
        <v>3.5179227273623652E-2</v>
      </c>
      <c r="AK45" s="215">
        <v>2.1303650500211537</v>
      </c>
    </row>
    <row r="46" spans="2:37" ht="15">
      <c r="B46" s="172" t="s">
        <v>305</v>
      </c>
      <c r="C46" s="252"/>
      <c r="D46" s="253">
        <v>8</v>
      </c>
      <c r="E46" s="267">
        <f>0.0800248180728863*1000</f>
        <v>80.024818072886305</v>
      </c>
      <c r="F46" s="267">
        <f>0.0000145107410366389*1000</f>
        <v>1.4510741036638901E-2</v>
      </c>
      <c r="G46" s="254">
        <v>2.0621232965672465</v>
      </c>
      <c r="H46" s="260">
        <v>2.4991275086698191E-2</v>
      </c>
      <c r="I46" s="260">
        <v>4.495094985730376E-2</v>
      </c>
      <c r="J46" s="255">
        <v>2.0663909133612317</v>
      </c>
      <c r="L46" s="183"/>
      <c r="M46" s="188">
        <v>8</v>
      </c>
      <c r="N46" s="198">
        <v>79.995186090518388</v>
      </c>
      <c r="O46" s="198">
        <v>1.2191141288725459E-2</v>
      </c>
      <c r="P46" s="193">
        <v>2.1517248561478035</v>
      </c>
      <c r="Q46" s="194">
        <v>2.1250265085657277E-2</v>
      </c>
      <c r="R46" s="194">
        <v>3.532721379145843E-2</v>
      </c>
      <c r="S46" s="208">
        <v>2.1267153928579097</v>
      </c>
      <c r="U46" s="183"/>
      <c r="V46" s="188">
        <v>8</v>
      </c>
      <c r="W46" s="194">
        <v>80.034497917037484</v>
      </c>
      <c r="X46" s="194">
        <v>1.2379499576817006E-2</v>
      </c>
      <c r="Y46" s="193">
        <v>2.1356811070939781</v>
      </c>
      <c r="Z46" s="194">
        <v>2.5362848923174041E-2</v>
      </c>
      <c r="AA46" s="194">
        <v>3.5372798865902416E-2</v>
      </c>
      <c r="AB46" s="208">
        <v>2.1254192375250547</v>
      </c>
      <c r="AD46" s="214"/>
      <c r="AE46" s="166">
        <v>8</v>
      </c>
      <c r="AF46" s="170">
        <v>80.109941683104225</v>
      </c>
      <c r="AG46" s="170">
        <v>1.3085140229055166E-2</v>
      </c>
      <c r="AH46" s="167">
        <v>2.247065459453256</v>
      </c>
      <c r="AI46" s="170">
        <v>2.434085228405317E-2</v>
      </c>
      <c r="AJ46" s="170">
        <v>3.5306838250745425E-2</v>
      </c>
      <c r="AK46" s="215">
        <v>2.1273440883020731</v>
      </c>
    </row>
    <row r="47" spans="2:37" ht="15">
      <c r="B47" s="172" t="s">
        <v>306</v>
      </c>
      <c r="C47" s="252"/>
      <c r="D47" s="253">
        <v>9</v>
      </c>
      <c r="E47" s="267">
        <f>0.0900276703106953*1000</f>
        <v>90.027670310695314</v>
      </c>
      <c r="F47" s="267">
        <f>0.0000157461269271074*1000</f>
        <v>1.57461269271074E-2</v>
      </c>
      <c r="G47" s="254">
        <v>2.0694298882468956</v>
      </c>
      <c r="H47" s="260">
        <v>2.7768160546092758E-2</v>
      </c>
      <c r="I47" s="260">
        <v>4.3048324240730663E-2</v>
      </c>
      <c r="J47" s="255">
        <v>2.0634096315816302</v>
      </c>
      <c r="L47" s="183"/>
      <c r="M47" s="188">
        <v>9</v>
      </c>
      <c r="N47" s="198">
        <v>89.995721924159994</v>
      </c>
      <c r="O47" s="198">
        <v>1.3710214169463702E-2</v>
      </c>
      <c r="P47" s="193">
        <v>2.1522063189502747</v>
      </c>
      <c r="Q47" s="194">
        <v>3.3222216712918563E-2</v>
      </c>
      <c r="R47" s="194">
        <v>3.5481823377305426E-2</v>
      </c>
      <c r="S47" s="208">
        <v>2.1234915021042906</v>
      </c>
      <c r="U47" s="183"/>
      <c r="V47" s="188">
        <v>9</v>
      </c>
      <c r="W47" s="194">
        <v>90.03519740397752</v>
      </c>
      <c r="X47" s="194">
        <v>1.3923266569799021E-2</v>
      </c>
      <c r="Y47" s="193">
        <v>2.1359364374481884</v>
      </c>
      <c r="Z47" s="194">
        <v>3.8649701535925257E-2</v>
      </c>
      <c r="AA47" s="194">
        <v>3.5525826975780765E-2</v>
      </c>
      <c r="AB47" s="208">
        <v>2.122260627769518</v>
      </c>
      <c r="AD47" s="214"/>
      <c r="AE47" s="166">
        <v>9</v>
      </c>
      <c r="AF47" s="170">
        <v>90.120946646008619</v>
      </c>
      <c r="AG47" s="170">
        <v>1.471881715333536E-2</v>
      </c>
      <c r="AH47" s="167">
        <v>2.2471679918637188</v>
      </c>
      <c r="AI47" s="170">
        <v>3.7947917355706691E-2</v>
      </c>
      <c r="AJ47" s="170">
        <v>3.5474510160420067E-2</v>
      </c>
      <c r="AK47" s="215">
        <v>2.1237234174391766</v>
      </c>
    </row>
    <row r="48" spans="2:37" ht="15">
      <c r="B48" s="172" t="s">
        <v>39</v>
      </c>
      <c r="C48" s="252"/>
      <c r="D48" s="253" t="s">
        <v>343</v>
      </c>
      <c r="E48" s="267">
        <f>0.100037523144952*1000</f>
        <v>100.037523144952</v>
      </c>
      <c r="F48" s="267">
        <f>0.0000170354935857927*1000</f>
        <v>1.7035493585792701E-2</v>
      </c>
      <c r="G48" s="254">
        <v>2.0770870650467534</v>
      </c>
      <c r="H48" s="260">
        <v>3.9983441799626422E-2</v>
      </c>
      <c r="I48" s="260">
        <v>4.1754374106286428E-2</v>
      </c>
      <c r="J48" s="255">
        <v>2.0626214825518496</v>
      </c>
      <c r="L48" s="183"/>
      <c r="M48" s="188" t="s">
        <v>343</v>
      </c>
      <c r="N48" s="198">
        <v>100.00115806936319</v>
      </c>
      <c r="O48" s="198">
        <v>1.5230505854501588E-2</v>
      </c>
      <c r="P48" s="193">
        <v>2.1525524003221514</v>
      </c>
      <c r="Q48" s="194">
        <v>4.8897101207651415E-2</v>
      </c>
      <c r="R48" s="194">
        <v>3.5678811925941717E-2</v>
      </c>
      <c r="S48" s="208">
        <v>2.1197540302271665</v>
      </c>
      <c r="U48" s="183"/>
      <c r="V48" s="188" t="s">
        <v>343</v>
      </c>
      <c r="W48" s="194">
        <v>100.04569757641474</v>
      </c>
      <c r="X48" s="194">
        <v>1.5468841246457379E-2</v>
      </c>
      <c r="Y48" s="193">
        <v>2.1361198288869407</v>
      </c>
      <c r="Z48" s="194">
        <v>5.4672399042788582E-2</v>
      </c>
      <c r="AA48" s="194">
        <v>3.5719193315832086E-2</v>
      </c>
      <c r="AB48" s="208">
        <v>2.1186497287357486</v>
      </c>
      <c r="AD48" s="214"/>
      <c r="AE48" s="166" t="s">
        <v>343</v>
      </c>
      <c r="AF48" s="170">
        <v>100.14175249488183</v>
      </c>
      <c r="AG48" s="170">
        <v>1.6354141053257699E-2</v>
      </c>
      <c r="AH48" s="167">
        <v>2.2472414688707678</v>
      </c>
      <c r="AI48" s="170">
        <v>5.3322886976548432E-2</v>
      </c>
      <c r="AJ48" s="170">
        <v>3.5678539259417753E-2</v>
      </c>
      <c r="AK48" s="215">
        <v>2.1197785286802198</v>
      </c>
    </row>
    <row r="49" spans="2:37" ht="15">
      <c r="B49" s="172"/>
      <c r="C49" s="252"/>
      <c r="D49" s="261"/>
      <c r="E49" s="261"/>
      <c r="F49" s="261"/>
      <c r="G49" s="262"/>
      <c r="H49" s="262"/>
      <c r="I49" s="268"/>
      <c r="J49" s="263"/>
      <c r="L49" s="183"/>
      <c r="M49" s="190"/>
      <c r="N49" s="190"/>
      <c r="O49" s="190"/>
      <c r="P49" s="203"/>
      <c r="Q49" s="203"/>
      <c r="R49" s="206"/>
      <c r="S49" s="210"/>
      <c r="U49" s="183"/>
      <c r="V49" s="190"/>
      <c r="W49" s="190"/>
      <c r="X49" s="190"/>
      <c r="Y49" s="203"/>
      <c r="Z49" s="203"/>
      <c r="AA49" s="206"/>
      <c r="AB49" s="210"/>
      <c r="AD49" s="214"/>
      <c r="AE49" s="219"/>
      <c r="AF49" s="219"/>
      <c r="AG49" s="219"/>
      <c r="AH49" s="220"/>
      <c r="AI49" s="220"/>
      <c r="AJ49" s="224"/>
      <c r="AK49" s="221"/>
    </row>
    <row r="50" spans="2:37" ht="15">
      <c r="B50" s="172" t="s">
        <v>38</v>
      </c>
      <c r="C50" s="252" t="s">
        <v>346</v>
      </c>
      <c r="D50" s="253">
        <v>1</v>
      </c>
      <c r="E50" s="265">
        <v>0.10003099999999999</v>
      </c>
      <c r="F50" s="267">
        <v>1.7E-5</v>
      </c>
      <c r="G50" s="254">
        <v>2.0770817378838871</v>
      </c>
      <c r="H50" s="260">
        <v>4.2985208026813534E-2</v>
      </c>
      <c r="I50" s="260">
        <v>4.175511477679994E-2</v>
      </c>
      <c r="J50" s="255">
        <v>2.0626215326420176</v>
      </c>
      <c r="L50" s="183" t="s">
        <v>426</v>
      </c>
      <c r="M50" s="188">
        <v>1</v>
      </c>
      <c r="N50" s="196">
        <v>9.9994E-2</v>
      </c>
      <c r="O50" s="198">
        <v>1.7E-5</v>
      </c>
      <c r="P50" s="193">
        <v>2.0748250584861565</v>
      </c>
      <c r="Q50" s="194">
        <v>3.9000340240770738E-2</v>
      </c>
      <c r="R50" s="194">
        <v>4.1758789903761896E-2</v>
      </c>
      <c r="S50" s="208">
        <v>2.062622068688317</v>
      </c>
      <c r="U50" s="183" t="s">
        <v>346</v>
      </c>
      <c r="V50" s="188">
        <v>1</v>
      </c>
      <c r="W50" s="196">
        <v>9.9981E-2</v>
      </c>
      <c r="X50" s="198">
        <v>1.7E-5</v>
      </c>
      <c r="Y50" s="193">
        <v>2.0881915613746327</v>
      </c>
      <c r="Z50" s="194">
        <v>3.9005547899263818E-2</v>
      </c>
      <c r="AA50" s="194">
        <v>4.964963940078021E-2</v>
      </c>
      <c r="AB50" s="208">
        <v>2.0592383811123183</v>
      </c>
      <c r="AD50" s="214" t="s">
        <v>436</v>
      </c>
      <c r="AE50" s="166">
        <v>1</v>
      </c>
      <c r="AF50" s="171">
        <v>0.10003304266786034</v>
      </c>
      <c r="AG50" s="171">
        <v>1.6523113553257367E-5</v>
      </c>
      <c r="AH50" s="167">
        <v>2.2199219251574065</v>
      </c>
      <c r="AI50" s="170">
        <v>4.298456754733454E-2</v>
      </c>
      <c r="AJ50" s="170">
        <v>4.5008724513850844E-2</v>
      </c>
      <c r="AK50" s="215">
        <v>2.0519567509165895</v>
      </c>
    </row>
    <row r="51" spans="2:37" ht="15">
      <c r="B51" s="172" t="s">
        <v>289</v>
      </c>
      <c r="C51" s="252" t="s">
        <v>342</v>
      </c>
      <c r="D51" s="253">
        <v>2</v>
      </c>
      <c r="E51" s="267">
        <v>0.20037507185192513</v>
      </c>
      <c r="F51" s="267">
        <v>3.1238653932896224E-5</v>
      </c>
      <c r="G51" s="254">
        <v>2.1269326330621334</v>
      </c>
      <c r="H51" s="260">
        <v>4.4914020525725795E-2</v>
      </c>
      <c r="I51" s="260">
        <v>4.0858385140654631E-2</v>
      </c>
      <c r="J51" s="255">
        <v>2.0730210554282027</v>
      </c>
      <c r="L51" s="183" t="s">
        <v>342</v>
      </c>
      <c r="M51" s="188">
        <v>2</v>
      </c>
      <c r="N51" s="198">
        <v>0.20036073892723194</v>
      </c>
      <c r="O51" s="198">
        <v>3.1361404034273391E-5</v>
      </c>
      <c r="P51" s="193">
        <v>2.1228758738872657</v>
      </c>
      <c r="Q51" s="194">
        <v>4.1922381425487792E-2</v>
      </c>
      <c r="R51" s="194">
        <v>4.0857698612836058E-2</v>
      </c>
      <c r="S51" s="208">
        <v>2.0730193083715056</v>
      </c>
      <c r="U51" s="183" t="s">
        <v>342</v>
      </c>
      <c r="V51" s="188">
        <v>2</v>
      </c>
      <c r="W51" s="198">
        <v>0.20036301415089477</v>
      </c>
      <c r="X51" s="198">
        <v>3.1501552040748945E-5</v>
      </c>
      <c r="Y51" s="193">
        <v>2.1195708802496487</v>
      </c>
      <c r="Z51" s="194">
        <v>4.6413531470703248E-2</v>
      </c>
      <c r="AA51" s="194">
        <v>4.2708603880885654E-2</v>
      </c>
      <c r="AB51" s="208">
        <v>2.0567623591744084</v>
      </c>
      <c r="AD51" s="214" t="s">
        <v>342</v>
      </c>
      <c r="AE51" s="166">
        <v>2</v>
      </c>
      <c r="AF51" s="171">
        <v>0.20048612330581286</v>
      </c>
      <c r="AG51" s="171">
        <v>3.2817160479577246E-5</v>
      </c>
      <c r="AH51" s="167">
        <v>2.2399697623814343</v>
      </c>
      <c r="AI51" s="170">
        <v>5.1373658150221845E-2</v>
      </c>
      <c r="AJ51" s="170">
        <v>4.1620416647742603E-2</v>
      </c>
      <c r="AK51" s="215">
        <v>2.0646937981207052</v>
      </c>
    </row>
    <row r="52" spans="2:37" ht="15">
      <c r="B52" s="172" t="s">
        <v>290</v>
      </c>
      <c r="C52" s="252"/>
      <c r="D52" s="253">
        <v>3</v>
      </c>
      <c r="E52" s="265">
        <v>0.30040459431522282</v>
      </c>
      <c r="F52" s="265">
        <v>4.6091257672671655E-5</v>
      </c>
      <c r="G52" s="254">
        <v>2.1434358164215848</v>
      </c>
      <c r="H52" s="264">
        <v>3.6615859212464207E-2</v>
      </c>
      <c r="I52" s="264">
        <v>4.6827083328710453E-2</v>
      </c>
      <c r="J52" s="255">
        <v>2.1028545766039777</v>
      </c>
      <c r="L52" s="183"/>
      <c r="M52" s="188">
        <v>3</v>
      </c>
      <c r="N52" s="196">
        <v>0.30035409650063999</v>
      </c>
      <c r="O52" s="196">
        <v>4.6267737733319125E-5</v>
      </c>
      <c r="P52" s="193">
        <v>2.138728726783079</v>
      </c>
      <c r="Q52" s="195">
        <v>3.6621692289708983E-2</v>
      </c>
      <c r="R52" s="195">
        <v>4.6823000195974213E-2</v>
      </c>
      <c r="S52" s="208">
        <v>2.1028320171159476</v>
      </c>
      <c r="U52" s="183"/>
      <c r="V52" s="188">
        <v>3</v>
      </c>
      <c r="W52" s="196">
        <v>0.30034400720162896</v>
      </c>
      <c r="X52" s="196">
        <v>4.6762881447597106E-5</v>
      </c>
      <c r="Y52" s="193">
        <v>2.1286220088372647</v>
      </c>
      <c r="Z52" s="195">
        <v>4.6610985624737193E-2</v>
      </c>
      <c r="AA52" s="195">
        <v>4.7485736700465152E-2</v>
      </c>
      <c r="AB52" s="208">
        <v>2.0928315562884361</v>
      </c>
      <c r="AD52" s="214"/>
      <c r="AE52" s="166">
        <v>3</v>
      </c>
      <c r="AF52" s="222">
        <v>0.30051916597367323</v>
      </c>
      <c r="AG52" s="222">
        <v>4.9113775852261081E-5</v>
      </c>
      <c r="AH52" s="167">
        <v>2.2441161308784237</v>
      </c>
      <c r="AI52" s="218">
        <v>5.0910438880720291E-2</v>
      </c>
      <c r="AJ52" s="218">
        <v>4.7110464922039207E-2</v>
      </c>
      <c r="AK52" s="215">
        <v>2.0984769996259338</v>
      </c>
    </row>
    <row r="53" spans="2:37" ht="15">
      <c r="B53" s="172" t="s">
        <v>291</v>
      </c>
      <c r="C53" s="252"/>
      <c r="D53" s="253">
        <v>4</v>
      </c>
      <c r="E53" s="265">
        <v>0.40072814182930194</v>
      </c>
      <c r="F53" s="265">
        <v>6.1146992371421271E-5</v>
      </c>
      <c r="G53" s="254">
        <v>2.1500932643427624</v>
      </c>
      <c r="H53" s="264">
        <v>3.9925765794095555E-2</v>
      </c>
      <c r="I53" s="264">
        <v>5.5545573571299141E-2</v>
      </c>
      <c r="J53" s="255">
        <v>2.153175703255362</v>
      </c>
      <c r="L53" s="183"/>
      <c r="M53" s="188">
        <v>4</v>
      </c>
      <c r="N53" s="196">
        <v>0.40069747632844793</v>
      </c>
      <c r="O53" s="196">
        <v>6.1385816871732036E-5</v>
      </c>
      <c r="P53" s="193">
        <v>2.145120318657233</v>
      </c>
      <c r="Q53" s="195">
        <v>4.666639825470853E-2</v>
      </c>
      <c r="R53" s="195">
        <v>5.5542226682316995E-2</v>
      </c>
      <c r="S53" s="208">
        <v>2.1531572566218093</v>
      </c>
      <c r="U53" s="183"/>
      <c r="V53" s="188">
        <v>4</v>
      </c>
      <c r="W53" s="196">
        <v>0.40071702767225126</v>
      </c>
      <c r="X53" s="196">
        <v>6.2180830702092404E-5</v>
      </c>
      <c r="Y53" s="193">
        <v>2.1321321616363855</v>
      </c>
      <c r="Z53" s="195">
        <v>5.8642069275098962E-2</v>
      </c>
      <c r="AA53" s="195">
        <v>5.5824254183319814E-2</v>
      </c>
      <c r="AB53" s="208">
        <v>2.1468540544182182</v>
      </c>
      <c r="AD53" s="214"/>
      <c r="AE53" s="166">
        <v>4</v>
      </c>
      <c r="AF53" s="222">
        <v>0.40096624606919584</v>
      </c>
      <c r="AG53" s="222">
        <v>6.5493314469221406E-5</v>
      </c>
      <c r="AH53" s="167">
        <v>2.2456106329535284</v>
      </c>
      <c r="AI53" s="218">
        <v>6.0601872587986751E-2</v>
      </c>
      <c r="AJ53" s="218">
        <v>5.5685362864611371E-2</v>
      </c>
      <c r="AK53" s="215">
        <v>2.1506170344361513</v>
      </c>
    </row>
    <row r="54" spans="2:37" ht="15">
      <c r="B54" s="172" t="s">
        <v>292</v>
      </c>
      <c r="C54" s="252"/>
      <c r="D54" s="253">
        <v>5</v>
      </c>
      <c r="E54" s="265">
        <v>0.50054964656959788</v>
      </c>
      <c r="F54" s="265">
        <v>7.6187535650553936E-5</v>
      </c>
      <c r="G54" s="254">
        <v>2.1533310058635422</v>
      </c>
      <c r="H54" s="264">
        <v>5.9931784666970161E-2</v>
      </c>
      <c r="I54" s="264">
        <v>6.571783697146949E-2</v>
      </c>
      <c r="J54" s="255">
        <v>2.2059037396122703</v>
      </c>
      <c r="L54" s="183"/>
      <c r="M54" s="188">
        <v>5</v>
      </c>
      <c r="N54" s="196">
        <v>0.50049182124863989</v>
      </c>
      <c r="O54" s="196">
        <v>7.6481528147475883E-5</v>
      </c>
      <c r="P54" s="193">
        <v>2.1482255550439282</v>
      </c>
      <c r="Q54" s="195">
        <v>6.7330555823926094E-2</v>
      </c>
      <c r="R54" s="195">
        <v>6.5711070559812845E-2</v>
      </c>
      <c r="S54" s="208">
        <v>2.2058720617548113</v>
      </c>
      <c r="U54" s="183"/>
      <c r="V54" s="188">
        <v>5</v>
      </c>
      <c r="W54" s="196">
        <v>0.50055101044052752</v>
      </c>
      <c r="X54" s="196">
        <v>7.7552900905977036E-5</v>
      </c>
      <c r="Y54" s="193">
        <v>2.1338102808419137</v>
      </c>
      <c r="Z54" s="195">
        <v>7.5912706566760538E-2</v>
      </c>
      <c r="AA54" s="195">
        <v>6.5847801049193605E-2</v>
      </c>
      <c r="AB54" s="208">
        <v>2.2018274614459363</v>
      </c>
      <c r="AD54" s="214"/>
      <c r="AE54" s="166">
        <v>5</v>
      </c>
      <c r="AF54" s="222">
        <v>0.50087127716521862</v>
      </c>
      <c r="AG54" s="222">
        <v>8.1790376113661525E-5</v>
      </c>
      <c r="AH54" s="167">
        <v>2.2463052005324595</v>
      </c>
      <c r="AI54" s="218">
        <v>7.9658908848047286E-2</v>
      </c>
      <c r="AJ54" s="218">
        <v>6.5806972459635751E-2</v>
      </c>
      <c r="AK54" s="215">
        <v>2.2043537030312321</v>
      </c>
    </row>
    <row r="55" spans="2:37" ht="15">
      <c r="B55" s="172" t="s">
        <v>293</v>
      </c>
      <c r="C55" s="252"/>
      <c r="D55" s="253">
        <v>6</v>
      </c>
      <c r="E55" s="265">
        <v>0.60058216928851582</v>
      </c>
      <c r="F55" s="265">
        <v>9.1289142239347429E-5</v>
      </c>
      <c r="G55" s="254">
        <v>2.1551435485835611</v>
      </c>
      <c r="H55" s="264">
        <v>6.3269481755081569E-2</v>
      </c>
      <c r="I55" s="264">
        <v>7.6759982213294498E-2</v>
      </c>
      <c r="J55" s="255">
        <v>2.2523973306357106</v>
      </c>
      <c r="L55" s="183"/>
      <c r="M55" s="188">
        <v>6</v>
      </c>
      <c r="N55" s="196">
        <v>0.60048817901279983</v>
      </c>
      <c r="O55" s="196">
        <v>9.1637203091624237E-5</v>
      </c>
      <c r="P55" s="193">
        <v>2.149963531592102</v>
      </c>
      <c r="Q55" s="195">
        <v>5.9948362112941196E-2</v>
      </c>
      <c r="R55" s="195">
        <v>7.6748575782188674E-2</v>
      </c>
      <c r="S55" s="208">
        <v>2.2523548730583465</v>
      </c>
      <c r="U55" s="183"/>
      <c r="V55" s="188">
        <v>6</v>
      </c>
      <c r="W55" s="196">
        <v>0.60053400363115905</v>
      </c>
      <c r="X55" s="196">
        <v>9.2966006534334492E-5</v>
      </c>
      <c r="Y55" s="193">
        <v>2.1347414971028522</v>
      </c>
      <c r="Z55" s="195">
        <v>7.3597639909248891E-2</v>
      </c>
      <c r="AA55" s="195">
        <v>7.6817955336991706E-2</v>
      </c>
      <c r="AB55" s="208">
        <v>2.2497114802931764</v>
      </c>
      <c r="AD55" s="214"/>
      <c r="AE55" s="166">
        <v>6</v>
      </c>
      <c r="AF55" s="222">
        <v>0.60090632001388888</v>
      </c>
      <c r="AG55" s="222">
        <v>9.8111549728830907E-5</v>
      </c>
      <c r="AH55" s="167">
        <v>2.2466852879319732</v>
      </c>
      <c r="AI55" s="218">
        <v>8.4869372159008666E-2</v>
      </c>
      <c r="AJ55" s="218">
        <v>7.6823544922404854E-2</v>
      </c>
      <c r="AK55" s="215">
        <v>2.2514203288788881</v>
      </c>
    </row>
    <row r="56" spans="2:37" ht="15">
      <c r="B56" s="172" t="s">
        <v>294</v>
      </c>
      <c r="C56" s="252"/>
      <c r="D56" s="253">
        <v>7</v>
      </c>
      <c r="E56" s="265">
        <v>0.70092771867714321</v>
      </c>
      <c r="F56" s="265">
        <v>1.0645456504459038E-4</v>
      </c>
      <c r="G56" s="254">
        <v>2.1562563056847068</v>
      </c>
      <c r="H56" s="264">
        <v>6.8478007837849603E-2</v>
      </c>
      <c r="I56" s="264">
        <v>8.8329366338780038E-2</v>
      </c>
      <c r="J56" s="255">
        <v>2.2906012012420303</v>
      </c>
      <c r="L56" s="183"/>
      <c r="M56" s="188">
        <v>7</v>
      </c>
      <c r="N56" s="196">
        <v>0.70085256017587194</v>
      </c>
      <c r="O56" s="196">
        <v>1.0686532416049055E-4</v>
      </c>
      <c r="P56" s="193">
        <v>2.1510309343226361</v>
      </c>
      <c r="Q56" s="195">
        <v>7.2765043887693961E-2</v>
      </c>
      <c r="R56" s="195">
        <v>8.8319639208848125E-2</v>
      </c>
      <c r="S56" s="208">
        <v>2.2905730193669731</v>
      </c>
      <c r="U56" s="183"/>
      <c r="V56" s="188">
        <v>7</v>
      </c>
      <c r="W56" s="196">
        <v>0.70091602473131964</v>
      </c>
      <c r="X56" s="196">
        <v>1.08450924756122E-4</v>
      </c>
      <c r="Y56" s="193">
        <v>2.1353110008369667</v>
      </c>
      <c r="Z56" s="195">
        <v>8.930742462444978E-2</v>
      </c>
      <c r="AA56" s="195">
        <v>8.8359179238795771E-2</v>
      </c>
      <c r="AB56" s="208">
        <v>2.2888247330944775</v>
      </c>
      <c r="AD56" s="214"/>
      <c r="AE56" s="166">
        <v>7</v>
      </c>
      <c r="AF56" s="222">
        <v>0.70135840056143639</v>
      </c>
      <c r="AG56" s="222">
        <v>1.1450242122532048E-4</v>
      </c>
      <c r="AH56" s="167">
        <v>2.2469159755051362</v>
      </c>
      <c r="AI56" s="218">
        <v>0.10122922934404441</v>
      </c>
      <c r="AJ56" s="218">
        <v>8.8392756853344315E-2</v>
      </c>
      <c r="AK56" s="215">
        <v>2.2900080358123072</v>
      </c>
    </row>
    <row r="57" spans="2:37" ht="15">
      <c r="B57" s="172" t="s">
        <v>295</v>
      </c>
      <c r="C57" s="252"/>
      <c r="D57" s="253">
        <v>8</v>
      </c>
      <c r="E57" s="265">
        <v>0.80096124148126779</v>
      </c>
      <c r="F57" s="265">
        <v>1.2158304421041887E-4</v>
      </c>
      <c r="G57" s="254">
        <v>2.1569828611290816</v>
      </c>
      <c r="H57" s="264">
        <v>7.9900884633025013E-2</v>
      </c>
      <c r="I57" s="264">
        <v>0.10015367101838422</v>
      </c>
      <c r="J57" s="255">
        <v>2.3209777469333113</v>
      </c>
      <c r="L57" s="183"/>
      <c r="M57" s="188">
        <v>8</v>
      </c>
      <c r="N57" s="196">
        <v>0.80084691781286377</v>
      </c>
      <c r="O57" s="196">
        <v>1.2204758321001932E-4</v>
      </c>
      <c r="P57" s="193">
        <v>2.1517273938296646</v>
      </c>
      <c r="Q57" s="195">
        <v>8.6529264018710667E-2</v>
      </c>
      <c r="R57" s="195">
        <v>0.10013893684074038</v>
      </c>
      <c r="S57" s="208">
        <v>2.3209444621717079</v>
      </c>
      <c r="U57" s="183"/>
      <c r="V57" s="188">
        <v>8</v>
      </c>
      <c r="W57" s="196">
        <v>0.80089801785200243</v>
      </c>
      <c r="X57" s="196">
        <v>1.2388050386468005E-4</v>
      </c>
      <c r="Y57" s="193">
        <v>2.1356814227206393</v>
      </c>
      <c r="Z57" s="195">
        <v>0.10712461909463043</v>
      </c>
      <c r="AA57" s="195">
        <v>0.10016038208211114</v>
      </c>
      <c r="AB57" s="208">
        <v>2.3197534795829307</v>
      </c>
      <c r="AD57" s="214"/>
      <c r="AE57" s="166">
        <v>8</v>
      </c>
      <c r="AF57" s="222">
        <v>0.80139044313889174</v>
      </c>
      <c r="AG57" s="222">
        <v>1.3082577992798233E-4</v>
      </c>
      <c r="AH57" s="167">
        <v>2.247065267517784</v>
      </c>
      <c r="AI57" s="218">
        <v>0.12078660743794493</v>
      </c>
      <c r="AJ57" s="218">
        <v>0.100210326172854</v>
      </c>
      <c r="AK57" s="215">
        <v>2.3205899524237905</v>
      </c>
    </row>
    <row r="58" spans="2:37" ht="15">
      <c r="B58" s="172" t="s">
        <v>296</v>
      </c>
      <c r="C58" s="252"/>
      <c r="D58" s="253">
        <v>9</v>
      </c>
      <c r="E58" s="265">
        <v>0.90128878933617396</v>
      </c>
      <c r="F58" s="265">
        <v>1.3676277026527161E-4</v>
      </c>
      <c r="G58" s="254">
        <v>2.157485524024942</v>
      </c>
      <c r="H58" s="264">
        <v>9.2086769561798718E-2</v>
      </c>
      <c r="I58" s="264">
        <v>0.11219055951899275</v>
      </c>
      <c r="J58" s="255">
        <v>2.3451201811585758</v>
      </c>
      <c r="L58" s="183"/>
      <c r="M58" s="188">
        <v>9</v>
      </c>
      <c r="N58" s="196">
        <v>0.90119029764067182</v>
      </c>
      <c r="O58" s="196">
        <v>1.3728966602063179E-4</v>
      </c>
      <c r="P58" s="193">
        <v>2.1522094729995271</v>
      </c>
      <c r="Q58" s="195">
        <v>0.10796316720754819</v>
      </c>
      <c r="R58" s="195">
        <v>0.11217740887581792</v>
      </c>
      <c r="S58" s="208">
        <v>2.3450969050842083</v>
      </c>
      <c r="U58" s="183"/>
      <c r="V58" s="188">
        <v>9</v>
      </c>
      <c r="W58" s="196">
        <v>0.90127603867236827</v>
      </c>
      <c r="X58" s="196">
        <v>1.3937544170995224E-4</v>
      </c>
      <c r="Y58" s="193">
        <v>2.135937453211747</v>
      </c>
      <c r="Z58" s="195">
        <v>0.13058637294648312</v>
      </c>
      <c r="AA58" s="195">
        <v>0.11219349638795914</v>
      </c>
      <c r="AB58" s="208">
        <v>2.3442769087962412</v>
      </c>
      <c r="AD58" s="214"/>
      <c r="AE58" s="166">
        <v>9</v>
      </c>
      <c r="AF58" s="222">
        <v>0.90183952341522433</v>
      </c>
      <c r="AG58" s="222">
        <v>1.4721787496358246E-4</v>
      </c>
      <c r="AH58" s="167">
        <v>2.2471681472721836</v>
      </c>
      <c r="AI58" s="218">
        <v>0.1437021685889209</v>
      </c>
      <c r="AJ58" s="218">
        <v>0.11225790368679989</v>
      </c>
      <c r="AK58" s="215">
        <v>2.344887158983072</v>
      </c>
    </row>
    <row r="59" spans="2:37" ht="15.75" thickBot="1">
      <c r="B59" s="172" t="s">
        <v>297</v>
      </c>
      <c r="C59" s="269"/>
      <c r="D59" s="270" t="s">
        <v>343</v>
      </c>
      <c r="E59" s="271">
        <v>1.0013283126515391</v>
      </c>
      <c r="F59" s="271">
        <v>1.5190362882188367E-4</v>
      </c>
      <c r="G59" s="272">
        <v>2.1578455504837137</v>
      </c>
      <c r="H59" s="273">
        <v>0.11384434692036066</v>
      </c>
      <c r="I59" s="273">
        <v>0.12430431983570873</v>
      </c>
      <c r="J59" s="274">
        <v>2.364251541970221</v>
      </c>
      <c r="L59" s="185"/>
      <c r="M59" s="191" t="s">
        <v>343</v>
      </c>
      <c r="N59" s="199">
        <v>1.0011856553412477</v>
      </c>
      <c r="O59" s="199">
        <v>1.5248362971967831E-4</v>
      </c>
      <c r="P59" s="200">
        <v>2.1525545342860664</v>
      </c>
      <c r="Q59" s="204">
        <v>0.12884108557871138</v>
      </c>
      <c r="R59" s="204">
        <v>0.12428555154041994</v>
      </c>
      <c r="S59" s="211">
        <v>2.3642252197495988</v>
      </c>
      <c r="U59" s="185"/>
      <c r="V59" s="191" t="s">
        <v>343</v>
      </c>
      <c r="W59" s="199">
        <v>1.001262032072846</v>
      </c>
      <c r="X59" s="199">
        <v>1.548128134566968E-4</v>
      </c>
      <c r="Y59" s="200">
        <v>2.1361203853598805</v>
      </c>
      <c r="Z59" s="204">
        <v>0.14900481301560467</v>
      </c>
      <c r="AA59" s="204">
        <v>0.1242946225562078</v>
      </c>
      <c r="AB59" s="211">
        <v>2.3636405373471909</v>
      </c>
      <c r="AD59" s="225"/>
      <c r="AE59" s="226" t="s">
        <v>343</v>
      </c>
      <c r="AF59" s="227">
        <v>1.0018745662638946</v>
      </c>
      <c r="AG59" s="227">
        <v>1.6354287945929757E-4</v>
      </c>
      <c r="AH59" s="228">
        <v>2.2472414737401567</v>
      </c>
      <c r="AI59" s="229">
        <v>0.16518561760486383</v>
      </c>
      <c r="AJ59" s="229">
        <v>0.12436855487700561</v>
      </c>
      <c r="AK59" s="230">
        <v>2.3640942300062178</v>
      </c>
    </row>
    <row r="60" spans="2:37" ht="16.5" thickTop="1" thickBot="1">
      <c r="B60" s="172"/>
      <c r="C60" s="2"/>
      <c r="D60" s="15"/>
      <c r="E60" s="15"/>
      <c r="F60" s="15"/>
      <c r="G60" s="15"/>
      <c r="H60" s="15"/>
      <c r="I60" s="15"/>
      <c r="J60" s="15"/>
      <c r="L60" s="186"/>
      <c r="M60" s="192"/>
      <c r="N60" s="192"/>
      <c r="O60" s="192"/>
      <c r="P60" s="192"/>
      <c r="Q60" s="192"/>
      <c r="R60" s="192"/>
      <c r="S60" s="192"/>
      <c r="U60" s="186"/>
      <c r="V60" s="192"/>
      <c r="W60" s="192"/>
      <c r="X60" s="192"/>
      <c r="Y60" s="192"/>
      <c r="Z60" s="192"/>
      <c r="AA60" s="192"/>
      <c r="AB60" s="192"/>
      <c r="AD60" s="231"/>
      <c r="AE60" s="232"/>
      <c r="AF60" s="232"/>
      <c r="AG60" s="232"/>
      <c r="AH60" s="232"/>
      <c r="AI60" s="232"/>
      <c r="AJ60" s="232"/>
      <c r="AK60" s="232"/>
    </row>
    <row r="61" spans="2:37" ht="15.75" thickTop="1">
      <c r="B61" s="172"/>
      <c r="C61" s="248" t="s">
        <v>336</v>
      </c>
      <c r="D61" s="249" t="s">
        <v>337</v>
      </c>
      <c r="E61" s="249" t="s">
        <v>34</v>
      </c>
      <c r="F61" s="249" t="s">
        <v>130</v>
      </c>
      <c r="G61" s="250" t="s">
        <v>17</v>
      </c>
      <c r="H61" s="249" t="s">
        <v>108</v>
      </c>
      <c r="I61" s="249" t="s">
        <v>130</v>
      </c>
      <c r="J61" s="251" t="s">
        <v>17</v>
      </c>
      <c r="L61" s="182" t="s">
        <v>336</v>
      </c>
      <c r="M61" s="187" t="s">
        <v>337</v>
      </c>
      <c r="N61" s="187" t="s">
        <v>34</v>
      </c>
      <c r="O61" s="187" t="s">
        <v>130</v>
      </c>
      <c r="P61" s="201" t="s">
        <v>17</v>
      </c>
      <c r="Q61" s="187" t="s">
        <v>108</v>
      </c>
      <c r="R61" s="187" t="s">
        <v>130</v>
      </c>
      <c r="S61" s="207" t="s">
        <v>17</v>
      </c>
      <c r="U61" s="182" t="s">
        <v>336</v>
      </c>
      <c r="V61" s="187" t="s">
        <v>337</v>
      </c>
      <c r="W61" s="187" t="s">
        <v>34</v>
      </c>
      <c r="X61" s="187" t="s">
        <v>130</v>
      </c>
      <c r="Y61" s="201" t="s">
        <v>17</v>
      </c>
      <c r="Z61" s="187" t="s">
        <v>108</v>
      </c>
      <c r="AA61" s="187" t="s">
        <v>130</v>
      </c>
      <c r="AB61" s="207" t="s">
        <v>17</v>
      </c>
      <c r="AD61" s="212" t="s">
        <v>336</v>
      </c>
      <c r="AE61" s="213" t="s">
        <v>337</v>
      </c>
      <c r="AF61" s="213" t="s">
        <v>34</v>
      </c>
      <c r="AG61" s="213" t="s">
        <v>130</v>
      </c>
      <c r="AH61" s="238" t="s">
        <v>17</v>
      </c>
      <c r="AI61" s="213" t="s">
        <v>108</v>
      </c>
      <c r="AJ61" s="213" t="s">
        <v>130</v>
      </c>
      <c r="AK61" s="239" t="s">
        <v>17</v>
      </c>
    </row>
    <row r="62" spans="2:37" ht="15">
      <c r="B62" s="172"/>
      <c r="C62" s="252"/>
      <c r="D62" s="253"/>
      <c r="E62" s="253"/>
      <c r="F62" s="253" t="s">
        <v>131</v>
      </c>
      <c r="G62" s="254"/>
      <c r="H62" s="253"/>
      <c r="I62" s="253" t="s">
        <v>131</v>
      </c>
      <c r="J62" s="255"/>
      <c r="L62" s="183"/>
      <c r="M62" s="188"/>
      <c r="N62" s="188"/>
      <c r="O62" s="188" t="s">
        <v>131</v>
      </c>
      <c r="P62" s="193"/>
      <c r="Q62" s="188"/>
      <c r="R62" s="188" t="s">
        <v>131</v>
      </c>
      <c r="S62" s="208"/>
      <c r="U62" s="183"/>
      <c r="V62" s="188"/>
      <c r="W62" s="188"/>
      <c r="X62" s="188" t="s">
        <v>131</v>
      </c>
      <c r="Y62" s="193"/>
      <c r="Z62" s="188"/>
      <c r="AA62" s="188" t="s">
        <v>131</v>
      </c>
      <c r="AB62" s="208"/>
      <c r="AD62" s="214"/>
      <c r="AE62" s="166"/>
      <c r="AF62" s="166"/>
      <c r="AG62" s="166" t="s">
        <v>131</v>
      </c>
      <c r="AH62" s="167"/>
      <c r="AI62" s="166"/>
      <c r="AJ62" s="166" t="s">
        <v>131</v>
      </c>
      <c r="AK62" s="215"/>
    </row>
    <row r="63" spans="2:37" ht="15">
      <c r="B63" s="172"/>
      <c r="C63" s="256"/>
      <c r="D63" s="257"/>
      <c r="E63" s="257"/>
      <c r="F63" s="257"/>
      <c r="G63" s="258"/>
      <c r="H63" s="257" t="s">
        <v>134</v>
      </c>
      <c r="I63" s="257" t="s">
        <v>134</v>
      </c>
      <c r="J63" s="259"/>
      <c r="L63" s="184"/>
      <c r="M63" s="189"/>
      <c r="N63" s="189"/>
      <c r="O63" s="189"/>
      <c r="P63" s="202"/>
      <c r="Q63" s="189" t="s">
        <v>134</v>
      </c>
      <c r="R63" s="189" t="s">
        <v>134</v>
      </c>
      <c r="S63" s="209"/>
      <c r="U63" s="184"/>
      <c r="V63" s="189"/>
      <c r="W63" s="189"/>
      <c r="X63" s="189"/>
      <c r="Y63" s="202"/>
      <c r="Z63" s="189" t="s">
        <v>134</v>
      </c>
      <c r="AA63" s="189" t="s">
        <v>134</v>
      </c>
      <c r="AB63" s="209"/>
      <c r="AD63" s="216"/>
      <c r="AE63" s="168"/>
      <c r="AF63" s="168"/>
      <c r="AG63" s="168"/>
      <c r="AH63" s="169"/>
      <c r="AI63" s="168" t="s">
        <v>134</v>
      </c>
      <c r="AJ63" s="168" t="s">
        <v>134</v>
      </c>
      <c r="AK63" s="217"/>
    </row>
    <row r="64" spans="2:37" ht="15.75" thickBot="1">
      <c r="B64" s="172" t="s">
        <v>324</v>
      </c>
      <c r="C64" s="269" t="s">
        <v>347</v>
      </c>
      <c r="D64" s="270">
        <v>0</v>
      </c>
      <c r="E64" s="272">
        <v>49.4</v>
      </c>
      <c r="F64" s="272">
        <v>1.5</v>
      </c>
      <c r="G64" s="272">
        <v>2.4695700710407475</v>
      </c>
      <c r="H64" s="275">
        <v>0</v>
      </c>
      <c r="I64" s="275">
        <v>3.4666240277923185E-2</v>
      </c>
      <c r="J64" s="274">
        <v>2.145342961322775</v>
      </c>
      <c r="L64" s="185" t="s">
        <v>347</v>
      </c>
      <c r="M64" s="191">
        <v>0</v>
      </c>
      <c r="N64" s="200">
        <v>49.1</v>
      </c>
      <c r="O64" s="200">
        <v>1.5</v>
      </c>
      <c r="P64" s="200">
        <v>2.4695699542836897</v>
      </c>
      <c r="Q64" s="205">
        <v>0</v>
      </c>
      <c r="R64" s="205">
        <v>3.4668874520247077E-2</v>
      </c>
      <c r="S64" s="211">
        <v>2.1452521305125649</v>
      </c>
      <c r="U64" s="185" t="s">
        <v>347</v>
      </c>
      <c r="V64" s="191">
        <v>0</v>
      </c>
      <c r="W64" s="200">
        <v>49.1</v>
      </c>
      <c r="X64" s="200">
        <v>1.5</v>
      </c>
      <c r="Y64" s="200">
        <v>2.4695681121572051</v>
      </c>
      <c r="Z64" s="205">
        <v>3.2825258952639946</v>
      </c>
      <c r="AA64" s="205">
        <v>3.5595672470394212E-2</v>
      </c>
      <c r="AB64" s="211">
        <v>2.1351602087183434</v>
      </c>
      <c r="AD64" s="225" t="s">
        <v>347</v>
      </c>
      <c r="AE64" s="226">
        <v>0</v>
      </c>
      <c r="AF64" s="228">
        <v>48.994562896053388</v>
      </c>
      <c r="AG64" s="228">
        <v>1.4817669033609313</v>
      </c>
      <c r="AH64" s="228">
        <v>2.4695576836117428</v>
      </c>
      <c r="AI64" s="229">
        <v>2.9562002114135382</v>
      </c>
      <c r="AJ64" s="229">
        <v>6.9553506198457613E-2</v>
      </c>
      <c r="AK64" s="230">
        <v>2.0987767400473811</v>
      </c>
    </row>
    <row r="65" spans="2:6" ht="13.5" thickTop="1"/>
    <row r="70" spans="2:6">
      <c r="B70" s="276" t="s">
        <v>297</v>
      </c>
    </row>
    <row r="71" spans="2:6">
      <c r="C71" t="s">
        <v>0</v>
      </c>
      <c r="D71" t="s">
        <v>152</v>
      </c>
      <c r="E71" t="s">
        <v>439</v>
      </c>
      <c r="F71" t="s">
        <v>440</v>
      </c>
    </row>
    <row r="72" spans="2:6">
      <c r="B72" s="1">
        <f>C2</f>
        <v>36426</v>
      </c>
      <c r="C72">
        <f>VLOOKUP($B$70,Reports,4,FALSE)</f>
        <v>1.0013283126515391</v>
      </c>
      <c r="D72">
        <f>VLOOKUP($B$70,Reports,5,FALSE)</f>
        <v>1.5190362882188367E-4</v>
      </c>
      <c r="E72">
        <f>VLOOKUP($B$70,Reports,7,FALSE)</f>
        <v>0.11384434692036066</v>
      </c>
      <c r="F72">
        <f>VLOOKUP($B$70,Reports,8,FALSE)</f>
        <v>0.12430431983570873</v>
      </c>
    </row>
    <row r="73" spans="2:6">
      <c r="B73" s="1">
        <f>L2</f>
        <v>38240</v>
      </c>
      <c r="C73">
        <f>VLOOKUP($B$70,Reports,13,FALSE)</f>
        <v>1.0011856553412477</v>
      </c>
      <c r="D73">
        <f>VLOOKUP($B$70,Reports,14,FALSE)</f>
        <v>1.5248362971967831E-4</v>
      </c>
      <c r="E73">
        <f>VLOOKUP($B$70,Reports,16,FALSE)</f>
        <v>0.12884108557871138</v>
      </c>
      <c r="F73">
        <f>VLOOKUP($B$70,Reports,17,FALSE)</f>
        <v>0.12428555154041994</v>
      </c>
    </row>
    <row r="74" spans="2:6">
      <c r="B74" s="1">
        <f>U2</f>
        <v>40148</v>
      </c>
      <c r="C74">
        <f>VLOOKUP($B$70,Reports,22,FALSE)</f>
        <v>1.001262032072846</v>
      </c>
      <c r="D74">
        <f>VLOOKUP($B$70,Reports,23,FALSE)</f>
        <v>1.548128134566968E-4</v>
      </c>
      <c r="E74">
        <f>VLOOKUP($B$70,Reports,25,FALSE)</f>
        <v>0.14900481301560467</v>
      </c>
      <c r="F74">
        <f>VLOOKUP($B$70,Reports,26,FALSE)</f>
        <v>0.1242946225562078</v>
      </c>
    </row>
    <row r="75" spans="2:6">
      <c r="B75" s="1">
        <f>AD2</f>
        <v>42124</v>
      </c>
      <c r="C75">
        <f>VLOOKUP($B$70,Reports,31,FALSE)</f>
        <v>1.0018745662638946</v>
      </c>
      <c r="D75">
        <f>VLOOKUP($B$70,Reports,32,FALSE)</f>
        <v>1.6354287945929757E-4</v>
      </c>
      <c r="E75">
        <f>VLOOKUP($B$70,Reports,34,FALSE)</f>
        <v>0.16518561760486383</v>
      </c>
      <c r="F75">
        <f>VLOOKUP($B$70,Reports,35,FALSE)</f>
        <v>0.12436855487700561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44</vt:i4>
      </vt:variant>
    </vt:vector>
  </HeadingPairs>
  <TitlesOfParts>
    <vt:vector size="63" baseType="lpstr">
      <vt:lpstr>Commentary</vt:lpstr>
      <vt:lpstr>pyUBreadings</vt:lpstr>
      <vt:lpstr>pyUBresults</vt:lpstr>
      <vt:lpstr>pyReport</vt:lpstr>
      <vt:lpstr>Old16074A</vt:lpstr>
      <vt:lpstr>Room Conditions</vt:lpstr>
      <vt:lpstr>ExcelCommentary</vt:lpstr>
      <vt:lpstr>Results</vt:lpstr>
      <vt:lpstr>Universal Bridge</vt:lpstr>
      <vt:lpstr>Uncertainty</vt:lpstr>
      <vt:lpstr>Report</vt:lpstr>
      <vt:lpstr>Conditions</vt:lpstr>
      <vt:lpstr>RoomLogger</vt:lpstr>
      <vt:lpstr>AH27000A</vt:lpstr>
      <vt:lpstr>HP 16380 history</vt:lpstr>
      <vt:lpstr>MuirheadHistory</vt:lpstr>
      <vt:lpstr>AH2700Results</vt:lpstr>
      <vt:lpstr>Range7</vt:lpstr>
      <vt:lpstr>GRhistory</vt:lpstr>
      <vt:lpstr>alpha</vt:lpstr>
      <vt:lpstr>Andeen</vt:lpstr>
      <vt:lpstr>beta</vt:lpstr>
      <vt:lpstr>C_1</vt:lpstr>
      <vt:lpstr>C_standard_uncertainty</vt:lpstr>
      <vt:lpstr>C_unit_mult</vt:lpstr>
      <vt:lpstr>correction_c</vt:lpstr>
      <vt:lpstr>corrections</vt:lpstr>
      <vt:lpstr>Data</vt:lpstr>
      <vt:lpstr>Date</vt:lpstr>
      <vt:lpstr>differentzero</vt:lpstr>
      <vt:lpstr>frequency</vt:lpstr>
      <vt:lpstr>G_1</vt:lpstr>
      <vt:lpstr>G_2</vt:lpstr>
      <vt:lpstr>G_standard_uncertainty</vt:lpstr>
      <vt:lpstr>G_unit_mult</vt:lpstr>
      <vt:lpstr>hist_16</vt:lpstr>
      <vt:lpstr>hist1074</vt:lpstr>
      <vt:lpstr>Inductance</vt:lpstr>
      <vt:lpstr>L_standard_uncertainty</vt:lpstr>
      <vt:lpstr>L_v</vt:lpstr>
      <vt:lpstr>label</vt:lpstr>
      <vt:lpstr>multiplier</vt:lpstr>
      <vt:lpstr>Old_date</vt:lpstr>
      <vt:lpstr>Old_Inductance</vt:lpstr>
      <vt:lpstr>Old_Resistance</vt:lpstr>
      <vt:lpstr>Params</vt:lpstr>
      <vt:lpstr>Report!Print_Area</vt:lpstr>
      <vt:lpstr>Uncertainty!Print_Area</vt:lpstr>
      <vt:lpstr>pyvalues</vt:lpstr>
      <vt:lpstr>R_4A</vt:lpstr>
      <vt:lpstr>R_4B</vt:lpstr>
      <vt:lpstr>R_4C</vt:lpstr>
      <vt:lpstr>R_standard_uncertainty</vt:lpstr>
      <vt:lpstr>R_v</vt:lpstr>
      <vt:lpstr>Range</vt:lpstr>
      <vt:lpstr>Rangex</vt:lpstr>
      <vt:lpstr>Record</vt:lpstr>
      <vt:lpstr>Reports</vt:lpstr>
      <vt:lpstr>Resistance</vt:lpstr>
      <vt:lpstr>Results</vt:lpstr>
      <vt:lpstr>ub_uncertainty</vt:lpstr>
      <vt:lpstr>Uncertainty</vt:lpstr>
      <vt:lpstr>zeros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Jones</dc:creator>
  <cp:lastModifiedBy>Keith Jones</cp:lastModifiedBy>
  <cp:lastPrinted>2017-12-07T04:11:06Z</cp:lastPrinted>
  <dcterms:created xsi:type="dcterms:W3CDTF">1999-09-28T04:51:25Z</dcterms:created>
  <dcterms:modified xsi:type="dcterms:W3CDTF">2020-07-29T02:33:21Z</dcterms:modified>
</cp:coreProperties>
</file>