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8_{3E7ABE5D-510A-4039-A724-CFBC42CB1865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Commentary" sheetId="12" r:id="rId1"/>
    <sheet name="pyUBreadings" sheetId="14" r:id="rId2"/>
    <sheet name="pyUBresults" sheetId="15" r:id="rId3"/>
    <sheet name="environment" sheetId="18" r:id="rId4"/>
    <sheet name="pyReport" sheetId="16" r:id="rId5"/>
    <sheet name="Results" sheetId="4" r:id="rId6"/>
    <sheet name="AH2700A results" sheetId="17" r:id="rId7"/>
    <sheet name="Room data logger" sheetId="11" r:id="rId8"/>
    <sheet name="Universal Bridge" sheetId="5" r:id="rId9"/>
    <sheet name="Uncertainty" sheetId="6" r:id="rId10"/>
    <sheet name="Report" sheetId="7" r:id="rId11"/>
    <sheet name="Historical" sheetId="13" r:id="rId12"/>
    <sheet name="Previous History" sheetId="10" r:id="rId13"/>
  </sheets>
  <externalReferences>
    <externalReference r:id="rId14"/>
  </externalReferences>
  <definedNames>
    <definedName name="alpha">Results!$D$10:$D$88</definedName>
    <definedName name="B_331">#REF!</definedName>
    <definedName name="b_331_uc">#REF!</definedName>
    <definedName name="beta">Results!$E$10:$E$88</definedName>
    <definedName name="C_1">'Universal Bridge'!$F$4</definedName>
    <definedName name="C_unit_mult">'[1]Universal Bridge'!$H$41:$I$57</definedName>
    <definedName name="correction_c">'Universal Bridge'!$G$12</definedName>
    <definedName name="corrections">'Universal Bridge'!$F$23:$H$39</definedName>
    <definedName name="Data">'Universal Bridge'!$L$2:$T$12</definedName>
    <definedName name="Date">Results!$A$8</definedName>
    <definedName name="G_1">'Universal Bridge'!$F$8</definedName>
    <definedName name="G_2">'Universal Bridge'!$F$9</definedName>
    <definedName name="G_unit_mult">'[1]Universal Bridge'!$K$41:$L$57</definedName>
    <definedName name="history">Historical!$A$99:$AG$105</definedName>
    <definedName name="Inductance">Results!$F$11:$F$30</definedName>
    <definedName name="inductor1" comment="Pasted python results with some scaling factors for report table.">pyUBresults!$A$1:$AI$23</definedName>
    <definedName name="L_standard_uncertainty">Uncertainty!$C$24</definedName>
    <definedName name="L_unit_multiplier">'Universal Bridge'!$H$41:$I$57</definedName>
    <definedName name="L_v">Uncertainty!$F$24</definedName>
    <definedName name="label">Uncertainty!$B$9</definedName>
    <definedName name="multiplier">'Universal Bridge'!$F$41:$N$55</definedName>
    <definedName name="Nominal_Value">Report!$B$8:$B$16</definedName>
    <definedName name="Old_date">Results!#REF!</definedName>
    <definedName name="Old_Inductance">Results!$N$9:$N$30</definedName>
    <definedName name="Old_Resistance">Results!$Q$9:$Q$30</definedName>
    <definedName name="Params">Uncertainty!$S$5:$AA$59</definedName>
    <definedName name="previous">Historical!$B$2:$Z$22</definedName>
    <definedName name="_xlnm.Print_Area" localSheetId="10">Report!$C$5:$J$34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unit_multiplier">'Universal Bridge'!$K$41:$L$57</definedName>
    <definedName name="R_v">Uncertainty!$F$47</definedName>
    <definedName name="Range">Results!$C$10:$C$88</definedName>
    <definedName name="Rangex">Results!$B$10:$J$88</definedName>
    <definedName name="Record">'Universal Bridge'!$A$5:$C$21</definedName>
    <definedName name="Resistance">Results!$H$11:$H$30</definedName>
    <definedName name="Results">Results!$B$9:$S$67</definedName>
    <definedName name="tag">#REF!</definedName>
    <definedName name="Tap_No">Results!#REF!</definedName>
    <definedName name="ub_uncertainty">Uncertainty!$AB$5:$AF$59</definedName>
    <definedName name="Uncertainty">Uncertainty!$T$5:$X$24</definedName>
    <definedName name="zeros">'Universal Bridge'!$O$20:$Q$42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8" l="1"/>
  <c r="C3" i="18"/>
  <c r="B3" i="18"/>
  <c r="B2" i="18"/>
  <c r="G33" i="14"/>
  <c r="G32" i="14"/>
  <c r="F32" i="17" l="1"/>
  <c r="G32" i="17"/>
  <c r="G34" i="17"/>
  <c r="G33" i="17"/>
  <c r="F34" i="17"/>
  <c r="F33" i="17"/>
  <c r="B34" i="13" l="1"/>
  <c r="X2" i="15" l="1"/>
  <c r="Y2" i="15"/>
  <c r="Z2" i="15"/>
  <c r="AB2" i="15"/>
  <c r="AC2" i="15"/>
  <c r="AD2" i="15"/>
  <c r="AF2" i="15"/>
  <c r="X3" i="15"/>
  <c r="Y3" i="15"/>
  <c r="Z3" i="15"/>
  <c r="AB3" i="15"/>
  <c r="G4" i="16" s="1"/>
  <c r="Y3" i="13" s="1"/>
  <c r="AC3" i="15"/>
  <c r="H4" i="16" s="1"/>
  <c r="Z3" i="13" s="1"/>
  <c r="AD3" i="15"/>
  <c r="I4" i="16" s="1"/>
  <c r="AF3" i="15"/>
  <c r="D4" i="16" s="1"/>
  <c r="W3" i="13" s="1"/>
  <c r="X4" i="15"/>
  <c r="Y4" i="15"/>
  <c r="Z4" i="15"/>
  <c r="AB4" i="15"/>
  <c r="G5" i="16" s="1"/>
  <c r="Y4" i="13" s="1"/>
  <c r="AC4" i="15"/>
  <c r="H5" i="16" s="1"/>
  <c r="Z4" i="13" s="1"/>
  <c r="AD4" i="15"/>
  <c r="I5" i="16" s="1"/>
  <c r="AF4" i="15"/>
  <c r="D5" i="16" s="1"/>
  <c r="W4" i="13" s="1"/>
  <c r="X5" i="15"/>
  <c r="Y5" i="15"/>
  <c r="Z5" i="15"/>
  <c r="AB5" i="15"/>
  <c r="G6" i="16" s="1"/>
  <c r="Y5" i="13" s="1"/>
  <c r="AC5" i="15"/>
  <c r="H6" i="16" s="1"/>
  <c r="Z5" i="13" s="1"/>
  <c r="AD5" i="15"/>
  <c r="I6" i="16" s="1"/>
  <c r="AF5" i="15"/>
  <c r="D6" i="16" s="1"/>
  <c r="W5" i="13" s="1"/>
  <c r="X6" i="15"/>
  <c r="Y6" i="15"/>
  <c r="Z6" i="15"/>
  <c r="AB6" i="15"/>
  <c r="G7" i="16" s="1"/>
  <c r="Y6" i="13" s="1"/>
  <c r="AC6" i="15"/>
  <c r="H7" i="16" s="1"/>
  <c r="Z6" i="13" s="1"/>
  <c r="AD6" i="15"/>
  <c r="I7" i="16" s="1"/>
  <c r="AF6" i="15"/>
  <c r="D7" i="16" s="1"/>
  <c r="W6" i="13" s="1"/>
  <c r="X7" i="15"/>
  <c r="Y7" i="15"/>
  <c r="Z7" i="15"/>
  <c r="AB7" i="15"/>
  <c r="G8" i="16" s="1"/>
  <c r="Y7" i="13" s="1"/>
  <c r="AC7" i="15"/>
  <c r="H8" i="16" s="1"/>
  <c r="Z7" i="13" s="1"/>
  <c r="AD7" i="15"/>
  <c r="I8" i="16" s="1"/>
  <c r="AF7" i="15"/>
  <c r="D8" i="16" s="1"/>
  <c r="W7" i="13" s="1"/>
  <c r="X8" i="15"/>
  <c r="Y8" i="15"/>
  <c r="Z8" i="15"/>
  <c r="AB8" i="15"/>
  <c r="G9" i="16" s="1"/>
  <c r="Y8" i="13" s="1"/>
  <c r="AC8" i="15"/>
  <c r="H9" i="16" s="1"/>
  <c r="Z8" i="13" s="1"/>
  <c r="AD8" i="15"/>
  <c r="I9" i="16" s="1"/>
  <c r="AF8" i="15"/>
  <c r="D9" i="16" s="1"/>
  <c r="W8" i="13" s="1"/>
  <c r="X9" i="15"/>
  <c r="Y9" i="15"/>
  <c r="Z9" i="15"/>
  <c r="AB9" i="15"/>
  <c r="G10" i="16" s="1"/>
  <c r="Y9" i="13" s="1"/>
  <c r="AC9" i="15"/>
  <c r="H10" i="16" s="1"/>
  <c r="Z9" i="13" s="1"/>
  <c r="AD9" i="15"/>
  <c r="I10" i="16" s="1"/>
  <c r="AF9" i="15"/>
  <c r="D10" i="16" s="1"/>
  <c r="W9" i="13" s="1"/>
  <c r="X10" i="15"/>
  <c r="Y10" i="15"/>
  <c r="Z10" i="15"/>
  <c r="AB10" i="15"/>
  <c r="G11" i="16" s="1"/>
  <c r="Y10" i="13" s="1"/>
  <c r="AC10" i="15"/>
  <c r="H11" i="16" s="1"/>
  <c r="Z10" i="13" s="1"/>
  <c r="AD10" i="15"/>
  <c r="I11" i="16" s="1"/>
  <c r="AF10" i="15"/>
  <c r="D11" i="16" s="1"/>
  <c r="W10" i="13" s="1"/>
  <c r="X11" i="15"/>
  <c r="Y11" i="15"/>
  <c r="Z11" i="15"/>
  <c r="AB11" i="15"/>
  <c r="G12" i="16" s="1"/>
  <c r="Y11" i="13" s="1"/>
  <c r="AC11" i="15"/>
  <c r="H12" i="16" s="1"/>
  <c r="Z11" i="13" s="1"/>
  <c r="AD11" i="15"/>
  <c r="I12" i="16" s="1"/>
  <c r="AF11" i="15"/>
  <c r="D12" i="16" s="1"/>
  <c r="W11" i="13" s="1"/>
  <c r="X12" i="15"/>
  <c r="Y12" i="15"/>
  <c r="Z12" i="15"/>
  <c r="AB12" i="15"/>
  <c r="G13" i="16" s="1"/>
  <c r="Y12" i="13" s="1"/>
  <c r="AC12" i="15"/>
  <c r="H13" i="16" s="1"/>
  <c r="Z12" i="13" s="1"/>
  <c r="AD12" i="15"/>
  <c r="I13" i="16" s="1"/>
  <c r="AF12" i="15"/>
  <c r="D13" i="16" s="1"/>
  <c r="W12" i="13" s="1"/>
  <c r="X13" i="15"/>
  <c r="Y13" i="15"/>
  <c r="Z13" i="15"/>
  <c r="AB13" i="15"/>
  <c r="G19" i="16" s="1"/>
  <c r="Y13" i="13" s="1"/>
  <c r="AC13" i="15"/>
  <c r="H19" i="16" s="1"/>
  <c r="Z13" i="13" s="1"/>
  <c r="AD13" i="15"/>
  <c r="I19" i="16" s="1"/>
  <c r="AF13" i="15"/>
  <c r="D19" i="16" s="1"/>
  <c r="W13" i="13" s="1"/>
  <c r="X14" i="15"/>
  <c r="Y14" i="15"/>
  <c r="Z14" i="15"/>
  <c r="AB14" i="15"/>
  <c r="G20" i="16" s="1"/>
  <c r="Y14" i="13" s="1"/>
  <c r="AC14" i="15"/>
  <c r="H20" i="16" s="1"/>
  <c r="Z14" i="13" s="1"/>
  <c r="AD14" i="15"/>
  <c r="I20" i="16" s="1"/>
  <c r="AF14" i="15"/>
  <c r="D20" i="16" s="1"/>
  <c r="W14" i="13" s="1"/>
  <c r="X15" i="15"/>
  <c r="Y15" i="15"/>
  <c r="Z15" i="15"/>
  <c r="AB15" i="15"/>
  <c r="G21" i="16" s="1"/>
  <c r="Y15" i="13" s="1"/>
  <c r="AC15" i="15"/>
  <c r="H21" i="16" s="1"/>
  <c r="Z15" i="13" s="1"/>
  <c r="AD15" i="15"/>
  <c r="I21" i="16" s="1"/>
  <c r="AF15" i="15"/>
  <c r="D21" i="16" s="1"/>
  <c r="W15" i="13" s="1"/>
  <c r="X16" i="15"/>
  <c r="Y16" i="15"/>
  <c r="Z16" i="15"/>
  <c r="AB16" i="15"/>
  <c r="G22" i="16" s="1"/>
  <c r="Y16" i="13" s="1"/>
  <c r="AC16" i="15"/>
  <c r="H22" i="16" s="1"/>
  <c r="Z16" i="13" s="1"/>
  <c r="AD16" i="15"/>
  <c r="I22" i="16" s="1"/>
  <c r="AF16" i="15"/>
  <c r="D22" i="16" s="1"/>
  <c r="W16" i="13" s="1"/>
  <c r="X17" i="15"/>
  <c r="Y17" i="15"/>
  <c r="Z17" i="15"/>
  <c r="AB17" i="15"/>
  <c r="G23" i="16" s="1"/>
  <c r="Y17" i="13" s="1"/>
  <c r="AC17" i="15"/>
  <c r="H23" i="16" s="1"/>
  <c r="Z17" i="13" s="1"/>
  <c r="AD17" i="15"/>
  <c r="I23" i="16" s="1"/>
  <c r="AF17" i="15"/>
  <c r="D23" i="16" s="1"/>
  <c r="W17" i="13" s="1"/>
  <c r="X18" i="15"/>
  <c r="Y18" i="15"/>
  <c r="Z18" i="15"/>
  <c r="AB18" i="15"/>
  <c r="G24" i="16" s="1"/>
  <c r="Y18" i="13" s="1"/>
  <c r="AC18" i="15"/>
  <c r="H24" i="16" s="1"/>
  <c r="Z18" i="13" s="1"/>
  <c r="AD18" i="15"/>
  <c r="I24" i="16" s="1"/>
  <c r="AF18" i="15"/>
  <c r="D24" i="16" s="1"/>
  <c r="W18" i="13" s="1"/>
  <c r="X19" i="15"/>
  <c r="Y19" i="15"/>
  <c r="Z19" i="15"/>
  <c r="AB19" i="15"/>
  <c r="G25" i="16" s="1"/>
  <c r="Y19" i="13" s="1"/>
  <c r="AC19" i="15"/>
  <c r="H25" i="16" s="1"/>
  <c r="Z19" i="13" s="1"/>
  <c r="AD19" i="15"/>
  <c r="I25" i="16" s="1"/>
  <c r="AF19" i="15"/>
  <c r="D25" i="16" s="1"/>
  <c r="W19" i="13" s="1"/>
  <c r="X20" i="15"/>
  <c r="Y20" i="15"/>
  <c r="Z20" i="15"/>
  <c r="AB20" i="15"/>
  <c r="G26" i="16" s="1"/>
  <c r="Y20" i="13" s="1"/>
  <c r="AC20" i="15"/>
  <c r="H26" i="16" s="1"/>
  <c r="Z20" i="13" s="1"/>
  <c r="AD20" i="15"/>
  <c r="I26" i="16" s="1"/>
  <c r="AF20" i="15"/>
  <c r="D26" i="16" s="1"/>
  <c r="W20" i="13" s="1"/>
  <c r="X21" i="15"/>
  <c r="Y21" i="15"/>
  <c r="Z21" i="15"/>
  <c r="AB21" i="15"/>
  <c r="G27" i="16" s="1"/>
  <c r="Y21" i="13" s="1"/>
  <c r="AC21" i="15"/>
  <c r="H27" i="16" s="1"/>
  <c r="Z21" i="13" s="1"/>
  <c r="AD21" i="15"/>
  <c r="I27" i="16" s="1"/>
  <c r="AF21" i="15"/>
  <c r="D27" i="16" s="1"/>
  <c r="W21" i="13" s="1"/>
  <c r="X22" i="15"/>
  <c r="Y22" i="15"/>
  <c r="Z22" i="15"/>
  <c r="AB22" i="15"/>
  <c r="G28" i="16" s="1"/>
  <c r="Y22" i="13" s="1"/>
  <c r="E34" i="13" s="1"/>
  <c r="AC22" i="15"/>
  <c r="H28" i="16" s="1"/>
  <c r="Z22" i="13" s="1"/>
  <c r="F34" i="13" s="1"/>
  <c r="AD22" i="15"/>
  <c r="I28" i="16" s="1"/>
  <c r="AF22" i="15"/>
  <c r="D28" i="16" s="1"/>
  <c r="W22" i="13" s="1"/>
  <c r="C34" i="13" s="1"/>
  <c r="X23" i="15"/>
  <c r="Y23" i="15"/>
  <c r="Z23" i="15"/>
  <c r="AB23" i="15"/>
  <c r="AC23" i="15"/>
  <c r="AD23" i="15"/>
  <c r="AF23" i="15"/>
  <c r="AI23" i="15" l="1"/>
  <c r="AH23" i="15"/>
  <c r="AG23" i="15"/>
  <c r="AI22" i="15"/>
  <c r="AH22" i="15"/>
  <c r="F28" i="16" s="1"/>
  <c r="AG22" i="15"/>
  <c r="E28" i="16" s="1"/>
  <c r="X22" i="13" s="1"/>
  <c r="D34" i="13" s="1"/>
  <c r="AI21" i="15"/>
  <c r="AH21" i="15"/>
  <c r="F27" i="16" s="1"/>
  <c r="AG21" i="15"/>
  <c r="E27" i="16" s="1"/>
  <c r="X21" i="13" s="1"/>
  <c r="AI20" i="15"/>
  <c r="AH20" i="15"/>
  <c r="F26" i="16" s="1"/>
  <c r="AG20" i="15"/>
  <c r="E26" i="16" s="1"/>
  <c r="X20" i="13" s="1"/>
  <c r="AI19" i="15"/>
  <c r="AH19" i="15"/>
  <c r="F25" i="16" s="1"/>
  <c r="AG19" i="15"/>
  <c r="E25" i="16" s="1"/>
  <c r="X19" i="13" s="1"/>
  <c r="AI18" i="15"/>
  <c r="AH18" i="15"/>
  <c r="F24" i="16" s="1"/>
  <c r="AG18" i="15"/>
  <c r="E24" i="16" s="1"/>
  <c r="X18" i="13" s="1"/>
  <c r="AI17" i="15"/>
  <c r="AH17" i="15"/>
  <c r="F23" i="16" s="1"/>
  <c r="AG17" i="15"/>
  <c r="E23" i="16" s="1"/>
  <c r="X17" i="13" s="1"/>
  <c r="AI16" i="15"/>
  <c r="AH16" i="15"/>
  <c r="F22" i="16" s="1"/>
  <c r="AG16" i="15"/>
  <c r="E22" i="16" s="1"/>
  <c r="X16" i="13" s="1"/>
  <c r="AI15" i="15"/>
  <c r="AH15" i="15"/>
  <c r="F21" i="16" s="1"/>
  <c r="AG15" i="15"/>
  <c r="E21" i="16" s="1"/>
  <c r="X15" i="13" s="1"/>
  <c r="AI14" i="15"/>
  <c r="AH14" i="15"/>
  <c r="F20" i="16" s="1"/>
  <c r="AG14" i="15"/>
  <c r="E20" i="16" s="1"/>
  <c r="X14" i="13" s="1"/>
  <c r="AI13" i="15"/>
  <c r="AH13" i="15"/>
  <c r="F19" i="16" s="1"/>
  <c r="AG13" i="15"/>
  <c r="E19" i="16" s="1"/>
  <c r="X13" i="13" s="1"/>
  <c r="AI12" i="15"/>
  <c r="AH12" i="15"/>
  <c r="F13" i="16" s="1"/>
  <c r="AG12" i="15"/>
  <c r="E13" i="16" s="1"/>
  <c r="X12" i="13" s="1"/>
  <c r="AI11" i="15"/>
  <c r="AH11" i="15"/>
  <c r="F12" i="16" s="1"/>
  <c r="AG11" i="15"/>
  <c r="E12" i="16" s="1"/>
  <c r="X11" i="13" s="1"/>
  <c r="AI10" i="15"/>
  <c r="AH10" i="15"/>
  <c r="F11" i="16" s="1"/>
  <c r="AG10" i="15"/>
  <c r="E11" i="16" s="1"/>
  <c r="X10" i="13" s="1"/>
  <c r="AI9" i="15"/>
  <c r="AH9" i="15"/>
  <c r="F10" i="16" s="1"/>
  <c r="AG9" i="15"/>
  <c r="E10" i="16" s="1"/>
  <c r="X9" i="13" s="1"/>
  <c r="AI8" i="15"/>
  <c r="AH8" i="15"/>
  <c r="F9" i="16" s="1"/>
  <c r="AG8" i="15"/>
  <c r="E9" i="16" s="1"/>
  <c r="X8" i="13" s="1"/>
  <c r="AI7" i="15"/>
  <c r="AH7" i="15"/>
  <c r="F8" i="16" s="1"/>
  <c r="AG7" i="15"/>
  <c r="E8" i="16" s="1"/>
  <c r="X7" i="13" s="1"/>
  <c r="AI6" i="15"/>
  <c r="AH6" i="15"/>
  <c r="F7" i="16" s="1"/>
  <c r="AG6" i="15"/>
  <c r="E7" i="16" s="1"/>
  <c r="X6" i="13" s="1"/>
  <c r="AI5" i="15"/>
  <c r="AH5" i="15"/>
  <c r="F6" i="16" s="1"/>
  <c r="AG5" i="15"/>
  <c r="E6" i="16" s="1"/>
  <c r="X5" i="13" s="1"/>
  <c r="AI4" i="15"/>
  <c r="AH4" i="15"/>
  <c r="F5" i="16" s="1"/>
  <c r="AG4" i="15"/>
  <c r="E5" i="16" s="1"/>
  <c r="X4" i="13" s="1"/>
  <c r="AI3" i="15"/>
  <c r="AH3" i="15"/>
  <c r="F4" i="16" s="1"/>
  <c r="AG3" i="15"/>
  <c r="E4" i="16" s="1"/>
  <c r="X3" i="13" s="1"/>
  <c r="AI2" i="15"/>
  <c r="AH2" i="15"/>
  <c r="AG2" i="15"/>
  <c r="D121" i="4" l="1"/>
  <c r="H99" i="4"/>
  <c r="E120" i="4"/>
  <c r="E121" i="4"/>
  <c r="D120" i="4"/>
  <c r="E113" i="4"/>
  <c r="E112" i="4"/>
  <c r="I99" i="4" s="1"/>
  <c r="D113" i="4"/>
  <c r="D112" i="4"/>
  <c r="E105" i="4"/>
  <c r="I98" i="4" s="1"/>
  <c r="E106" i="4"/>
  <c r="D106" i="4"/>
  <c r="D105" i="4"/>
  <c r="E98" i="4"/>
  <c r="D98" i="4"/>
  <c r="E97" i="4"/>
  <c r="I97" i="4" s="1"/>
  <c r="D97" i="4"/>
  <c r="H97" i="4" s="1"/>
  <c r="H98" i="4" l="1"/>
  <c r="C32" i="13"/>
  <c r="F31" i="13"/>
  <c r="E31" i="13"/>
  <c r="F29" i="13"/>
  <c r="E29" i="13"/>
  <c r="C14" i="13"/>
  <c r="D14" i="13"/>
  <c r="E14" i="13"/>
  <c r="F14" i="13"/>
  <c r="C15" i="13"/>
  <c r="D15" i="13"/>
  <c r="E15" i="13"/>
  <c r="F15" i="13"/>
  <c r="C16" i="13"/>
  <c r="D16" i="13"/>
  <c r="E16" i="13"/>
  <c r="F16" i="13"/>
  <c r="C17" i="13"/>
  <c r="D17" i="13"/>
  <c r="E17" i="13"/>
  <c r="F17" i="13"/>
  <c r="C18" i="13"/>
  <c r="D18" i="13"/>
  <c r="E18" i="13"/>
  <c r="F18" i="13"/>
  <c r="C19" i="13"/>
  <c r="D19" i="13"/>
  <c r="E19" i="13"/>
  <c r="F19" i="13"/>
  <c r="C20" i="13"/>
  <c r="D20" i="13"/>
  <c r="E20" i="13"/>
  <c r="F20" i="13"/>
  <c r="C21" i="13"/>
  <c r="C29" i="13" s="1"/>
  <c r="D21" i="13"/>
  <c r="D29" i="13" s="1"/>
  <c r="E21" i="13"/>
  <c r="F21" i="13"/>
  <c r="C22" i="13"/>
  <c r="D22" i="13"/>
  <c r="E22" i="13"/>
  <c r="F22" i="13"/>
  <c r="F13" i="13"/>
  <c r="E13" i="13"/>
  <c r="D13" i="13"/>
  <c r="C13" i="13"/>
  <c r="C4" i="13"/>
  <c r="D4" i="13"/>
  <c r="E4" i="13"/>
  <c r="F4" i="13"/>
  <c r="C5" i="13"/>
  <c r="D5" i="13"/>
  <c r="E5" i="13"/>
  <c r="F5" i="13"/>
  <c r="C6" i="13"/>
  <c r="D6" i="13"/>
  <c r="E6" i="13"/>
  <c r="F6" i="13"/>
  <c r="C7" i="13"/>
  <c r="D7" i="13"/>
  <c r="E7" i="13"/>
  <c r="F7" i="13"/>
  <c r="C8" i="13"/>
  <c r="D8" i="13"/>
  <c r="E8" i="13"/>
  <c r="F8" i="13"/>
  <c r="C9" i="13"/>
  <c r="D9" i="13"/>
  <c r="E9" i="13"/>
  <c r="F9" i="13"/>
  <c r="C10" i="13"/>
  <c r="D10" i="13"/>
  <c r="E10" i="13"/>
  <c r="F10" i="13"/>
  <c r="C11" i="13"/>
  <c r="D11" i="13"/>
  <c r="E11" i="13"/>
  <c r="F11" i="13"/>
  <c r="C12" i="13"/>
  <c r="D12" i="13"/>
  <c r="E12" i="13"/>
  <c r="F12" i="13"/>
  <c r="F3" i="13"/>
  <c r="E3" i="13"/>
  <c r="D3" i="13"/>
  <c r="C3" i="13"/>
  <c r="C1" i="13"/>
  <c r="G14" i="13"/>
  <c r="H14" i="13"/>
  <c r="I14" i="13"/>
  <c r="J14" i="13"/>
  <c r="G15" i="13"/>
  <c r="H15" i="13"/>
  <c r="I15" i="13"/>
  <c r="J15" i="13"/>
  <c r="G16" i="13"/>
  <c r="H16" i="13"/>
  <c r="I16" i="13"/>
  <c r="J16" i="13"/>
  <c r="G17" i="13"/>
  <c r="H17" i="13"/>
  <c r="I17" i="13"/>
  <c r="J17" i="13"/>
  <c r="G18" i="13"/>
  <c r="H18" i="13"/>
  <c r="I18" i="13"/>
  <c r="J18" i="13"/>
  <c r="G19" i="13"/>
  <c r="H19" i="13"/>
  <c r="I19" i="13"/>
  <c r="J19" i="13"/>
  <c r="G20" i="13"/>
  <c r="H20" i="13"/>
  <c r="I20" i="13"/>
  <c r="J20" i="13"/>
  <c r="G21" i="13"/>
  <c r="C30" i="13" s="1"/>
  <c r="H21" i="13"/>
  <c r="D30" i="13" s="1"/>
  <c r="I21" i="13"/>
  <c r="E30" i="13" s="1"/>
  <c r="J21" i="13"/>
  <c r="F30" i="13" s="1"/>
  <c r="G22" i="13"/>
  <c r="H22" i="13"/>
  <c r="I22" i="13"/>
  <c r="J22" i="13"/>
  <c r="J13" i="13"/>
  <c r="I13" i="13"/>
  <c r="H13" i="13"/>
  <c r="G13" i="13"/>
  <c r="G4" i="13"/>
  <c r="H4" i="13"/>
  <c r="I4" i="13"/>
  <c r="J4" i="13"/>
  <c r="G5" i="13"/>
  <c r="H5" i="13"/>
  <c r="I5" i="13"/>
  <c r="J5" i="13"/>
  <c r="G6" i="13"/>
  <c r="H6" i="13"/>
  <c r="I6" i="13"/>
  <c r="J6" i="13"/>
  <c r="G7" i="13"/>
  <c r="H7" i="13"/>
  <c r="I7" i="13"/>
  <c r="J7" i="13"/>
  <c r="G8" i="13"/>
  <c r="H8" i="13"/>
  <c r="I8" i="13"/>
  <c r="J8" i="13"/>
  <c r="G9" i="13"/>
  <c r="H9" i="13"/>
  <c r="I9" i="13"/>
  <c r="J9" i="13"/>
  <c r="G10" i="13"/>
  <c r="H10" i="13"/>
  <c r="I10" i="13"/>
  <c r="J10" i="13"/>
  <c r="G11" i="13"/>
  <c r="H11" i="13"/>
  <c r="I11" i="13"/>
  <c r="J11" i="13"/>
  <c r="G12" i="13"/>
  <c r="H12" i="13"/>
  <c r="I12" i="13"/>
  <c r="J12" i="13"/>
  <c r="J3" i="13"/>
  <c r="I3" i="13"/>
  <c r="H3" i="13"/>
  <c r="G3" i="13"/>
  <c r="G1" i="13"/>
  <c r="K1" i="13"/>
  <c r="K14" i="13"/>
  <c r="L14" i="13"/>
  <c r="M14" i="13"/>
  <c r="N14" i="13"/>
  <c r="K15" i="13"/>
  <c r="L15" i="13"/>
  <c r="M15" i="13"/>
  <c r="N15" i="13"/>
  <c r="K16" i="13"/>
  <c r="L16" i="13"/>
  <c r="M16" i="13"/>
  <c r="N16" i="13"/>
  <c r="K17" i="13"/>
  <c r="L17" i="13"/>
  <c r="M17" i="13"/>
  <c r="N17" i="13"/>
  <c r="K18" i="13"/>
  <c r="L18" i="13"/>
  <c r="M18" i="13"/>
  <c r="N18" i="13"/>
  <c r="K19" i="13"/>
  <c r="L19" i="13"/>
  <c r="M19" i="13"/>
  <c r="N19" i="13"/>
  <c r="K20" i="13"/>
  <c r="L20" i="13"/>
  <c r="M20" i="13"/>
  <c r="N20" i="13"/>
  <c r="K21" i="13"/>
  <c r="C31" i="13" s="1"/>
  <c r="L21" i="13"/>
  <c r="D31" i="13" s="1"/>
  <c r="M21" i="13"/>
  <c r="N21" i="13"/>
  <c r="K22" i="13"/>
  <c r="L22" i="13"/>
  <c r="M22" i="13"/>
  <c r="N22" i="13"/>
  <c r="N13" i="13"/>
  <c r="M13" i="13"/>
  <c r="L13" i="13"/>
  <c r="K13" i="13"/>
  <c r="K4" i="13"/>
  <c r="L4" i="13"/>
  <c r="M4" i="13"/>
  <c r="N4" i="13"/>
  <c r="K5" i="13"/>
  <c r="L5" i="13"/>
  <c r="M5" i="13"/>
  <c r="N5" i="13"/>
  <c r="K6" i="13"/>
  <c r="L6" i="13"/>
  <c r="M6" i="13"/>
  <c r="N6" i="13"/>
  <c r="K7" i="13"/>
  <c r="L7" i="13"/>
  <c r="M7" i="13"/>
  <c r="N7" i="13"/>
  <c r="K8" i="13"/>
  <c r="L8" i="13"/>
  <c r="M8" i="13"/>
  <c r="N8" i="13"/>
  <c r="K9" i="13"/>
  <c r="L9" i="13"/>
  <c r="M9" i="13"/>
  <c r="N9" i="13"/>
  <c r="K10" i="13"/>
  <c r="L10" i="13"/>
  <c r="M10" i="13"/>
  <c r="N10" i="13"/>
  <c r="K11" i="13"/>
  <c r="L11" i="13"/>
  <c r="M11" i="13"/>
  <c r="N11" i="13"/>
  <c r="K12" i="13"/>
  <c r="L12" i="13"/>
  <c r="M12" i="13"/>
  <c r="N12" i="13"/>
  <c r="N3" i="13"/>
  <c r="M3" i="13"/>
  <c r="L3" i="13"/>
  <c r="K3" i="13"/>
  <c r="O1" i="13"/>
  <c r="O3" i="13"/>
  <c r="P3" i="13"/>
  <c r="Q3" i="13"/>
  <c r="R3" i="13"/>
  <c r="O4" i="13"/>
  <c r="P4" i="13"/>
  <c r="Q4" i="13"/>
  <c r="R4" i="13"/>
  <c r="O5" i="13"/>
  <c r="P5" i="13"/>
  <c r="Q5" i="13"/>
  <c r="R5" i="13"/>
  <c r="O6" i="13"/>
  <c r="P6" i="13"/>
  <c r="Q6" i="13"/>
  <c r="R6" i="13"/>
  <c r="O7" i="13"/>
  <c r="P7" i="13"/>
  <c r="Q7" i="13"/>
  <c r="R7" i="13"/>
  <c r="O8" i="13"/>
  <c r="P8" i="13"/>
  <c r="Q8" i="13"/>
  <c r="R8" i="13"/>
  <c r="O9" i="13"/>
  <c r="P9" i="13"/>
  <c r="Q9" i="13"/>
  <c r="R9" i="13"/>
  <c r="O10" i="13"/>
  <c r="P10" i="13"/>
  <c r="Q10" i="13"/>
  <c r="R10" i="13"/>
  <c r="O11" i="13"/>
  <c r="P11" i="13"/>
  <c r="Q11" i="13"/>
  <c r="R11" i="13"/>
  <c r="O12" i="13"/>
  <c r="P12" i="13"/>
  <c r="Q12" i="13"/>
  <c r="R12" i="13"/>
  <c r="O13" i="13"/>
  <c r="P13" i="13"/>
  <c r="Q13" i="13"/>
  <c r="R13" i="13"/>
  <c r="O14" i="13"/>
  <c r="P14" i="13"/>
  <c r="Q14" i="13"/>
  <c r="R14" i="13"/>
  <c r="O15" i="13"/>
  <c r="P15" i="13"/>
  <c r="Q15" i="13"/>
  <c r="R15" i="13"/>
  <c r="O16" i="13"/>
  <c r="P16" i="13"/>
  <c r="Q16" i="13"/>
  <c r="R16" i="13"/>
  <c r="O17" i="13"/>
  <c r="P17" i="13"/>
  <c r="Q17" i="13"/>
  <c r="R17" i="13"/>
  <c r="O18" i="13"/>
  <c r="P18" i="13"/>
  <c r="Q18" i="13"/>
  <c r="R18" i="13"/>
  <c r="O19" i="13"/>
  <c r="P19" i="13"/>
  <c r="Q19" i="13"/>
  <c r="R19" i="13"/>
  <c r="O20" i="13"/>
  <c r="P20" i="13"/>
  <c r="Q20" i="13"/>
  <c r="R20" i="13"/>
  <c r="O21" i="13"/>
  <c r="P21" i="13"/>
  <c r="D32" i="13" s="1"/>
  <c r="Q21" i="13"/>
  <c r="E32" i="13" s="1"/>
  <c r="R21" i="13"/>
  <c r="F32" i="13" s="1"/>
  <c r="O22" i="13"/>
  <c r="P22" i="13"/>
  <c r="Q22" i="13"/>
  <c r="R22" i="13"/>
  <c r="S1" i="13"/>
  <c r="AO5" i="6" l="1"/>
  <c r="AO6" i="6"/>
  <c r="AO7" i="6"/>
  <c r="AO8" i="6"/>
  <c r="AO9" i="6"/>
  <c r="AO10" i="6"/>
  <c r="AO11" i="6"/>
  <c r="AO12" i="6"/>
  <c r="AO13" i="6"/>
  <c r="AO14" i="6"/>
  <c r="AO15" i="6"/>
  <c r="AO16" i="6"/>
  <c r="AO17" i="6"/>
  <c r="AO18" i="6"/>
  <c r="AO19" i="6"/>
  <c r="AO20" i="6"/>
  <c r="AO21" i="6"/>
  <c r="AO22" i="6"/>
  <c r="AO23" i="6"/>
  <c r="AO24" i="6"/>
  <c r="AO25" i="6"/>
  <c r="AO26" i="6"/>
  <c r="AO27" i="6"/>
  <c r="AO28" i="6"/>
  <c r="AO29" i="6"/>
  <c r="AO30" i="6"/>
  <c r="AO31" i="6"/>
  <c r="AO32" i="6"/>
  <c r="AO33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58" i="6"/>
  <c r="AO59" i="6"/>
  <c r="B40" i="6"/>
  <c r="B21" i="6" l="1"/>
  <c r="C21" i="6" s="1"/>
  <c r="E8" i="7"/>
  <c r="T3" i="13" s="1"/>
  <c r="E9" i="7"/>
  <c r="T4" i="13" s="1"/>
  <c r="E10" i="7"/>
  <c r="T5" i="13" s="1"/>
  <c r="E11" i="7"/>
  <c r="T6" i="13" s="1"/>
  <c r="E12" i="7"/>
  <c r="T7" i="13" s="1"/>
  <c r="E13" i="7"/>
  <c r="E14" i="7"/>
  <c r="T9" i="13" s="1"/>
  <c r="E15" i="7"/>
  <c r="T10" i="13" s="1"/>
  <c r="E16" i="7"/>
  <c r="T11" i="13" s="1"/>
  <c r="E17" i="7"/>
  <c r="T12" i="13" s="1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5" i="6"/>
  <c r="E75" i="6"/>
  <c r="B75" i="6"/>
  <c r="C75" i="6" s="1"/>
  <c r="E74" i="6"/>
  <c r="E73" i="6"/>
  <c r="E61" i="6"/>
  <c r="B61" i="6"/>
  <c r="C61" i="6" s="1"/>
  <c r="E60" i="6"/>
  <c r="AL59" i="6"/>
  <c r="AI59" i="6"/>
  <c r="AH59" i="6"/>
  <c r="AM59" i="6" s="1"/>
  <c r="E59" i="6"/>
  <c r="F59" i="6" s="1"/>
  <c r="C59" i="6"/>
  <c r="AL58" i="6"/>
  <c r="AI58" i="6"/>
  <c r="AH58" i="6"/>
  <c r="AL57" i="6"/>
  <c r="AI57" i="6"/>
  <c r="AH57" i="6"/>
  <c r="AL56" i="6"/>
  <c r="AI56" i="6"/>
  <c r="AH56" i="6"/>
  <c r="AL55" i="6"/>
  <c r="AI55" i="6"/>
  <c r="AH55" i="6"/>
  <c r="AL54" i="6"/>
  <c r="AI54" i="6"/>
  <c r="AH54" i="6"/>
  <c r="AL53" i="6"/>
  <c r="AI53" i="6"/>
  <c r="AH53" i="6"/>
  <c r="AL52" i="6"/>
  <c r="AI52" i="6"/>
  <c r="AH52" i="6"/>
  <c r="AL51" i="6"/>
  <c r="AI51" i="6"/>
  <c r="AH51" i="6"/>
  <c r="AL50" i="6"/>
  <c r="AI50" i="6"/>
  <c r="AH50" i="6"/>
  <c r="AL49" i="6"/>
  <c r="AI49" i="6"/>
  <c r="AH49" i="6"/>
  <c r="AL48" i="6"/>
  <c r="AI48" i="6"/>
  <c r="AH48" i="6"/>
  <c r="AN48" i="6" s="1"/>
  <c r="AL47" i="6"/>
  <c r="AI47" i="6"/>
  <c r="AH47" i="6"/>
  <c r="AK47" i="6" s="1"/>
  <c r="AL46" i="6"/>
  <c r="AI46" i="6"/>
  <c r="AH46" i="6"/>
  <c r="AL45" i="6"/>
  <c r="AI45" i="6"/>
  <c r="AH45" i="6"/>
  <c r="AK45" i="6" s="1"/>
  <c r="E45" i="6"/>
  <c r="F45" i="6" s="1"/>
  <c r="C45" i="6"/>
  <c r="AL44" i="6"/>
  <c r="AI44" i="6"/>
  <c r="AH44" i="6"/>
  <c r="AN44" i="6" s="1"/>
  <c r="E44" i="6"/>
  <c r="F44" i="6" s="1"/>
  <c r="C44" i="6"/>
  <c r="AL43" i="6"/>
  <c r="AI43" i="6"/>
  <c r="AH43" i="6"/>
  <c r="E43" i="6"/>
  <c r="AL42" i="6"/>
  <c r="AI42" i="6"/>
  <c r="AH42" i="6"/>
  <c r="E42" i="6"/>
  <c r="AL41" i="6"/>
  <c r="AI41" i="6"/>
  <c r="AH41" i="6"/>
  <c r="E41" i="6"/>
  <c r="AL40" i="6"/>
  <c r="AI40" i="6"/>
  <c r="AH40" i="6"/>
  <c r="E40" i="6"/>
  <c r="F40" i="6" s="1"/>
  <c r="C40" i="6"/>
  <c r="AL39" i="6"/>
  <c r="AI39" i="6"/>
  <c r="AH39" i="6"/>
  <c r="AM39" i="6" s="1"/>
  <c r="E39" i="6"/>
  <c r="AL38" i="6"/>
  <c r="AI38" i="6"/>
  <c r="AH38" i="6"/>
  <c r="AM38" i="6" s="1"/>
  <c r="E38" i="6"/>
  <c r="F38" i="6" s="1"/>
  <c r="C38" i="6"/>
  <c r="AL37" i="6"/>
  <c r="AI37" i="6"/>
  <c r="AH37" i="6"/>
  <c r="AK37" i="6" s="1"/>
  <c r="AL36" i="6"/>
  <c r="AI36" i="6"/>
  <c r="AH36" i="6"/>
  <c r="AN36" i="6" s="1"/>
  <c r="AL35" i="6"/>
  <c r="AI35" i="6"/>
  <c r="AH35" i="6"/>
  <c r="AN35" i="6" s="1"/>
  <c r="AL34" i="6"/>
  <c r="AI34" i="6"/>
  <c r="AH34" i="6"/>
  <c r="AN34" i="6" s="1"/>
  <c r="AL33" i="6"/>
  <c r="AI33" i="6"/>
  <c r="AH33" i="6"/>
  <c r="AK33" i="6" s="1"/>
  <c r="AL32" i="6"/>
  <c r="AI32" i="6"/>
  <c r="AH32" i="6"/>
  <c r="AK32" i="6" s="1"/>
  <c r="AL31" i="6"/>
  <c r="AI31" i="6"/>
  <c r="AH31" i="6"/>
  <c r="AK31" i="6" s="1"/>
  <c r="AL30" i="6"/>
  <c r="AI30" i="6"/>
  <c r="AH30" i="6"/>
  <c r="AK30" i="6" s="1"/>
  <c r="AL29" i="6"/>
  <c r="AI29" i="6"/>
  <c r="AH29" i="6"/>
  <c r="AK29" i="6" s="1"/>
  <c r="AL28" i="6"/>
  <c r="AI28" i="6"/>
  <c r="AH28" i="6"/>
  <c r="AK28" i="6" s="1"/>
  <c r="AL27" i="6"/>
  <c r="AI27" i="6"/>
  <c r="AH27" i="6"/>
  <c r="AK27" i="6" s="1"/>
  <c r="AL26" i="6"/>
  <c r="AI26" i="6"/>
  <c r="AH26" i="6"/>
  <c r="AK26" i="6" s="1"/>
  <c r="AL25" i="6"/>
  <c r="AI25" i="6"/>
  <c r="AH25" i="6"/>
  <c r="AN25" i="6" s="1"/>
  <c r="AH24" i="6"/>
  <c r="AH23" i="6"/>
  <c r="AK23" i="6" s="1"/>
  <c r="AH22" i="6"/>
  <c r="E22" i="6"/>
  <c r="F22" i="6" s="1"/>
  <c r="C22" i="6"/>
  <c r="AH21" i="6"/>
  <c r="AK21" i="6" s="1"/>
  <c r="E21" i="6"/>
  <c r="AH20" i="6"/>
  <c r="AM20" i="6" s="1"/>
  <c r="AH19" i="6"/>
  <c r="AK19" i="6" s="1"/>
  <c r="E19" i="6"/>
  <c r="AH18" i="6"/>
  <c r="AK18" i="6" s="1"/>
  <c r="E18" i="6"/>
  <c r="AH17" i="6"/>
  <c r="E17" i="6"/>
  <c r="AH16" i="6"/>
  <c r="AK16" i="6" s="1"/>
  <c r="E16" i="6"/>
  <c r="AH15" i="6"/>
  <c r="E15" i="6"/>
  <c r="F15" i="6" s="1"/>
  <c r="C15" i="6"/>
  <c r="AH14" i="6"/>
  <c r="AN14" i="6" s="1"/>
  <c r="E14" i="6"/>
  <c r="AH13" i="6"/>
  <c r="AH12" i="6"/>
  <c r="AN12" i="6" s="1"/>
  <c r="AH11" i="6"/>
  <c r="AJ11" i="6" s="1"/>
  <c r="D11" i="6"/>
  <c r="B73" i="6" s="1"/>
  <c r="AH10" i="6"/>
  <c r="AK10" i="6" s="1"/>
  <c r="AH9" i="6"/>
  <c r="AK9" i="6" s="1"/>
  <c r="AH8" i="6"/>
  <c r="AH7" i="6"/>
  <c r="AK7" i="6" s="1"/>
  <c r="AH6" i="6"/>
  <c r="AK6" i="6" s="1"/>
  <c r="AH5" i="6"/>
  <c r="AK5" i="6" s="1"/>
  <c r="T8" i="13" l="1"/>
  <c r="AM44" i="6"/>
  <c r="AJ32" i="6"/>
  <c r="AM35" i="6"/>
  <c r="AK39" i="6"/>
  <c r="AJ29" i="6"/>
  <c r="AN39" i="6"/>
  <c r="AN38" i="6"/>
  <c r="AK38" i="6"/>
  <c r="AJ59" i="6"/>
  <c r="AK12" i="6"/>
  <c r="AJ27" i="6"/>
  <c r="AN59" i="6"/>
  <c r="AM34" i="6"/>
  <c r="AJ38" i="6"/>
  <c r="AJ39" i="6"/>
  <c r="AN31" i="6"/>
  <c r="AN21" i="6"/>
  <c r="AJ21" i="6"/>
  <c r="AJ31" i="6"/>
  <c r="AN32" i="6"/>
  <c r="AK59" i="6"/>
  <c r="AM21" i="6"/>
  <c r="AN5" i="6"/>
  <c r="AJ9" i="6"/>
  <c r="AJ18" i="6"/>
  <c r="AK25" i="6"/>
  <c r="AM37" i="6"/>
  <c r="AM6" i="6"/>
  <c r="AN26" i="6"/>
  <c r="AM33" i="6"/>
  <c r="AJ6" i="6"/>
  <c r="AN6" i="6"/>
  <c r="AM12" i="6"/>
  <c r="AM25" i="6"/>
  <c r="AM32" i="6"/>
  <c r="AN33" i="6"/>
  <c r="AM36" i="6"/>
  <c r="AJ37" i="6"/>
  <c r="AN45" i="6"/>
  <c r="AJ47" i="6"/>
  <c r="AM48" i="6"/>
  <c r="AM47" i="6"/>
  <c r="AN28" i="6"/>
  <c r="AN30" i="6"/>
  <c r="AN37" i="6"/>
  <c r="AM45" i="6"/>
  <c r="AN47" i="6"/>
  <c r="AN9" i="6"/>
  <c r="AJ12" i="6"/>
  <c r="AJ19" i="6"/>
  <c r="AJ25" i="6"/>
  <c r="AJ26" i="6"/>
  <c r="AN27" i="6"/>
  <c r="AJ28" i="6"/>
  <c r="AN29" i="6"/>
  <c r="AJ30" i="6"/>
  <c r="AM31" i="6"/>
  <c r="AJ33" i="6"/>
  <c r="AJ45" i="6"/>
  <c r="B16" i="6"/>
  <c r="F16" i="6" s="1"/>
  <c r="F21" i="6"/>
  <c r="B74" i="6"/>
  <c r="C74" i="6" s="1"/>
  <c r="F73" i="6"/>
  <c r="AN19" i="6"/>
  <c r="AJ20" i="6"/>
  <c r="AN20" i="6"/>
  <c r="AJ16" i="6"/>
  <c r="AN18" i="6"/>
  <c r="AK20" i="6"/>
  <c r="AJ23" i="6"/>
  <c r="AN16" i="6"/>
  <c r="AN23" i="6"/>
  <c r="F61" i="6"/>
  <c r="AK14" i="6"/>
  <c r="AJ5" i="6"/>
  <c r="AM9" i="6"/>
  <c r="AM14" i="6"/>
  <c r="AM5" i="6"/>
  <c r="B14" i="6"/>
  <c r="C14" i="6" s="1"/>
  <c r="B18" i="6"/>
  <c r="C18" i="6" s="1"/>
  <c r="F75" i="6"/>
  <c r="AN8" i="6"/>
  <c r="AJ8" i="6"/>
  <c r="AM8" i="6"/>
  <c r="AN11" i="6"/>
  <c r="AM58" i="6"/>
  <c r="AK58" i="6"/>
  <c r="AN58" i="6"/>
  <c r="AJ58" i="6"/>
  <c r="AM7" i="6"/>
  <c r="AM24" i="6"/>
  <c r="AK24" i="6"/>
  <c r="AN24" i="6"/>
  <c r="AJ24" i="6"/>
  <c r="AM41" i="6"/>
  <c r="AK41" i="6"/>
  <c r="AN41" i="6"/>
  <c r="AJ41" i="6"/>
  <c r="AM43" i="6"/>
  <c r="AK43" i="6"/>
  <c r="AN43" i="6"/>
  <c r="AJ43" i="6"/>
  <c r="AJ7" i="6"/>
  <c r="AN7" i="6"/>
  <c r="AK8" i="6"/>
  <c r="AM13" i="6"/>
  <c r="AK13" i="6"/>
  <c r="AN13" i="6"/>
  <c r="AJ13" i="6"/>
  <c r="AM17" i="6"/>
  <c r="AK17" i="6"/>
  <c r="AN17" i="6"/>
  <c r="AJ17" i="6"/>
  <c r="AM22" i="6"/>
  <c r="AK22" i="6"/>
  <c r="AN22" i="6"/>
  <c r="AJ22" i="6"/>
  <c r="AM46" i="6"/>
  <c r="AK46" i="6"/>
  <c r="AN46" i="6"/>
  <c r="AJ46" i="6"/>
  <c r="AK11" i="6"/>
  <c r="AM11" i="6"/>
  <c r="AN10" i="6"/>
  <c r="AJ10" i="6"/>
  <c r="AM10" i="6"/>
  <c r="AM15" i="6"/>
  <c r="AK15" i="6"/>
  <c r="AN15" i="6"/>
  <c r="AJ15" i="6"/>
  <c r="AM40" i="6"/>
  <c r="AK40" i="6"/>
  <c r="AN40" i="6"/>
  <c r="AJ40" i="6"/>
  <c r="AM42" i="6"/>
  <c r="AK42" i="6"/>
  <c r="AN42" i="6"/>
  <c r="AJ42" i="6"/>
  <c r="AM49" i="6"/>
  <c r="AK49" i="6"/>
  <c r="AN49" i="6"/>
  <c r="AJ49" i="6"/>
  <c r="AM50" i="6"/>
  <c r="AK50" i="6"/>
  <c r="AN50" i="6"/>
  <c r="AJ50" i="6"/>
  <c r="AM51" i="6"/>
  <c r="AK51" i="6"/>
  <c r="AN51" i="6"/>
  <c r="AJ51" i="6"/>
  <c r="AM52" i="6"/>
  <c r="AK52" i="6"/>
  <c r="AN52" i="6"/>
  <c r="AJ52" i="6"/>
  <c r="AM53" i="6"/>
  <c r="AK53" i="6"/>
  <c r="AN53" i="6"/>
  <c r="AJ53" i="6"/>
  <c r="AM54" i="6"/>
  <c r="AK54" i="6"/>
  <c r="AN54" i="6"/>
  <c r="AJ54" i="6"/>
  <c r="AM55" i="6"/>
  <c r="AK55" i="6"/>
  <c r="AN55" i="6"/>
  <c r="AJ55" i="6"/>
  <c r="AM56" i="6"/>
  <c r="AK56" i="6"/>
  <c r="AN56" i="6"/>
  <c r="AJ56" i="6"/>
  <c r="AM57" i="6"/>
  <c r="AK57" i="6"/>
  <c r="AN57" i="6"/>
  <c r="AJ57" i="6"/>
  <c r="C73" i="6"/>
  <c r="B17" i="6"/>
  <c r="B19" i="6"/>
  <c r="AK34" i="6"/>
  <c r="AK35" i="6"/>
  <c r="AK36" i="6"/>
  <c r="AK44" i="6"/>
  <c r="AK48" i="6"/>
  <c r="AM16" i="6"/>
  <c r="AM18" i="6"/>
  <c r="AM19" i="6"/>
  <c r="AM23" i="6"/>
  <c r="AM26" i="6"/>
  <c r="AM27" i="6"/>
  <c r="AM28" i="6"/>
  <c r="AM29" i="6"/>
  <c r="AM30" i="6"/>
  <c r="B37" i="6"/>
  <c r="AJ14" i="6"/>
  <c r="AJ34" i="6"/>
  <c r="AJ35" i="6"/>
  <c r="AJ36" i="6"/>
  <c r="AJ44" i="6"/>
  <c r="AJ48" i="6"/>
  <c r="Q21" i="5"/>
  <c r="P21" i="5"/>
  <c r="X19" i="5"/>
  <c r="W19" i="5"/>
  <c r="AE12" i="5"/>
  <c r="Y12" i="5"/>
  <c r="G12" i="5"/>
  <c r="AE11" i="5"/>
  <c r="Y11" i="5"/>
  <c r="AE10" i="5"/>
  <c r="Y10" i="5"/>
  <c r="AE9" i="5"/>
  <c r="Y9" i="5"/>
  <c r="G9" i="5"/>
  <c r="F9" i="5"/>
  <c r="AE8" i="5"/>
  <c r="Y8" i="5"/>
  <c r="G8" i="5"/>
  <c r="F8" i="5"/>
  <c r="AE7" i="5"/>
  <c r="Y7" i="5"/>
  <c r="G7" i="5"/>
  <c r="F7" i="5"/>
  <c r="AE6" i="5"/>
  <c r="Y6" i="5"/>
  <c r="G6" i="5"/>
  <c r="F6" i="5"/>
  <c r="AE5" i="5"/>
  <c r="Y5" i="5"/>
  <c r="G5" i="5"/>
  <c r="F5" i="5"/>
  <c r="H36" i="5" s="1"/>
  <c r="AE4" i="5"/>
  <c r="Y4" i="5"/>
  <c r="G4" i="5"/>
  <c r="F4" i="5"/>
  <c r="G34" i="5" s="1"/>
  <c r="AE3" i="5"/>
  <c r="Y3" i="5"/>
  <c r="P3" i="5"/>
  <c r="R2" i="5"/>
  <c r="AD12" i="5" s="1"/>
  <c r="Q2" i="5"/>
  <c r="AC10" i="5" s="1"/>
  <c r="P2" i="5"/>
  <c r="AB9" i="5" s="1"/>
  <c r="O2" i="5"/>
  <c r="AA6" i="5" s="1"/>
  <c r="N2" i="5"/>
  <c r="Z12" i="5" s="1"/>
  <c r="M2" i="5"/>
  <c r="Y2" i="5" s="1"/>
  <c r="C55" i="11"/>
  <c r="E1" i="7" s="1"/>
  <c r="C56" i="11"/>
  <c r="B56" i="11"/>
  <c r="B55" i="11"/>
  <c r="E28" i="4"/>
  <c r="D23" i="4"/>
  <c r="L32" i="4"/>
  <c r="E32" i="4"/>
  <c r="Q20" i="5" s="1"/>
  <c r="D32" i="4"/>
  <c r="P20" i="5" s="1"/>
  <c r="E12" i="4"/>
  <c r="D34" i="6" s="1"/>
  <c r="B39" i="6" s="1"/>
  <c r="C39" i="6" s="1"/>
  <c r="E17" i="4"/>
  <c r="E20" i="4"/>
  <c r="F11" i="4" l="1"/>
  <c r="B42" i="6"/>
  <c r="F42" i="6" s="1"/>
  <c r="B20" i="6"/>
  <c r="AB3" i="5"/>
  <c r="B43" i="6"/>
  <c r="F43" i="6" s="1"/>
  <c r="B41" i="6"/>
  <c r="C41" i="6" s="1"/>
  <c r="F39" i="6"/>
  <c r="B60" i="6"/>
  <c r="C60" i="6" s="1"/>
  <c r="C16" i="6"/>
  <c r="F74" i="6"/>
  <c r="F18" i="6"/>
  <c r="F14" i="6"/>
  <c r="C20" i="6"/>
  <c r="F20" i="6"/>
  <c r="F37" i="6"/>
  <c r="C37" i="6"/>
  <c r="F17" i="6"/>
  <c r="C17" i="6"/>
  <c r="F19" i="6"/>
  <c r="C19" i="6"/>
  <c r="G38" i="5"/>
  <c r="G39" i="5"/>
  <c r="H39" i="5"/>
  <c r="AA2" i="5"/>
  <c r="Z2" i="5"/>
  <c r="AD2" i="5"/>
  <c r="AA3" i="5"/>
  <c r="Z4" i="5"/>
  <c r="AD4" i="5"/>
  <c r="AC5" i="5"/>
  <c r="AB6" i="5"/>
  <c r="AA7" i="5"/>
  <c r="Z8" i="5"/>
  <c r="AD8" i="5"/>
  <c r="AC9" i="5"/>
  <c r="Z10" i="5"/>
  <c r="AD10" i="5"/>
  <c r="AA11" i="5"/>
  <c r="AA12" i="5"/>
  <c r="H26" i="5"/>
  <c r="G29" i="5"/>
  <c r="H30" i="5"/>
  <c r="G33" i="5"/>
  <c r="H34" i="5"/>
  <c r="G37" i="5"/>
  <c r="H38" i="5"/>
  <c r="AA4" i="5"/>
  <c r="Z5" i="5"/>
  <c r="AD5" i="5"/>
  <c r="AC6" i="5"/>
  <c r="AB7" i="5"/>
  <c r="AA8" i="5"/>
  <c r="Z9" i="5"/>
  <c r="AD9" i="5"/>
  <c r="AA10" i="5"/>
  <c r="AB11" i="5"/>
  <c r="AB12" i="5"/>
  <c r="G28" i="5"/>
  <c r="H29" i="5"/>
  <c r="G32" i="5"/>
  <c r="H33" i="5"/>
  <c r="G36" i="5"/>
  <c r="H37" i="5"/>
  <c r="AB2" i="5"/>
  <c r="AC3" i="5"/>
  <c r="AB4" i="5"/>
  <c r="AA5" i="5"/>
  <c r="Z6" i="5"/>
  <c r="AD6" i="5"/>
  <c r="AC7" i="5"/>
  <c r="AB8" i="5"/>
  <c r="AA9" i="5"/>
  <c r="AB10" i="5"/>
  <c r="AC11" i="5"/>
  <c r="AC12" i="5"/>
  <c r="G27" i="5"/>
  <c r="H28" i="5"/>
  <c r="G31" i="5"/>
  <c r="H32" i="5"/>
  <c r="G35" i="5"/>
  <c r="AC2" i="5"/>
  <c r="Z3" i="5"/>
  <c r="AD3" i="5"/>
  <c r="AC4" i="5"/>
  <c r="AB5" i="5"/>
  <c r="Z7" i="5"/>
  <c r="AD7" i="5"/>
  <c r="AC8" i="5"/>
  <c r="Z11" i="5"/>
  <c r="AD11" i="5"/>
  <c r="G26" i="5"/>
  <c r="H27" i="5"/>
  <c r="G30" i="5"/>
  <c r="H31" i="5"/>
  <c r="H35" i="5"/>
  <c r="F60" i="6" l="1"/>
  <c r="C43" i="6"/>
  <c r="C42" i="6"/>
  <c r="F41" i="6"/>
  <c r="F46" i="6"/>
  <c r="C23" i="6"/>
  <c r="C24" i="6" s="1"/>
  <c r="B72" i="6" s="1"/>
  <c r="C46" i="6"/>
  <c r="C47" i="6" s="1"/>
  <c r="F47" i="6" s="1"/>
  <c r="F23" i="6"/>
  <c r="B58" i="6" l="1"/>
  <c r="C58" i="6" s="1"/>
  <c r="C62" i="6" s="1"/>
  <c r="C63" i="6" s="1"/>
  <c r="F24" i="6"/>
  <c r="E72" i="6" s="1"/>
  <c r="F72" i="6" s="1"/>
  <c r="F76" i="6" s="1"/>
  <c r="C72" i="6"/>
  <c r="C76" i="6" s="1"/>
  <c r="C77" i="6" s="1"/>
  <c r="E58" i="6"/>
  <c r="F48" i="6"/>
  <c r="F49" i="6" s="1"/>
  <c r="F25" i="6" l="1"/>
  <c r="F26" i="6" s="1"/>
  <c r="F58" i="6"/>
  <c r="F62" i="6" s="1"/>
  <c r="F63" i="6" s="1"/>
  <c r="F64" i="6" s="1"/>
  <c r="F77" i="6"/>
  <c r="F78" i="6" s="1"/>
  <c r="F79" i="6" s="1"/>
  <c r="F80" i="6" s="1"/>
  <c r="AC4" i="6" s="1"/>
  <c r="AD4" i="6" l="1"/>
  <c r="F65" i="6"/>
  <c r="F66" i="6" s="1"/>
  <c r="AE4" i="6" s="1"/>
  <c r="AF4" i="6"/>
  <c r="H37" i="4" l="1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12" i="4"/>
  <c r="E28" i="7"/>
  <c r="T17" i="13" s="1"/>
  <c r="E32" i="7"/>
  <c r="T21" i="13" s="1"/>
  <c r="D33" i="13" s="1"/>
  <c r="F30" i="7"/>
  <c r="F26" i="7"/>
  <c r="F25" i="7"/>
  <c r="H24" i="7"/>
  <c r="V13" i="13" s="1"/>
  <c r="I17" i="7"/>
  <c r="H17" i="7"/>
  <c r="V12" i="13" s="1"/>
  <c r="I16" i="7"/>
  <c r="H16" i="7"/>
  <c r="V11" i="13" s="1"/>
  <c r="I15" i="7"/>
  <c r="H15" i="7"/>
  <c r="V10" i="13" s="1"/>
  <c r="I14" i="7"/>
  <c r="H14" i="7"/>
  <c r="V9" i="13" s="1"/>
  <c r="I13" i="7"/>
  <c r="H13" i="7"/>
  <c r="V8" i="13" s="1"/>
  <c r="I12" i="7"/>
  <c r="H12" i="7"/>
  <c r="V7" i="13" s="1"/>
  <c r="I11" i="7"/>
  <c r="H11" i="7"/>
  <c r="V6" i="13" s="1"/>
  <c r="I10" i="7"/>
  <c r="H10" i="7"/>
  <c r="V5" i="13" s="1"/>
  <c r="I9" i="7"/>
  <c r="H9" i="7"/>
  <c r="V4" i="13" s="1"/>
  <c r="F17" i="7"/>
  <c r="F16" i="7"/>
  <c r="F15" i="7"/>
  <c r="F14" i="7"/>
  <c r="F13" i="7"/>
  <c r="F12" i="7"/>
  <c r="F11" i="7"/>
  <c r="F10" i="7"/>
  <c r="F9" i="7"/>
  <c r="I8" i="7"/>
  <c r="H8" i="7"/>
  <c r="V3" i="13" s="1"/>
  <c r="F8" i="7"/>
  <c r="H13" i="4"/>
  <c r="AL6" i="6" s="1"/>
  <c r="H14" i="4"/>
  <c r="H15" i="4"/>
  <c r="AL8" i="6" s="1"/>
  <c r="H16" i="4"/>
  <c r="H17" i="4"/>
  <c r="AL10" i="6" s="1"/>
  <c r="H18" i="4"/>
  <c r="H19" i="4"/>
  <c r="AL12" i="6" s="1"/>
  <c r="H20" i="4"/>
  <c r="H21" i="4"/>
  <c r="I88" i="4"/>
  <c r="G88" i="4"/>
  <c r="I87" i="4"/>
  <c r="G87" i="4"/>
  <c r="I86" i="4"/>
  <c r="G86" i="4"/>
  <c r="I85" i="4"/>
  <c r="G85" i="4"/>
  <c r="I84" i="4"/>
  <c r="G84" i="4"/>
  <c r="I83" i="4"/>
  <c r="G83" i="4"/>
  <c r="I82" i="4"/>
  <c r="G82" i="4"/>
  <c r="I81" i="4"/>
  <c r="G81" i="4"/>
  <c r="I80" i="4"/>
  <c r="G80" i="4"/>
  <c r="I79" i="4"/>
  <c r="G79" i="4"/>
  <c r="I78" i="4"/>
  <c r="G78" i="4"/>
  <c r="I77" i="4"/>
  <c r="G77" i="4"/>
  <c r="I76" i="4"/>
  <c r="G76" i="4"/>
  <c r="I75" i="4"/>
  <c r="G75" i="4"/>
  <c r="I74" i="4"/>
  <c r="G74" i="4"/>
  <c r="I73" i="4"/>
  <c r="G73" i="4"/>
  <c r="I72" i="4"/>
  <c r="G72" i="4"/>
  <c r="I71" i="4"/>
  <c r="G71" i="4"/>
  <c r="I70" i="4"/>
  <c r="G70" i="4"/>
  <c r="I69" i="4"/>
  <c r="G69" i="4"/>
  <c r="I68" i="4"/>
  <c r="G68" i="4"/>
  <c r="I67" i="4"/>
  <c r="H67" i="4"/>
  <c r="G67" i="4"/>
  <c r="H59" i="4"/>
  <c r="H58" i="4"/>
  <c r="H57" i="4"/>
  <c r="H56" i="4"/>
  <c r="F55" i="4"/>
  <c r="H55" i="4"/>
  <c r="H43" i="4"/>
  <c r="H11" i="4"/>
  <c r="X165" i="10"/>
  <c r="G143" i="10"/>
  <c r="G149" i="10" s="1"/>
  <c r="G154" i="10" s="1"/>
  <c r="H160" i="10" s="1"/>
  <c r="H149" i="10"/>
  <c r="H154" i="10"/>
  <c r="I149" i="10"/>
  <c r="I157" i="10" s="1"/>
  <c r="J149" i="10"/>
  <c r="J154" i="10" s="1"/>
  <c r="K149" i="10"/>
  <c r="K154" i="10" s="1"/>
  <c r="L149" i="10"/>
  <c r="L154" i="10"/>
  <c r="M149" i="10"/>
  <c r="M157" i="10" s="1"/>
  <c r="N149" i="10"/>
  <c r="N154" i="10" s="1"/>
  <c r="O149" i="10"/>
  <c r="O154" i="10" s="1"/>
  <c r="Q149" i="10"/>
  <c r="Q154" i="10"/>
  <c r="R149" i="10"/>
  <c r="R157" i="10" s="1"/>
  <c r="S149" i="10"/>
  <c r="S154" i="10" s="1"/>
  <c r="T149" i="10"/>
  <c r="T154" i="10" s="1"/>
  <c r="U149" i="10"/>
  <c r="U154" i="10"/>
  <c r="V149" i="10"/>
  <c r="V157" i="10" s="1"/>
  <c r="W149" i="10"/>
  <c r="W154" i="10" s="1"/>
  <c r="X149" i="10"/>
  <c r="X154" i="10" s="1"/>
  <c r="Y149" i="10"/>
  <c r="Y154" i="10"/>
  <c r="Z149" i="10"/>
  <c r="Z157" i="10" s="1"/>
  <c r="I150" i="10"/>
  <c r="I155" i="10" s="1"/>
  <c r="J150" i="10"/>
  <c r="J155" i="10" s="1"/>
  <c r="K150" i="10"/>
  <c r="K155" i="10"/>
  <c r="L150" i="10"/>
  <c r="L155" i="10" s="1"/>
  <c r="M150" i="10"/>
  <c r="M155" i="10" s="1"/>
  <c r="N150" i="10"/>
  <c r="N155" i="10" s="1"/>
  <c r="O150" i="10"/>
  <c r="O155" i="10"/>
  <c r="Q150" i="10"/>
  <c r="Q155" i="10" s="1"/>
  <c r="R150" i="10"/>
  <c r="R155" i="10" s="1"/>
  <c r="S150" i="10"/>
  <c r="S155" i="10" s="1"/>
  <c r="T150" i="10"/>
  <c r="T155" i="10"/>
  <c r="U150" i="10"/>
  <c r="U155" i="10" s="1"/>
  <c r="V150" i="10"/>
  <c r="V155" i="10" s="1"/>
  <c r="W150" i="10"/>
  <c r="W155" i="10" s="1"/>
  <c r="X150" i="10"/>
  <c r="X155" i="10"/>
  <c r="Y150" i="10"/>
  <c r="Y155" i="10" s="1"/>
  <c r="Z150" i="10"/>
  <c r="Z155" i="10" s="1"/>
  <c r="I151" i="10"/>
  <c r="I156" i="10" s="1"/>
  <c r="J151" i="10"/>
  <c r="J156" i="10"/>
  <c r="K151" i="10"/>
  <c r="K156" i="10" s="1"/>
  <c r="L151" i="10"/>
  <c r="L156" i="10" s="1"/>
  <c r="M151" i="10"/>
  <c r="M156" i="10" s="1"/>
  <c r="N151" i="10"/>
  <c r="N156" i="10"/>
  <c r="O151" i="10"/>
  <c r="O156" i="10" s="1"/>
  <c r="Q151" i="10"/>
  <c r="Q156" i="10" s="1"/>
  <c r="R151" i="10"/>
  <c r="R156" i="10" s="1"/>
  <c r="S151" i="10"/>
  <c r="S156" i="10"/>
  <c r="T151" i="10"/>
  <c r="T156" i="10" s="1"/>
  <c r="U151" i="10"/>
  <c r="U156" i="10" s="1"/>
  <c r="V151" i="10"/>
  <c r="V156" i="10" s="1"/>
  <c r="W151" i="10"/>
  <c r="W156" i="10"/>
  <c r="X151" i="10"/>
  <c r="X156" i="10" s="1"/>
  <c r="Y151" i="10"/>
  <c r="Y156" i="10" s="1"/>
  <c r="Z151" i="10"/>
  <c r="Z156" i="10" s="1"/>
  <c r="I152" i="10"/>
  <c r="J152" i="10"/>
  <c r="J157" i="10" s="1"/>
  <c r="K152" i="10"/>
  <c r="K157" i="10" s="1"/>
  <c r="L152" i="10"/>
  <c r="L157" i="10" s="1"/>
  <c r="M152" i="10"/>
  <c r="N152" i="10"/>
  <c r="N157" i="10" s="1"/>
  <c r="O152" i="10"/>
  <c r="O157" i="10" s="1"/>
  <c r="Q152" i="10"/>
  <c r="Q157" i="10" s="1"/>
  <c r="R152" i="10"/>
  <c r="S152" i="10"/>
  <c r="S157" i="10" s="1"/>
  <c r="T152" i="10"/>
  <c r="T157" i="10" s="1"/>
  <c r="U152" i="10"/>
  <c r="U157" i="10" s="1"/>
  <c r="V152" i="10"/>
  <c r="W152" i="10"/>
  <c r="W157" i="10" s="1"/>
  <c r="X152" i="10"/>
  <c r="X157" i="10" s="1"/>
  <c r="Y152" i="10"/>
  <c r="Y157" i="10" s="1"/>
  <c r="Z152" i="10"/>
  <c r="H151" i="10"/>
  <c r="H156" i="10" s="1"/>
  <c r="H152" i="10"/>
  <c r="H157" i="10" s="1"/>
  <c r="H150" i="10"/>
  <c r="H155" i="10" s="1"/>
  <c r="G145" i="10"/>
  <c r="G151" i="10"/>
  <c r="G156" i="10" s="1"/>
  <c r="G152" i="10"/>
  <c r="G157" i="10" s="1"/>
  <c r="G144" i="10"/>
  <c r="G150" i="10"/>
  <c r="G155" i="10" s="1"/>
  <c r="G142" i="10"/>
  <c r="G141" i="10"/>
  <c r="E139" i="10"/>
  <c r="D139" i="10"/>
  <c r="V82" i="10"/>
  <c r="U82" i="10"/>
  <c r="E138" i="10"/>
  <c r="D138" i="10"/>
  <c r="V81" i="10"/>
  <c r="U81" i="10"/>
  <c r="E137" i="10"/>
  <c r="D137" i="10"/>
  <c r="V80" i="10"/>
  <c r="U80" i="10"/>
  <c r="E136" i="10"/>
  <c r="D136" i="10"/>
  <c r="V79" i="10"/>
  <c r="U79" i="10"/>
  <c r="E135" i="10"/>
  <c r="D135" i="10"/>
  <c r="V78" i="10"/>
  <c r="U78" i="10"/>
  <c r="E134" i="10"/>
  <c r="D134" i="10"/>
  <c r="V77" i="10"/>
  <c r="U77" i="10"/>
  <c r="E133" i="10"/>
  <c r="D133" i="10"/>
  <c r="V76" i="10"/>
  <c r="U76" i="10"/>
  <c r="E132" i="10"/>
  <c r="D132" i="10"/>
  <c r="V75" i="10"/>
  <c r="U75" i="10"/>
  <c r="E131" i="10"/>
  <c r="D131" i="10"/>
  <c r="V74" i="10"/>
  <c r="U74" i="10"/>
  <c r="E130" i="10"/>
  <c r="D130" i="10"/>
  <c r="V73" i="10"/>
  <c r="U73" i="10"/>
  <c r="E129" i="10"/>
  <c r="D129" i="10"/>
  <c r="V69" i="10"/>
  <c r="U69" i="10"/>
  <c r="E126" i="10"/>
  <c r="D126" i="10"/>
  <c r="V68" i="10"/>
  <c r="U68" i="10"/>
  <c r="E125" i="10"/>
  <c r="D125" i="10"/>
  <c r="V67" i="10"/>
  <c r="U67" i="10"/>
  <c r="E124" i="10"/>
  <c r="D124" i="10"/>
  <c r="V66" i="10"/>
  <c r="U66" i="10"/>
  <c r="E123" i="10"/>
  <c r="D123" i="10"/>
  <c r="V65" i="10"/>
  <c r="U65" i="10"/>
  <c r="E122" i="10"/>
  <c r="D122" i="10"/>
  <c r="V64" i="10"/>
  <c r="U64" i="10"/>
  <c r="E121" i="10"/>
  <c r="D121" i="10"/>
  <c r="V63" i="10"/>
  <c r="U63" i="10"/>
  <c r="E120" i="10"/>
  <c r="D120" i="10"/>
  <c r="V62" i="10"/>
  <c r="U62" i="10"/>
  <c r="E119" i="10"/>
  <c r="D119" i="10"/>
  <c r="V61" i="10"/>
  <c r="U61" i="10"/>
  <c r="E118" i="10"/>
  <c r="D118" i="10"/>
  <c r="V60" i="10"/>
  <c r="U60" i="10"/>
  <c r="E117" i="10"/>
  <c r="D117" i="10"/>
  <c r="E116" i="10"/>
  <c r="D116" i="10"/>
  <c r="I21" i="4"/>
  <c r="G21" i="4"/>
  <c r="G11" i="4"/>
  <c r="I11" i="4"/>
  <c r="G12" i="4"/>
  <c r="G80" i="6" s="1"/>
  <c r="I12" i="4"/>
  <c r="G66" i="6" s="1"/>
  <c r="G13" i="4"/>
  <c r="I13" i="4"/>
  <c r="G14" i="4"/>
  <c r="I14" i="4"/>
  <c r="G15" i="4"/>
  <c r="I15" i="4"/>
  <c r="G16" i="4"/>
  <c r="I16" i="4"/>
  <c r="G17" i="4"/>
  <c r="I17" i="4"/>
  <c r="G18" i="4"/>
  <c r="I18" i="4"/>
  <c r="G19" i="4"/>
  <c r="I19" i="4"/>
  <c r="G20" i="4"/>
  <c r="I20" i="4"/>
  <c r="G22" i="4"/>
  <c r="I22" i="4"/>
  <c r="G23" i="4"/>
  <c r="I23" i="4"/>
  <c r="G24" i="4"/>
  <c r="I24" i="4"/>
  <c r="G25" i="4"/>
  <c r="I25" i="4"/>
  <c r="G26" i="4"/>
  <c r="I26" i="4"/>
  <c r="G27" i="4"/>
  <c r="I27" i="4"/>
  <c r="G28" i="4"/>
  <c r="I28" i="4"/>
  <c r="G29" i="4"/>
  <c r="I29" i="4"/>
  <c r="G30" i="4"/>
  <c r="I30" i="4"/>
  <c r="G31" i="4"/>
  <c r="I31" i="4"/>
  <c r="G32" i="4"/>
  <c r="I32" i="4"/>
  <c r="G33" i="4"/>
  <c r="I33" i="4"/>
  <c r="G34" i="4"/>
  <c r="I34" i="4"/>
  <c r="G35" i="4"/>
  <c r="I35" i="4"/>
  <c r="G36" i="4"/>
  <c r="I36" i="4"/>
  <c r="G37" i="4"/>
  <c r="I37" i="4"/>
  <c r="G38" i="4"/>
  <c r="I38" i="4"/>
  <c r="G39" i="4"/>
  <c r="I39" i="4"/>
  <c r="G40" i="4"/>
  <c r="I40" i="4"/>
  <c r="G41" i="4"/>
  <c r="I41" i="4"/>
  <c r="G42" i="4"/>
  <c r="I42" i="4"/>
  <c r="G43" i="4"/>
  <c r="I43" i="4"/>
  <c r="G44" i="4"/>
  <c r="I44" i="4"/>
  <c r="G45" i="4"/>
  <c r="I45" i="4"/>
  <c r="G46" i="4"/>
  <c r="I46" i="4"/>
  <c r="G47" i="4"/>
  <c r="I47" i="4"/>
  <c r="G48" i="4"/>
  <c r="I48" i="4"/>
  <c r="G49" i="4"/>
  <c r="I49" i="4"/>
  <c r="G50" i="4"/>
  <c r="I50" i="4"/>
  <c r="G51" i="4"/>
  <c r="I51" i="4"/>
  <c r="G52" i="4"/>
  <c r="I52" i="4"/>
  <c r="G53" i="4"/>
  <c r="I53" i="4"/>
  <c r="G54" i="4"/>
  <c r="I54" i="4"/>
  <c r="G55" i="4"/>
  <c r="I55" i="4"/>
  <c r="G56" i="4"/>
  <c r="I56" i="4"/>
  <c r="G57" i="4"/>
  <c r="I57" i="4"/>
  <c r="G58" i="4"/>
  <c r="I58" i="4"/>
  <c r="G59" i="4"/>
  <c r="I59" i="4"/>
  <c r="G60" i="4"/>
  <c r="I60" i="4"/>
  <c r="G61" i="4"/>
  <c r="I61" i="4"/>
  <c r="G62" i="4"/>
  <c r="I62" i="4"/>
  <c r="G63" i="4"/>
  <c r="I63" i="4"/>
  <c r="G64" i="4"/>
  <c r="I64" i="4"/>
  <c r="G65" i="4"/>
  <c r="I65" i="4"/>
  <c r="G66" i="4"/>
  <c r="I66" i="4"/>
  <c r="F66" i="4"/>
  <c r="F65" i="4"/>
  <c r="F64" i="4"/>
  <c r="Z154" i="10" l="1"/>
  <c r="V154" i="10"/>
  <c r="R154" i="10"/>
  <c r="M154" i="10"/>
  <c r="I154" i="10"/>
  <c r="H3" i="7"/>
  <c r="E2" i="7" s="1"/>
  <c r="G14" i="7"/>
  <c r="U9" i="13" s="1"/>
  <c r="AL11" i="6"/>
  <c r="G10" i="7"/>
  <c r="U5" i="13" s="1"/>
  <c r="AL7" i="6"/>
  <c r="G17" i="7"/>
  <c r="U12" i="13" s="1"/>
  <c r="AL14" i="6"/>
  <c r="G16" i="7"/>
  <c r="U11" i="13" s="1"/>
  <c r="AL13" i="6"/>
  <c r="G12" i="7"/>
  <c r="U7" i="13" s="1"/>
  <c r="AL9" i="6"/>
  <c r="G13" i="7"/>
  <c r="U8" i="13" s="1"/>
  <c r="G11" i="7"/>
  <c r="U6" i="13" s="1"/>
  <c r="G15" i="7"/>
  <c r="U10" i="13" s="1"/>
  <c r="G9" i="7"/>
  <c r="U4" i="13" s="1"/>
  <c r="F84" i="4"/>
  <c r="F29" i="7"/>
  <c r="F27" i="7"/>
  <c r="F80" i="4"/>
  <c r="F50" i="4"/>
  <c r="F82" i="4"/>
  <c r="F24" i="4"/>
  <c r="AI17" i="6" s="1"/>
  <c r="F81" i="4"/>
  <c r="F23" i="4"/>
  <c r="AI16" i="6" s="1"/>
  <c r="F26" i="4"/>
  <c r="H42" i="4"/>
  <c r="H76" i="4"/>
  <c r="H38" i="4"/>
  <c r="H72" i="4"/>
  <c r="H34" i="4"/>
  <c r="H68" i="4"/>
  <c r="H77" i="4"/>
  <c r="H39" i="4"/>
  <c r="H73" i="4"/>
  <c r="H35" i="4"/>
  <c r="H69" i="4"/>
  <c r="H74" i="4"/>
  <c r="H36" i="4"/>
  <c r="H70" i="4"/>
  <c r="H12" i="4"/>
  <c r="AL5" i="6" s="1"/>
  <c r="H41" i="4"/>
  <c r="H71" i="4"/>
  <c r="H75" i="4"/>
  <c r="H33" i="4"/>
  <c r="E27" i="7"/>
  <c r="T16" i="13" s="1"/>
  <c r="E31" i="7"/>
  <c r="T20" i="13" s="1"/>
  <c r="E24" i="7"/>
  <c r="T13" i="13" s="1"/>
  <c r="H33" i="7"/>
  <c r="V22" i="13" s="1"/>
  <c r="H32" i="7"/>
  <c r="V21" i="13" s="1"/>
  <c r="F33" i="13" s="1"/>
  <c r="H31" i="7"/>
  <c r="V20" i="13" s="1"/>
  <c r="H30" i="7"/>
  <c r="V19" i="13" s="1"/>
  <c r="H29" i="7"/>
  <c r="V18" i="13" s="1"/>
  <c r="H28" i="7"/>
  <c r="V17" i="13" s="1"/>
  <c r="H27" i="7"/>
  <c r="V16" i="13" s="1"/>
  <c r="H26" i="7"/>
  <c r="V15" i="13" s="1"/>
  <c r="H25" i="7"/>
  <c r="V14" i="13" s="1"/>
  <c r="F31" i="7"/>
  <c r="E26" i="7"/>
  <c r="T15" i="13" s="1"/>
  <c r="E30" i="7"/>
  <c r="T19" i="13" s="1"/>
  <c r="F32" i="7"/>
  <c r="F28" i="7"/>
  <c r="I24" i="7"/>
  <c r="F24" i="7"/>
  <c r="E25" i="7"/>
  <c r="T14" i="13" s="1"/>
  <c r="E29" i="7"/>
  <c r="T18" i="13" s="1"/>
  <c r="E33" i="7"/>
  <c r="T22" i="13" s="1"/>
  <c r="I33" i="7"/>
  <c r="I32" i="7"/>
  <c r="I31" i="7"/>
  <c r="I30" i="7"/>
  <c r="I29" i="7"/>
  <c r="I28" i="7"/>
  <c r="I27" i="7"/>
  <c r="I26" i="7"/>
  <c r="I25" i="7"/>
  <c r="F33" i="7"/>
  <c r="H40" i="4"/>
  <c r="H87" i="4"/>
  <c r="F36" i="4"/>
  <c r="F38" i="4"/>
  <c r="F34" i="4"/>
  <c r="H53" i="4"/>
  <c r="AI19" i="6" l="1"/>
  <c r="J99" i="4"/>
  <c r="F47" i="4"/>
  <c r="F62" i="4"/>
  <c r="F60" i="4"/>
  <c r="F88" i="4"/>
  <c r="F63" i="4"/>
  <c r="F61" i="4"/>
  <c r="F45" i="4"/>
  <c r="F32" i="4"/>
  <c r="F44" i="4"/>
  <c r="F51" i="4"/>
  <c r="F52" i="4"/>
  <c r="F79" i="4"/>
  <c r="F53" i="4"/>
  <c r="F29" i="4"/>
  <c r="AI22" i="6" s="1"/>
  <c r="F46" i="4"/>
  <c r="F87" i="4"/>
  <c r="F30" i="4"/>
  <c r="AI23" i="6" s="1"/>
  <c r="D28" i="7"/>
  <c r="S17" i="13" s="1"/>
  <c r="D25" i="7"/>
  <c r="S14" i="13" s="1"/>
  <c r="D26" i="7"/>
  <c r="S15" i="13" s="1"/>
  <c r="H29" i="4"/>
  <c r="AL22" i="6" s="1"/>
  <c r="AS22" i="6" s="1"/>
  <c r="AT22" i="6" s="1"/>
  <c r="F40" i="4"/>
  <c r="F35" i="4"/>
  <c r="F39" i="4"/>
  <c r="F33" i="4"/>
  <c r="F42" i="4"/>
  <c r="F72" i="4"/>
  <c r="F76" i="4"/>
  <c r="F71" i="4"/>
  <c r="F75" i="4"/>
  <c r="F12" i="4"/>
  <c r="AI5" i="6" s="1"/>
  <c r="AQ5" i="6" s="1"/>
  <c r="AR5" i="6" s="1"/>
  <c r="F41" i="4"/>
  <c r="F70" i="4"/>
  <c r="F74" i="4"/>
  <c r="F68" i="4"/>
  <c r="F69" i="4"/>
  <c r="F14" i="4"/>
  <c r="AI7" i="6" s="1"/>
  <c r="AQ7" i="6" s="1"/>
  <c r="AR7" i="6" s="1"/>
  <c r="F18" i="4"/>
  <c r="AI11" i="6" s="1"/>
  <c r="AQ11" i="6" s="1"/>
  <c r="AR11" i="6" s="1"/>
  <c r="F77" i="4"/>
  <c r="F16" i="4"/>
  <c r="AI9" i="6" s="1"/>
  <c r="AQ9" i="6" s="1"/>
  <c r="AR9" i="6" s="1"/>
  <c r="F20" i="4"/>
  <c r="AI13" i="6" s="1"/>
  <c r="AQ13" i="6" s="1"/>
  <c r="AR13" i="6" s="1"/>
  <c r="F17" i="4"/>
  <c r="AI10" i="6" s="1"/>
  <c r="F58" i="4"/>
  <c r="F56" i="4"/>
  <c r="F13" i="4"/>
  <c r="AI6" i="6" s="1"/>
  <c r="F21" i="4"/>
  <c r="AI14" i="6" s="1"/>
  <c r="AQ14" i="6" s="1"/>
  <c r="AR14" i="6" s="1"/>
  <c r="F67" i="4"/>
  <c r="F59" i="4"/>
  <c r="F57" i="4"/>
  <c r="F15" i="4"/>
  <c r="AI8" i="6" s="1"/>
  <c r="F37" i="4"/>
  <c r="F73" i="4"/>
  <c r="F19" i="4"/>
  <c r="AI12" i="6" s="1"/>
  <c r="F43" i="4"/>
  <c r="F31" i="4"/>
  <c r="AI24" i="6" s="1"/>
  <c r="F48" i="4"/>
  <c r="F22" i="4"/>
  <c r="AI15" i="6" s="1"/>
  <c r="F49" i="4"/>
  <c r="F25" i="4"/>
  <c r="AI18" i="6" s="1"/>
  <c r="F78" i="4"/>
  <c r="H65" i="4"/>
  <c r="H66" i="4"/>
  <c r="H64" i="4"/>
  <c r="H31" i="4"/>
  <c r="AL24" i="6" s="1"/>
  <c r="AS24" i="6" s="1"/>
  <c r="AT24" i="6" s="1"/>
  <c r="H85" i="4"/>
  <c r="H51" i="4"/>
  <c r="H27" i="4"/>
  <c r="H81" i="4"/>
  <c r="H47" i="4"/>
  <c r="H23" i="4"/>
  <c r="AL16" i="6" s="1"/>
  <c r="AS16" i="6" s="1"/>
  <c r="AT16" i="6" s="1"/>
  <c r="H54" i="4"/>
  <c r="H30" i="4"/>
  <c r="AL23" i="6" s="1"/>
  <c r="AS23" i="6" s="1"/>
  <c r="AT23" i="6" s="1"/>
  <c r="H84" i="4"/>
  <c r="H50" i="4"/>
  <c r="H26" i="4"/>
  <c r="H80" i="4"/>
  <c r="H46" i="4"/>
  <c r="H22" i="4"/>
  <c r="AL15" i="6" s="1"/>
  <c r="AS15" i="6" s="1"/>
  <c r="AT15" i="6" s="1"/>
  <c r="H83" i="4"/>
  <c r="H49" i="4"/>
  <c r="H25" i="4"/>
  <c r="AL18" i="6" s="1"/>
  <c r="AS18" i="6" s="1"/>
  <c r="AT18" i="6" s="1"/>
  <c r="H79" i="4"/>
  <c r="H45" i="4"/>
  <c r="H86" i="4"/>
  <c r="H48" i="4"/>
  <c r="H82" i="4"/>
  <c r="H28" i="4"/>
  <c r="H78" i="4"/>
  <c r="H24" i="4"/>
  <c r="AL17" i="6" s="1"/>
  <c r="AS17" i="6" s="1"/>
  <c r="AT17" i="6" s="1"/>
  <c r="H88" i="4"/>
  <c r="H44" i="4"/>
  <c r="H62" i="4"/>
  <c r="H52" i="4"/>
  <c r="H61" i="4"/>
  <c r="H60" i="4"/>
  <c r="H32" i="4"/>
  <c r="H63" i="4"/>
  <c r="G8" i="7"/>
  <c r="U3" i="13" s="1"/>
  <c r="F27" i="4"/>
  <c r="F85" i="4"/>
  <c r="F28" i="4"/>
  <c r="F86" i="4"/>
  <c r="F54" i="4"/>
  <c r="F83" i="4"/>
  <c r="AQ22" i="6" l="1"/>
  <c r="AR22" i="6" s="1"/>
  <c r="AS13" i="6"/>
  <c r="AT13" i="6" s="1"/>
  <c r="AQ6" i="6"/>
  <c r="AR6" i="6" s="1"/>
  <c r="AS6" i="6"/>
  <c r="AT6" i="6" s="1"/>
  <c r="AL19" i="6"/>
  <c r="AS19" i="6" s="1"/>
  <c r="AT19" i="6" s="1"/>
  <c r="K99" i="4"/>
  <c r="AL20" i="6"/>
  <c r="K98" i="4"/>
  <c r="AQ18" i="6"/>
  <c r="AR18" i="6" s="1"/>
  <c r="AS7" i="6"/>
  <c r="AT7" i="6" s="1"/>
  <c r="AI21" i="6"/>
  <c r="J97" i="4"/>
  <c r="J101" i="4" s="1"/>
  <c r="AQ12" i="6"/>
  <c r="AR12" i="6" s="1"/>
  <c r="AS12" i="6"/>
  <c r="AT12" i="6" s="1"/>
  <c r="AI20" i="6"/>
  <c r="AQ20" i="6" s="1"/>
  <c r="AR20" i="6" s="1"/>
  <c r="J98" i="4"/>
  <c r="AQ8" i="6"/>
  <c r="AR8" i="6" s="1"/>
  <c r="AS8" i="6"/>
  <c r="AT8" i="6" s="1"/>
  <c r="AQ10" i="6"/>
  <c r="AR10" i="6" s="1"/>
  <c r="AS10" i="6"/>
  <c r="AT10" i="6" s="1"/>
  <c r="AS11" i="6"/>
  <c r="AT11" i="6" s="1"/>
  <c r="AQ15" i="6"/>
  <c r="AR15" i="6" s="1"/>
  <c r="AQ23" i="6"/>
  <c r="AR23" i="6" s="1"/>
  <c r="AS9" i="6"/>
  <c r="AT9" i="6" s="1"/>
  <c r="AQ16" i="6"/>
  <c r="AR16" i="6" s="1"/>
  <c r="AQ17" i="6"/>
  <c r="AR17" i="6" s="1"/>
  <c r="AL21" i="6"/>
  <c r="AS21" i="6" s="1"/>
  <c r="AT21" i="6" s="1"/>
  <c r="K97" i="4"/>
  <c r="AQ24" i="6"/>
  <c r="AR24" i="6" s="1"/>
  <c r="AS5" i="6"/>
  <c r="AT5" i="6" s="1"/>
  <c r="AS14" i="6"/>
  <c r="AT14" i="6" s="1"/>
  <c r="D10" i="7"/>
  <c r="S5" i="13" s="1"/>
  <c r="G24" i="7"/>
  <c r="U13" i="13" s="1"/>
  <c r="G25" i="7"/>
  <c r="U14" i="13" s="1"/>
  <c r="D12" i="7"/>
  <c r="S7" i="13" s="1"/>
  <c r="D32" i="7"/>
  <c r="S21" i="13" s="1"/>
  <c r="C33" i="13" s="1"/>
  <c r="D29" i="7"/>
  <c r="S18" i="13" s="1"/>
  <c r="G30" i="7"/>
  <c r="U19" i="13" s="1"/>
  <c r="G28" i="7"/>
  <c r="U17" i="13" s="1"/>
  <c r="G29" i="7"/>
  <c r="U18" i="13" s="1"/>
  <c r="D33" i="7"/>
  <c r="S22" i="13" s="1"/>
  <c r="D16" i="7"/>
  <c r="S11" i="13" s="1"/>
  <c r="D31" i="7"/>
  <c r="S20" i="13" s="1"/>
  <c r="D30" i="7"/>
  <c r="S19" i="13" s="1"/>
  <c r="G26" i="7"/>
  <c r="U15" i="13" s="1"/>
  <c r="G27" i="7"/>
  <c r="U16" i="13" s="1"/>
  <c r="D24" i="7"/>
  <c r="S13" i="13" s="1"/>
  <c r="D8" i="7"/>
  <c r="S3" i="13" s="1"/>
  <c r="G31" i="7"/>
  <c r="U20" i="13" s="1"/>
  <c r="D27" i="7"/>
  <c r="S16" i="13" s="1"/>
  <c r="D9" i="7"/>
  <c r="S4" i="13" s="1"/>
  <c r="G32" i="7"/>
  <c r="U21" i="13" s="1"/>
  <c r="E33" i="13" s="1"/>
  <c r="G33" i="7"/>
  <c r="U22" i="13" s="1"/>
  <c r="D15" i="7"/>
  <c r="S10" i="13" s="1"/>
  <c r="D11" i="7"/>
  <c r="S6" i="13" s="1"/>
  <c r="D17" i="7"/>
  <c r="S12" i="13" s="1"/>
  <c r="D13" i="7"/>
  <c r="D14" i="7"/>
  <c r="S9" i="13" s="1"/>
  <c r="K101" i="4" l="1"/>
  <c r="AQ19" i="6"/>
  <c r="AR19" i="6" s="1"/>
  <c r="AS20" i="6"/>
  <c r="AT20" i="6" s="1"/>
  <c r="AQ21" i="6"/>
  <c r="AR21" i="6" s="1"/>
  <c r="S8" i="13"/>
  <c r="I106" i="4"/>
  <c r="J102" i="4"/>
  <c r="K10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Corney</author>
    <author>k.jones</author>
  </authors>
  <commentList>
    <comment ref="M9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 xr:uid="{00000000-0006-0000-03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 xr:uid="{00000000-0006-0000-03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k.jones</author>
  </authors>
  <commentList>
    <comment ref="B40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Modified as for L in keeping with CMCs</t>
        </r>
      </text>
    </comment>
    <comment ref="B73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</commentList>
</comments>
</file>

<file path=xl/sharedStrings.xml><?xml version="1.0" encoding="utf-8"?>
<sst xmlns="http://schemas.openxmlformats.org/spreadsheetml/2006/main" count="1239" uniqueCount="407">
  <si>
    <t>C</t>
  </si>
  <si>
    <t>nS</t>
  </si>
  <si>
    <t>UNCERTAINTY</t>
  </si>
  <si>
    <t>Information for calculating expanded uncertainties</t>
  </si>
  <si>
    <t>k-factor from degrees of freedom</t>
  </si>
  <si>
    <t>a</t>
  </si>
  <si>
    <t>b</t>
  </si>
  <si>
    <t xml:space="preserve">The 95% level of confidence expanded uncertainties are calculated using the Welch-Satterthwaite </t>
  </si>
  <si>
    <t>c</t>
  </si>
  <si>
    <t xml:space="preserve">formula to combine standard uncertainties.   The individual degrees of freedom are derived either </t>
  </si>
  <si>
    <t>d</t>
  </si>
  <si>
    <t>Label</t>
  </si>
  <si>
    <t>k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</si>
  <si>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</si>
  <si>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</si>
  <si>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</si>
  <si>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</si>
  <si>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Source of uncertainty</t>
  </si>
  <si>
    <t>Uncertainties</t>
  </si>
  <si>
    <t xml:space="preserve">Degrees of </t>
  </si>
  <si>
    <t>Variances</t>
  </si>
  <si>
    <t>% Accuracy</t>
  </si>
  <si>
    <t>Freedom, v</t>
  </si>
  <si>
    <t>u^4/v</t>
  </si>
  <si>
    <t>Sum of variance</t>
  </si>
  <si>
    <t>Sum of u^4/v</t>
  </si>
  <si>
    <t>effective v</t>
  </si>
  <si>
    <t>Results Using Universal Bridge</t>
  </si>
  <si>
    <t>Dial</t>
  </si>
  <si>
    <t>Range</t>
  </si>
  <si>
    <t>6Y</t>
  </si>
  <si>
    <t>A</t>
  </si>
  <si>
    <t>A0</t>
  </si>
  <si>
    <t>3Y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</si>
  <si>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</si>
  <si>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</si>
  <si>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</si>
  <si>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</si>
  <si>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</si>
  <si>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</si>
  <si>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</si>
  <si>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</si>
  <si>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</si>
  <si>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</si>
  <si>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</si>
  <si>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</si>
  <si>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</si>
  <si>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</si>
  <si>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</si>
  <si>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</si>
  <si>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</si>
  <si>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</si>
  <si>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</si>
  <si>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</si>
  <si>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</si>
  <si>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B0</t>
  </si>
  <si>
    <t>C1</t>
  </si>
  <si>
    <t>5Y</t>
  </si>
  <si>
    <t>D</t>
  </si>
  <si>
    <t>E</t>
  </si>
  <si>
    <t>7Y</t>
  </si>
  <si>
    <t>This table is the usual form for calculating spreadsheet corrections</t>
  </si>
  <si>
    <t>Date</t>
  </si>
  <si>
    <t>R4A</t>
  </si>
  <si>
    <t>R4B</t>
  </si>
  <si>
    <t>R4C</t>
  </si>
  <si>
    <t>G1</t>
  </si>
  <si>
    <t>G2</t>
  </si>
  <si>
    <t xml:space="preserve">Component </t>
  </si>
  <si>
    <t>Value</t>
  </si>
  <si>
    <t>1.6 kHz</t>
  </si>
  <si>
    <t>&lt;10</t>
  </si>
  <si>
    <t>except for range  4, up to 44?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</si>
  <si>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</si>
  <si>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</si>
  <si>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</si>
  <si>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</si>
  <si>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</si>
  <si>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</si>
  <si>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</si>
  <si>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</si>
  <si>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</si>
  <si>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</si>
  <si>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</si>
  <si>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</si>
  <si>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</si>
  <si>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</si>
  <si>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</si>
  <si>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</si>
  <si>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</si>
  <si>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</si>
  <si>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</si>
  <si>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</si>
  <si>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t>bridge calibration</t>
  </si>
  <si>
    <t>where Z3=R+jwC</t>
  </si>
  <si>
    <t>(G3=1/R4*)</t>
  </si>
  <si>
    <t>R4A is used for ranges 5 to 1 inclusive</t>
  </si>
  <si>
    <t>R4B is used on range 6 only</t>
  </si>
  <si>
    <t>R4C is used on range 7 only</t>
  </si>
  <si>
    <t>1Z</t>
  </si>
  <si>
    <t>2Z</t>
  </si>
  <si>
    <t>3Z</t>
  </si>
  <si>
    <t>4Z</t>
  </si>
  <si>
    <t>5Z</t>
  </si>
  <si>
    <t>6Z</t>
  </si>
  <si>
    <t>7Z</t>
  </si>
  <si>
    <t>1Y</t>
  </si>
  <si>
    <t>2Y</t>
  </si>
  <si>
    <t>4Y</t>
  </si>
  <si>
    <t>Unit Multiplier</t>
  </si>
  <si>
    <t>Multiplier (C&amp;L)</t>
  </si>
  <si>
    <t>Unit Name</t>
  </si>
  <si>
    <t>Multiplier (G&amp;R)</t>
  </si>
  <si>
    <t>ohm</t>
  </si>
  <si>
    <t>H</t>
  </si>
  <si>
    <t>nF</t>
  </si>
  <si>
    <t>pF</t>
  </si>
  <si>
    <t>Model for uncertainty calculation.</t>
  </si>
  <si>
    <t>Base on formula for Universal bridge....ie assign an uncertainty to each term.</t>
  </si>
  <si>
    <t xml:space="preserve">ac/dc error of standards </t>
  </si>
  <si>
    <t>5ppm considered two sigma limit, essentially relying on dc values of resistors</t>
  </si>
  <si>
    <t>dial linearity</t>
  </si>
  <si>
    <t>amplifier/ratio</t>
  </si>
  <si>
    <t>temperature coefficient of resistors</t>
  </si>
  <si>
    <t>depends on matching of Vishay components</t>
  </si>
  <si>
    <t>temperature coefficient of capacitor</t>
  </si>
  <si>
    <t>component stability</t>
  </si>
  <si>
    <t>resolution</t>
  </si>
  <si>
    <t>this might be range and frequency dependent</t>
  </si>
  <si>
    <t>expanded u (counts)</t>
  </si>
  <si>
    <t>-</t>
  </si>
  <si>
    <t>based on standard deviation of 1984 determinations, 160 counts (16 ppm) for C at full scale</t>
  </si>
  <si>
    <t>stability of resistors only</t>
  </si>
  <si>
    <t>temperature coefficient</t>
  </si>
  <si>
    <t>dial code</t>
  </si>
  <si>
    <t xml:space="preserve">Expanded </t>
  </si>
  <si>
    <t>uncertainty</t>
  </si>
  <si>
    <t>bridge calibration, using HP3458 as transfer instrument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</si>
  <si>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</si>
  <si>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</si>
  <si>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</si>
  <si>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</si>
  <si>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Inductance</t>
  </si>
  <si>
    <t>Resistance</t>
  </si>
  <si>
    <t>Tap</t>
  </si>
  <si>
    <t>Coverage</t>
  </si>
  <si>
    <t>Client</t>
  </si>
  <si>
    <t>Job number</t>
  </si>
  <si>
    <t>Report Number</t>
  </si>
  <si>
    <t>S21586</t>
  </si>
  <si>
    <t>1592Hz</t>
  </si>
  <si>
    <t>For</t>
  </si>
  <si>
    <t>bridge calibration, following MSLT.E.023.004.  Uncertainties have increased.</t>
  </si>
  <si>
    <t>correction_c</t>
  </si>
  <si>
    <t>Universal bridge resistance uncertainty</t>
  </si>
  <si>
    <t>Latest comment</t>
  </si>
  <si>
    <t>9171/1962</t>
  </si>
  <si>
    <t>R %</t>
  </si>
  <si>
    <t>L %</t>
  </si>
  <si>
    <t>Range 2Z</t>
  </si>
  <si>
    <t>L</t>
  </si>
  <si>
    <t>R</t>
  </si>
  <si>
    <t>3 Month Drift</t>
  </si>
  <si>
    <t>9173/1962</t>
  </si>
  <si>
    <t>Range 3Z</t>
  </si>
  <si>
    <t>1 ppm of full scale</t>
  </si>
  <si>
    <t>2 ppm per degree for capacitor</t>
  </si>
  <si>
    <t>S21384</t>
  </si>
  <si>
    <t xml:space="preserve">Coverage </t>
  </si>
  <si>
    <t>factor</t>
  </si>
  <si>
    <t>checked by:</t>
  </si>
  <si>
    <t>UBIII</t>
  </si>
  <si>
    <t>bridge calibration, following MSLT.E.023.004/5.  Uncertainties have increased slightly from 2005.</t>
  </si>
  <si>
    <t>CMC</t>
  </si>
  <si>
    <t>short term stability</t>
  </si>
  <si>
    <r>
      <t>(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H)</t>
    </r>
  </si>
  <si>
    <r>
      <t>(</t>
    </r>
    <r>
      <rPr>
        <sz val="10"/>
        <rFont val="Symbol"/>
        <family val="1"/>
        <charset val="2"/>
      </rPr>
      <t>W</t>
    </r>
    <r>
      <rPr>
        <sz val="10"/>
        <rFont val="Times New Roman"/>
        <family val="1"/>
      </rPr>
      <t>)</t>
    </r>
  </si>
  <si>
    <t>F</t>
  </si>
  <si>
    <t>G</t>
  </si>
  <si>
    <t>Temperature</t>
  </si>
  <si>
    <t>Corrected T</t>
  </si>
  <si>
    <t>average</t>
  </si>
  <si>
    <t>sd</t>
  </si>
  <si>
    <t>humidity</t>
  </si>
  <si>
    <t>%RH</t>
  </si>
  <si>
    <t>temperature</t>
  </si>
  <si>
    <t>Tom been here</t>
  </si>
  <si>
    <t>Start with spreadsheet S21740 from the July 2009 calibration.</t>
  </si>
  <si>
    <t>Babcock (NZ) Limited</t>
  </si>
  <si>
    <t>S21952</t>
  </si>
  <si>
    <t>(mH)</t>
  </si>
  <si>
    <t>(W)</t>
  </si>
  <si>
    <t>Remove all repeats from Results sheet</t>
  </si>
  <si>
    <t>Temperature correction updated for GMH51</t>
  </si>
  <si>
    <t>Frequency (kHz)</t>
  </si>
  <si>
    <t>Measured frequency included, but not really necessary</t>
  </si>
  <si>
    <t>Room data logger information for Primary Lab insered in 'Room data logger' sheet</t>
  </si>
  <si>
    <t>Primary Lab</t>
  </si>
  <si>
    <t>New UB calibrations need to be entered in Data block and accessed through the Date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</si>
  <si>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</si>
  <si>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</si>
  <si>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assume negligible c,d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</si>
  <si>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</si>
  <si>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</si>
  <si>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AH2700A</t>
  </si>
  <si>
    <t>ppm</t>
  </si>
  <si>
    <t>mrad</t>
  </si>
  <si>
    <t>bridge calibration, following MSLT.E.023.006.  Uncertainties unchanged from 2009.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</si>
  <si>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</si>
  <si>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</si>
  <si>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Symbol font versions</t>
  </si>
  <si>
    <t>Plain version</t>
  </si>
  <si>
    <t>CMC n for L</t>
  </si>
  <si>
    <t>CMC m for R</t>
  </si>
  <si>
    <t>microH</t>
  </si>
  <si>
    <t>milliohm</t>
  </si>
  <si>
    <r>
      <t>m</t>
    </r>
    <r>
      <rPr>
        <sz val="12"/>
        <rFont val="Palatino"/>
        <family val="1"/>
      </rPr>
      <t>H</t>
    </r>
  </si>
  <si>
    <r>
      <t>m</t>
    </r>
    <r>
      <rPr>
        <sz val="12"/>
        <rFont val="Symbol"/>
        <family val="1"/>
        <charset val="2"/>
      </rPr>
      <t>W</t>
    </r>
  </si>
  <si>
    <t>W</t>
  </si>
  <si>
    <t>milliH</t>
  </si>
  <si>
    <t>mH</t>
  </si>
  <si>
    <t>kilohm</t>
  </si>
  <si>
    <r>
      <t>k</t>
    </r>
    <r>
      <rPr>
        <sz val="12"/>
        <rFont val="Symbol"/>
        <family val="1"/>
        <charset val="2"/>
      </rPr>
      <t>W</t>
    </r>
  </si>
  <si>
    <t>microF</t>
  </si>
  <si>
    <t>milliS</t>
  </si>
  <si>
    <r>
      <t>m</t>
    </r>
    <r>
      <rPr>
        <sz val="12"/>
        <rFont val="Palatino"/>
        <family val="1"/>
      </rPr>
      <t>F</t>
    </r>
  </si>
  <si>
    <t>mS</t>
  </si>
  <si>
    <t>microS</t>
  </si>
  <si>
    <r>
      <t>m</t>
    </r>
    <r>
      <rPr>
        <sz val="12"/>
        <rFont val="Palatino"/>
        <family val="1"/>
      </rPr>
      <t>S</t>
    </r>
  </si>
  <si>
    <t>Results transcribed from AI VII</t>
  </si>
  <si>
    <t>Replace 'Universal Bridge' page with the same from S21942b, change zeros block and reference.</t>
  </si>
  <si>
    <t>This is a data table with B9 as the column input cell.</t>
  </si>
  <si>
    <t>GEUM uncertainty calculation template</t>
  </si>
  <si>
    <t>This must be re-calculated with new data sets.</t>
  </si>
  <si>
    <t>The component label is the key variable for the table</t>
  </si>
  <si>
    <t>R alpha</t>
  </si>
  <si>
    <t>u_R alpha</t>
  </si>
  <si>
    <t>L/C alpha</t>
  </si>
  <si>
    <t>u_L/C alpha</t>
  </si>
  <si>
    <t>L/C uncertainty</t>
  </si>
  <si>
    <t>R/G uncertainty</t>
  </si>
  <si>
    <t>L/C</t>
  </si>
  <si>
    <t>mult</t>
  </si>
  <si>
    <t>n</t>
  </si>
  <si>
    <t>R/G</t>
  </si>
  <si>
    <t>m</t>
  </si>
  <si>
    <t>f</t>
  </si>
  <si>
    <t>CMC/U</t>
  </si>
  <si>
    <t>Component label</t>
  </si>
  <si>
    <t>Universal bridge reactance uncertainty</t>
  </si>
  <si>
    <t>for</t>
  </si>
  <si>
    <t>L/C dial setting</t>
  </si>
  <si>
    <t xml:space="preserve"> u (counts)</t>
  </si>
  <si>
    <t>based on scatter of results in 1984, increased in 2004 and 2005</t>
  </si>
  <si>
    <t xml:space="preserve">Previous value was 7 ppm, now increased to 17 ppm to acount for errors on RHS of bridge.  </t>
  </si>
  <si>
    <t>some doubt on stability of capacitor in particular, increased in 2004</t>
  </si>
  <si>
    <t>Increase from 2 to 5 ppm to account for short-term instability of 1000 pF capacitor</t>
  </si>
  <si>
    <t>L/C error due to phase error in R/G</t>
  </si>
  <si>
    <t>16 ppm of resistance dial setting, see comment for resistance, reduced to 5 ppm after 2004 cal</t>
  </si>
  <si>
    <t>Link to conductance setting, previously just 2 counts</t>
  </si>
  <si>
    <t>Previous was 2, use latest value from MSLT.E.023.005, 200/f</t>
  </si>
  <si>
    <t>u combined (counts)</t>
  </si>
  <si>
    <t>Assumptions</t>
  </si>
  <si>
    <t>1/ For all frequencies.  Additional noise typical at 50 Hz needs to be added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</si>
  <si>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</si>
  <si>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</si>
  <si>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4/ Updated following 2004/5 UB calibration, see AUDIREGC</t>
  </si>
  <si>
    <t>conductance dial setting</t>
  </si>
  <si>
    <t>all references to the conductance dial are now to cell D34 (previously separate lookups back to results page)</t>
  </si>
  <si>
    <t>G/R error due to phase error in L/C</t>
  </si>
  <si>
    <t>Previous was 16, use latest value of 5 from MSLT.E.023.005</t>
  </si>
  <si>
    <t>Now return to 16 to stay consistent with CMCS</t>
  </si>
  <si>
    <t xml:space="preserve">Previous value was 2, now decreased to 1 ppm following MSLT.E023.005 </t>
  </si>
  <si>
    <t>this might be dependent on frequency and range, included below, increased from 0 to 1 in 2006, now 2000/f</t>
  </si>
  <si>
    <t>Increase to 5 for 2011 measurements.</t>
  </si>
  <si>
    <t>based on scatter of results in 1984, increased following 2004 and 2005 calibration</t>
  </si>
  <si>
    <t xml:space="preserve">Previous value was 1, now increased to 2 ppm following MSLT.E023.005 </t>
  </si>
  <si>
    <t>1/ This scatter is consistent with Thompson's phase standards.</t>
  </si>
  <si>
    <t>2/ Updated following 200/54 UB calibration see AUDIREGC</t>
  </si>
  <si>
    <t>ubridge uncertainty</t>
  </si>
  <si>
    <t>ubridge count uncertainty</t>
  </si>
  <si>
    <t xml:space="preserve">assume u_t = 0.5 degree </t>
  </si>
  <si>
    <t>auxiliary balance senstivity</t>
  </si>
  <si>
    <t>in Ubridge budget</t>
  </si>
  <si>
    <t>1/</t>
  </si>
  <si>
    <t>assume 0.5 deg at one sigma and look up the temp coefficient</t>
  </si>
  <si>
    <t>auxiliary balance sensitivity</t>
  </si>
  <si>
    <t>u combined (count)</t>
  </si>
  <si>
    <t>expanded u (count)</t>
  </si>
  <si>
    <t>Insert uncertainty sheet from S21942b, with subsequent modifications but not to the UB uncertainty</t>
  </si>
  <si>
    <t>Resistance uncertainty for Sullivan inductor</t>
  </si>
  <si>
    <t>Inductance uncertainty for Sullivan inductor</t>
  </si>
  <si>
    <t>0.4%/degree</t>
  </si>
  <si>
    <t>20 ppm of dial setting</t>
  </si>
  <si>
    <t>S21740</t>
  </si>
  <si>
    <t>Parameters could be dependent on component</t>
  </si>
  <si>
    <t>The copper temperature coefficient is identical for all, but I have left the parameter table that would allow variation by component.</t>
  </si>
  <si>
    <t>corrrection for GMH51</t>
  </si>
  <si>
    <t>L in microH, R in ohm</t>
  </si>
  <si>
    <t>L uncert = Q[0.000014L , 0.001R, n/f ]</t>
  </si>
  <si>
    <t>R uncert = Q[0.000014R,0.0000001L , m/f ]</t>
  </si>
  <si>
    <t>uL</t>
  </si>
  <si>
    <t>uR</t>
  </si>
  <si>
    <t>Uncertainty</t>
  </si>
  <si>
    <t>Factor</t>
  </si>
  <si>
    <t>Add worksheet 'Histroical' to give a cleaner graphical view of previous calibrations, but some of the data is still picked up off the 'Previous History' worksheet.</t>
  </si>
  <si>
    <t>HP4284 check</t>
  </si>
  <si>
    <t>short</t>
  </si>
  <si>
    <t>zero corrected</t>
  </si>
  <si>
    <t>average of 500 and 700</t>
  </si>
  <si>
    <t>% difference at 600</t>
  </si>
  <si>
    <t>Reported U</t>
  </si>
  <si>
    <t>%</t>
  </si>
  <si>
    <t>Conclude that HP4284 is not inconsistent with UB</t>
  </si>
  <si>
    <t>UB/HP (scale factor)</t>
  </si>
  <si>
    <t>Conclude 600 result is good to at least 0.01% for L</t>
  </si>
  <si>
    <t>On results page there is an analysis of HP4284 measurements designed to cross-check that the 600 microH result is reasonable (oscillation problem).</t>
  </si>
  <si>
    <t>Resolution term for L in uncertainty, cell B40,  has been made consistent with the CMC formula.</t>
  </si>
  <si>
    <t>Template for impedances</t>
  </si>
  <si>
    <t>Impedance</t>
  </si>
  <si>
    <t>Enter, say, 5 ppm as 5e-6</t>
  </si>
  <si>
    <t>Date from</t>
  </si>
  <si>
    <t>1 sigma uncertainties from specifications</t>
  </si>
  <si>
    <t>to</t>
  </si>
  <si>
    <t>S Number</t>
  </si>
  <si>
    <t>Data from lab book</t>
  </si>
  <si>
    <t>check!</t>
  </si>
  <si>
    <t>Data from specifications and other sources</t>
  </si>
  <si>
    <t>Item</t>
  </si>
  <si>
    <t>Nominal Frequency</t>
  </si>
  <si>
    <t>xdial</t>
  </si>
  <si>
    <t>rdial</t>
  </si>
  <si>
    <t>Frequency</t>
  </si>
  <si>
    <t>u</t>
  </si>
  <si>
    <t>df</t>
  </si>
  <si>
    <t>Temp coeff L</t>
  </si>
  <si>
    <t>Temp coeff R</t>
  </si>
  <si>
    <t>Other</t>
  </si>
  <si>
    <t>Hz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</si>
  <si>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</si>
  <si>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sullivan</t>
  </si>
  <si>
    <t>coax zero</t>
  </si>
  <si>
    <t>xDial</t>
  </si>
  <si>
    <t>rDial</t>
  </si>
  <si>
    <t>frequency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</si>
  <si>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</si>
  <si>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</si>
  <si>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</si>
  <si>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</si>
  <si>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</si>
  <si>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</si>
  <si>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</si>
  <si>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</si>
  <si>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</si>
  <si>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</si>
  <si>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</si>
  <si>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</si>
  <si>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</si>
  <si>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</si>
  <si>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</si>
  <si>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</si>
  <si>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</si>
  <si>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</si>
  <si>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</si>
  <si>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multiplier for R</t>
  </si>
  <si>
    <t>multiplier for L</t>
  </si>
  <si>
    <t>nom Freq</t>
  </si>
  <si>
    <t>Coverage
Factor</t>
  </si>
  <si>
    <t>Expanded
Uncertainty
(Ω)</t>
  </si>
  <si>
    <t>Resistance
(Ω)</t>
  </si>
  <si>
    <r>
      <t>Inductance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</si>
  <si>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r>
      <t>Expanded
Uncertainty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</si>
  <si>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t>Restart using S21952, 2014, but update to interact with Python for analysis.</t>
  </si>
  <si>
    <t>Paste these results into the uncoloured part of the pyUBresults worksheet.</t>
  </si>
  <si>
    <t>Enter lab book readings in 'pyUBreadings' worksheet and check the temperautre coefficients entered for each line.</t>
  </si>
  <si>
    <t>Run sullivan.py to create a set of results in sullivan_Results.xlsx, being sure to use the latest ubdict_date.csv for the universal bridge calibration.</t>
  </si>
  <si>
    <t>Final report appears in the pyReport worksheet.</t>
  </si>
  <si>
    <t>b10</t>
  </si>
  <si>
    <t>from 'FinalDecadeCapacitor.xlsx' for S20885</t>
  </si>
  <si>
    <t>Start with internal cal.</t>
  </si>
  <si>
    <t>AH2700 will be calibrated 'on the day' against known reference capacitors.</t>
  </si>
  <si>
    <t>Use these results to have a correction factor adequate for this calibration.</t>
  </si>
  <si>
    <t>subtract zero</t>
  </si>
  <si>
    <t>Value from capacitance scale, out.csv</t>
  </si>
  <si>
    <t>measured</t>
  </si>
  <si>
    <t>NMIA</t>
  </si>
  <si>
    <t>Reference</t>
  </si>
  <si>
    <t>sdC</t>
  </si>
  <si>
    <t>sdG</t>
  </si>
  <si>
    <t>mean</t>
  </si>
  <si>
    <t>stdev</t>
  </si>
  <si>
    <t>tan delta</t>
  </si>
  <si>
    <t>correction</t>
  </si>
  <si>
    <t>zero</t>
  </si>
  <si>
    <t>ppm correction</t>
  </si>
  <si>
    <t>AH111A</t>
  </si>
  <si>
    <t>AH111B</t>
  </si>
  <si>
    <t>AH111C</t>
  </si>
  <si>
    <t>AH111D</t>
  </si>
  <si>
    <t>GR1000A</t>
  </si>
  <si>
    <t>GR1000B</t>
  </si>
  <si>
    <t>UB1000</t>
  </si>
  <si>
    <t>Average</t>
  </si>
  <si>
    <t>Readings from p.51 of UBIII</t>
  </si>
  <si>
    <t>from cap scale</t>
  </si>
  <si>
    <t>Correction</t>
  </si>
  <si>
    <t>From room logging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</si>
</sst>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4" formatCode="0.00000"/>
    <numFmt numFmtId="165" formatCode="0.000000"/>
    <numFmt numFmtId="166" formatCode="0E+00"/>
    <numFmt numFmtId="167" formatCode="0.000"/>
    <numFmt numFmtId="168" formatCode="0.0000"/>
    <numFmt numFmtId="169" formatCode="0.0E+00"/>
    <numFmt numFmtId="170" formatCode="General_)"/>
    <numFmt numFmtId="171" formatCode="dd/mmm/yy_)"/>
    <numFmt numFmtId="172" formatCode="0.0"/>
    <numFmt numFmtId="173" formatCode="0.000000_)"/>
    <numFmt numFmtId="174" formatCode="0.0_)"/>
    <numFmt numFmtId="175" formatCode="0.0E+00_)"/>
    <numFmt numFmtId="176" formatCode="0_)"/>
    <numFmt numFmtId="177" formatCode="0.00_)"/>
    <numFmt numFmtId="178" formatCode="0.000_)"/>
    <numFmt numFmtId="179" formatCode="0.00E+00_)"/>
    <numFmt numFmtId="180" formatCode="0.0000_)"/>
    <numFmt numFmtId="181" formatCode="0.00000_)"/>
    <numFmt numFmtId="182" formatCode="dd/mm/yy"/>
    <numFmt numFmtId="183" formatCode="dd\-mmm\-yy"/>
    <numFmt numFmtId="184" formatCode="0.0000%"/>
    <numFmt numFmtId="185" formatCode="0.E+00"/>
    <numFmt numFmtId="186" formatCode="0.00000E+00"/>
    <numFmt numFmtId="187" formatCode="0.00\ \ \ \ \ \ "/>
    <numFmt numFmtId="188" formatCode="0.000\ \ \ \ \ "/>
    <numFmt numFmtId="189" formatCode="0.00\ \ \ \ \ "/>
    <numFmt numFmtId="190" formatCode="0.000\ \ \ \ \ \ "/>
    <numFmt numFmtId="191" formatCode="0.00\ \ \ \ \ \ \ "/>
    <numFmt numFmtId="192" formatCode="0.0000\ \ \ "/>
    <numFmt numFmtId="193" formatCode="0.000\ \ \ \ "/>
  </numFmts>
  <fonts count="2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10"/>
      <name val="Palatino"/>
      <family val="1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indexed="39"/>
      <name val="Arial"/>
      <family val="2"/>
    </font>
    <font>
      <sz val="10"/>
      <name val="Times New Roman"/>
      <family val="1"/>
    </font>
    <font>
      <b/>
      <sz val="10"/>
      <color indexed="10"/>
      <name val="Arial"/>
      <family val="2"/>
    </font>
    <font>
      <sz val="12"/>
      <name val="Symbol"/>
      <family val="1"/>
      <charset val="2"/>
    </font>
    <font>
      <b/>
      <sz val="10"/>
      <color indexed="33"/>
      <name val="Helv"/>
    </font>
    <font>
      <sz val="12"/>
      <color indexed="8"/>
      <name val="Palatino"/>
      <family val="1"/>
    </font>
    <font>
      <sz val="1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 applyBorder="0"/>
    <xf numFmtId="0" fontId="3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 applyBorder="0"/>
    <xf numFmtId="0" fontId="2" fillId="0" borderId="0" applyBorder="0"/>
  </cellStyleXfs>
  <cellXfs count="39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1" fontId="5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 applyAlignment="1">
      <alignment horizontal="center"/>
    </xf>
    <xf numFmtId="166" fontId="0" fillId="0" borderId="0" xfId="0" applyNumberFormat="1"/>
    <xf numFmtId="0" fontId="7" fillId="0" borderId="0" xfId="0" applyFont="1"/>
    <xf numFmtId="0" fontId="3" fillId="0" borderId="0" xfId="0" applyFont="1" applyBorder="1" applyAlignment="1">
      <alignment horizontal="center"/>
    </xf>
    <xf numFmtId="170" fontId="9" fillId="0" borderId="0" xfId="0" applyNumberFormat="1" applyFont="1" applyAlignment="1" applyProtection="1">
      <alignment horizontal="left"/>
    </xf>
    <xf numFmtId="170" fontId="10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171" fontId="0" fillId="0" borderId="0" xfId="0" applyNumberFormat="1" applyProtection="1"/>
    <xf numFmtId="16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Protection="1"/>
    <xf numFmtId="167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0" fontId="10" fillId="4" borderId="9" xfId="0" applyNumberFormat="1" applyFont="1" applyFill="1" applyBorder="1" applyAlignment="1" applyProtection="1">
      <alignment horizontal="left"/>
    </xf>
    <xf numFmtId="173" fontId="0" fillId="4" borderId="10" xfId="0" applyNumberFormat="1" applyFill="1" applyBorder="1" applyProtection="1"/>
    <xf numFmtId="170" fontId="0" fillId="4" borderId="10" xfId="0" applyNumberFormat="1" applyFill="1" applyBorder="1" applyProtection="1"/>
    <xf numFmtId="170" fontId="0" fillId="4" borderId="11" xfId="0" applyNumberFormat="1" applyFill="1" applyBorder="1" applyProtection="1"/>
    <xf numFmtId="170" fontId="9" fillId="0" borderId="0" xfId="0" applyNumberFormat="1" applyFont="1" applyProtection="1"/>
    <xf numFmtId="173" fontId="9" fillId="0" borderId="0" xfId="0" applyNumberFormat="1" applyFont="1" applyAlignment="1" applyProtection="1">
      <alignment horizontal="center"/>
    </xf>
    <xf numFmtId="170" fontId="9" fillId="0" borderId="0" xfId="0" applyNumberFormat="1" applyFont="1" applyAlignment="1" applyProtection="1">
      <alignment horizontal="center"/>
    </xf>
    <xf numFmtId="170" fontId="12" fillId="0" borderId="0" xfId="0" applyNumberFormat="1" applyFont="1" applyAlignment="1" applyProtection="1">
      <alignment horizontal="center"/>
    </xf>
    <xf numFmtId="170" fontId="10" fillId="0" borderId="0" xfId="0" applyNumberFormat="1" applyFont="1" applyProtection="1"/>
    <xf numFmtId="170" fontId="13" fillId="0" borderId="0" xfId="0" applyNumberFormat="1" applyFont="1" applyAlignment="1" applyProtection="1">
      <alignment horizontal="left"/>
    </xf>
    <xf numFmtId="175" fontId="0" fillId="0" borderId="0" xfId="0" applyNumberFormat="1" applyProtection="1"/>
    <xf numFmtId="170" fontId="0" fillId="0" borderId="0" xfId="0" applyNumberFormat="1" applyProtection="1"/>
    <xf numFmtId="176" fontId="0" fillId="0" borderId="0" xfId="0" applyNumberFormat="1" applyProtection="1"/>
    <xf numFmtId="174" fontId="0" fillId="0" borderId="0" xfId="0" applyNumberFormat="1" applyProtection="1"/>
    <xf numFmtId="170" fontId="13" fillId="0" borderId="0" xfId="0" applyNumberFormat="1" applyFont="1" applyProtection="1"/>
    <xf numFmtId="170" fontId="0" fillId="0" borderId="0" xfId="0" applyNumberFormat="1" applyAlignment="1" applyProtection="1">
      <alignment horizontal="right"/>
    </xf>
    <xf numFmtId="173" fontId="9" fillId="0" borderId="0" xfId="0" applyNumberFormat="1" applyFont="1" applyAlignment="1" applyProtection="1">
      <alignment horizontal="left"/>
    </xf>
    <xf numFmtId="170" fontId="9" fillId="0" borderId="12" xfId="0" applyNumberFormat="1" applyFont="1" applyBorder="1" applyAlignment="1" applyProtection="1">
      <alignment horizontal="center"/>
    </xf>
    <xf numFmtId="170" fontId="9" fillId="0" borderId="14" xfId="0" applyNumberFormat="1" applyFont="1" applyBorder="1" applyAlignment="1" applyProtection="1">
      <alignment horizontal="center"/>
    </xf>
    <xf numFmtId="170" fontId="9" fillId="0" borderId="16" xfId="0" applyNumberFormat="1" applyFont="1" applyBorder="1" applyAlignment="1" applyProtection="1">
      <alignment horizontal="center"/>
    </xf>
    <xf numFmtId="178" fontId="0" fillId="0" borderId="0" xfId="0" applyNumberFormat="1" applyProtection="1"/>
    <xf numFmtId="170" fontId="0" fillId="0" borderId="0" xfId="0" applyNumberFormat="1" applyAlignment="1" applyProtection="1">
      <alignment horizontal="center"/>
    </xf>
    <xf numFmtId="170" fontId="0" fillId="0" borderId="0" xfId="0" applyNumberFormat="1" applyFont="1" applyProtection="1"/>
    <xf numFmtId="179" fontId="0" fillId="0" borderId="0" xfId="0" applyNumberFormat="1" applyFont="1" applyProtection="1"/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7" xfId="0" applyFill="1" applyBorder="1"/>
    <xf numFmtId="0" fontId="0" fillId="8" borderId="27" xfId="0" applyFill="1" applyBorder="1"/>
    <xf numFmtId="167" fontId="0" fillId="7" borderId="27" xfId="0" applyNumberFormat="1" applyFill="1" applyBorder="1" applyAlignment="1">
      <alignment horizontal="right"/>
    </xf>
    <xf numFmtId="168" fontId="0" fillId="7" borderId="27" xfId="0" applyNumberFormat="1" applyFill="1" applyBorder="1" applyAlignment="1">
      <alignment horizontal="center"/>
    </xf>
    <xf numFmtId="167" fontId="0" fillId="7" borderId="27" xfId="0" applyNumberFormat="1" applyFill="1" applyBorder="1"/>
    <xf numFmtId="169" fontId="8" fillId="7" borderId="27" xfId="0" applyNumberFormat="1" applyFont="1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8" fillId="7" borderId="27" xfId="0" applyFont="1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8" fontId="0" fillId="7" borderId="27" xfId="0" applyNumberFormat="1" applyFill="1" applyBorder="1"/>
    <xf numFmtId="165" fontId="0" fillId="7" borderId="27" xfId="0" applyNumberFormat="1" applyFill="1" applyBorder="1" applyAlignment="1">
      <alignment horizontal="right"/>
    </xf>
    <xf numFmtId="2" fontId="0" fillId="0" borderId="0" xfId="0" applyNumberFormat="1"/>
    <xf numFmtId="0" fontId="15" fillId="0" borderId="0" xfId="0" applyFont="1"/>
    <xf numFmtId="0" fontId="3" fillId="0" borderId="0" xfId="0" applyFont="1" applyAlignment="1">
      <alignment horizontal="left"/>
    </xf>
    <xf numFmtId="172" fontId="15" fillId="0" borderId="0" xfId="0" applyNumberFormat="1" applyFont="1" applyBorder="1" applyAlignment="1">
      <alignment horizontal="center"/>
    </xf>
    <xf numFmtId="172" fontId="0" fillId="0" borderId="0" xfId="0" applyNumberFormat="1"/>
    <xf numFmtId="1" fontId="0" fillId="0" borderId="0" xfId="0" applyNumberFormat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167" fontId="15" fillId="0" borderId="0" xfId="0" applyNumberFormat="1" applyFont="1" applyBorder="1" applyAlignment="1">
      <alignment horizontal="center"/>
    </xf>
    <xf numFmtId="172" fontId="15" fillId="0" borderId="0" xfId="0" applyNumberFormat="1" applyFont="1" applyBorder="1"/>
    <xf numFmtId="15" fontId="0" fillId="0" borderId="0" xfId="0" applyNumberFormat="1"/>
    <xf numFmtId="15" fontId="19" fillId="0" borderId="0" xfId="0" applyNumberFormat="1" applyFont="1"/>
    <xf numFmtId="0" fontId="19" fillId="0" borderId="0" xfId="0" applyFont="1" applyAlignment="1">
      <alignment horizontal="left"/>
    </xf>
    <xf numFmtId="1" fontId="19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5" fontId="5" fillId="0" borderId="0" xfId="0" applyNumberFormat="1" applyFont="1"/>
    <xf numFmtId="0" fontId="0" fillId="12" borderId="0" xfId="0" applyFill="1"/>
    <xf numFmtId="182" fontId="0" fillId="0" borderId="0" xfId="0" applyNumberFormat="1"/>
    <xf numFmtId="182" fontId="0" fillId="0" borderId="0" xfId="0" applyNumberFormat="1" applyAlignment="1">
      <alignment horizontal="left"/>
    </xf>
    <xf numFmtId="1" fontId="8" fillId="0" borderId="0" xfId="0" applyNumberFormat="1" applyFont="1"/>
    <xf numFmtId="165" fontId="0" fillId="0" borderId="0" xfId="0" applyNumberFormat="1" applyProtection="1"/>
    <xf numFmtId="165" fontId="0" fillId="0" borderId="0" xfId="0" applyNumberFormat="1"/>
    <xf numFmtId="0" fontId="0" fillId="11" borderId="0" xfId="0" applyFill="1"/>
    <xf numFmtId="0" fontId="0" fillId="0" borderId="0" xfId="0" applyFill="1"/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169" fontId="20" fillId="7" borderId="27" xfId="0" applyNumberFormat="1" applyFont="1" applyFill="1" applyBorder="1" applyAlignment="1">
      <alignment horizontal="center"/>
    </xf>
    <xf numFmtId="0" fontId="20" fillId="7" borderId="27" xfId="0" applyFont="1" applyFill="1" applyBorder="1" applyAlignment="1">
      <alignment horizontal="center"/>
    </xf>
    <xf numFmtId="183" fontId="0" fillId="11" borderId="0" xfId="0" applyNumberFormat="1" applyFill="1"/>
    <xf numFmtId="1" fontId="8" fillId="11" borderId="0" xfId="0" applyNumberFormat="1" applyFont="1" applyFill="1"/>
    <xf numFmtId="0" fontId="0" fillId="0" borderId="0" xfId="0" applyNumberFormat="1" applyFill="1"/>
    <xf numFmtId="0" fontId="0" fillId="10" borderId="0" xfId="0" applyFill="1"/>
    <xf numFmtId="183" fontId="0" fillId="10" borderId="0" xfId="0" applyNumberFormat="1" applyFill="1"/>
    <xf numFmtId="0" fontId="0" fillId="10" borderId="0" xfId="0" applyFill="1" applyAlignment="1">
      <alignment horizontal="center"/>
    </xf>
    <xf numFmtId="1" fontId="8" fillId="10" borderId="0" xfId="0" applyNumberFormat="1" applyFont="1" applyFill="1"/>
    <xf numFmtId="0" fontId="22" fillId="0" borderId="0" xfId="0" applyFont="1"/>
    <xf numFmtId="0" fontId="0" fillId="12" borderId="27" xfId="0" applyFill="1" applyBorder="1" applyAlignment="1">
      <alignment horizontal="center"/>
    </xf>
    <xf numFmtId="168" fontId="0" fillId="0" borderId="0" xfId="0" applyNumberFormat="1"/>
    <xf numFmtId="164" fontId="0" fillId="0" borderId="0" xfId="0" applyNumberFormat="1"/>
    <xf numFmtId="9" fontId="0" fillId="0" borderId="0" xfId="3" applyFont="1"/>
    <xf numFmtId="10" fontId="0" fillId="0" borderId="0" xfId="3" applyNumberFormat="1" applyFont="1"/>
    <xf numFmtId="184" fontId="0" fillId="0" borderId="0" xfId="3" applyNumberFormat="1" applyFont="1"/>
    <xf numFmtId="9" fontId="0" fillId="0" borderId="0" xfId="0" applyNumberFormat="1"/>
    <xf numFmtId="0" fontId="23" fillId="0" borderId="21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8" xfId="0" applyFont="1" applyBorder="1" applyAlignment="1">
      <alignment horizontal="center"/>
    </xf>
    <xf numFmtId="172" fontId="23" fillId="0" borderId="23" xfId="0" applyNumberFormat="1" applyFont="1" applyBorder="1" applyAlignment="1">
      <alignment horizontal="center"/>
    </xf>
    <xf numFmtId="172" fontId="23" fillId="0" borderId="29" xfId="0" applyNumberFormat="1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72" fontId="23" fillId="0" borderId="24" xfId="0" applyNumberFormat="1" applyFont="1" applyBorder="1" applyAlignment="1">
      <alignment horizontal="center"/>
    </xf>
    <xf numFmtId="172" fontId="23" fillId="0" borderId="30" xfId="0" applyNumberFormat="1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3" fillId="0" borderId="26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172" fontId="23" fillId="0" borderId="26" xfId="0" applyNumberFormat="1" applyFont="1" applyBorder="1" applyAlignment="1">
      <alignment horizontal="center"/>
    </xf>
    <xf numFmtId="172" fontId="23" fillId="0" borderId="32" xfId="0" applyNumberFormat="1" applyFont="1" applyBorder="1" applyAlignment="1">
      <alignment horizontal="center"/>
    </xf>
    <xf numFmtId="2" fontId="23" fillId="0" borderId="24" xfId="0" applyNumberFormat="1" applyFont="1" applyBorder="1" applyAlignment="1">
      <alignment horizontal="center"/>
    </xf>
    <xf numFmtId="2" fontId="23" fillId="0" borderId="0" xfId="0" applyNumberFormat="1" applyFont="1" applyBorder="1" applyAlignment="1">
      <alignment horizontal="center"/>
    </xf>
    <xf numFmtId="167" fontId="23" fillId="0" borderId="0" xfId="0" applyNumberFormat="1" applyFont="1" applyBorder="1" applyAlignment="1">
      <alignment horizontal="center"/>
    </xf>
    <xf numFmtId="167" fontId="23" fillId="0" borderId="24" xfId="0" applyNumberFormat="1" applyFont="1" applyBorder="1" applyAlignment="1">
      <alignment horizontal="center"/>
    </xf>
    <xf numFmtId="2" fontId="23" fillId="0" borderId="26" xfId="0" applyNumberFormat="1" applyFont="1" applyBorder="1" applyAlignment="1">
      <alignment horizontal="center"/>
    </xf>
    <xf numFmtId="2" fontId="23" fillId="0" borderId="31" xfId="0" applyNumberFormat="1" applyFont="1" applyBorder="1" applyAlignment="1">
      <alignment horizontal="center"/>
    </xf>
    <xf numFmtId="167" fontId="23" fillId="0" borderId="26" xfId="0" applyNumberFormat="1" applyFont="1" applyBorder="1" applyAlignment="1">
      <alignment horizontal="center"/>
    </xf>
    <xf numFmtId="167" fontId="23" fillId="0" borderId="31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22" fontId="2" fillId="0" borderId="0" xfId="2" applyNumberFormat="1"/>
    <xf numFmtId="0" fontId="2" fillId="0" borderId="0" xfId="2"/>
    <xf numFmtId="22" fontId="2" fillId="3" borderId="0" xfId="2" applyNumberFormat="1" applyFill="1"/>
    <xf numFmtId="0" fontId="2" fillId="3" borderId="0" xfId="2" applyFill="1"/>
    <xf numFmtId="0" fontId="0" fillId="15" borderId="0" xfId="0" applyFill="1"/>
    <xf numFmtId="1" fontId="8" fillId="15" borderId="0" xfId="0" applyNumberFormat="1" applyFont="1" applyFill="1"/>
    <xf numFmtId="2" fontId="23" fillId="15" borderId="24" xfId="0" applyNumberFormat="1" applyFont="1" applyFill="1" applyBorder="1" applyAlignment="1">
      <alignment horizontal="center"/>
    </xf>
    <xf numFmtId="167" fontId="23" fillId="15" borderId="0" xfId="0" applyNumberFormat="1" applyFont="1" applyFill="1" applyBorder="1" applyAlignment="1">
      <alignment horizontal="center"/>
    </xf>
    <xf numFmtId="2" fontId="23" fillId="15" borderId="0" xfId="0" applyNumberFormat="1" applyFont="1" applyFill="1" applyBorder="1" applyAlignment="1">
      <alignment horizontal="center"/>
    </xf>
    <xf numFmtId="167" fontId="23" fillId="15" borderId="24" xfId="0" applyNumberFormat="1" applyFont="1" applyFill="1" applyBorder="1" applyAlignment="1">
      <alignment horizontal="center"/>
    </xf>
    <xf numFmtId="172" fontId="23" fillId="15" borderId="24" xfId="0" applyNumberFormat="1" applyFont="1" applyFill="1" applyBorder="1" applyAlignment="1">
      <alignment horizontal="center"/>
    </xf>
    <xf numFmtId="172" fontId="23" fillId="15" borderId="30" xfId="0" applyNumberFormat="1" applyFont="1" applyFill="1" applyBorder="1" applyAlignment="1">
      <alignment horizontal="center"/>
    </xf>
    <xf numFmtId="0" fontId="2" fillId="0" borderId="0" xfId="0" applyFont="1"/>
    <xf numFmtId="15" fontId="3" fillId="0" borderId="0" xfId="0" applyNumberFormat="1" applyFont="1"/>
    <xf numFmtId="0" fontId="4" fillId="16" borderId="27" xfId="0" applyFont="1" applyFill="1" applyBorder="1" applyAlignment="1">
      <alignment horizontal="center"/>
    </xf>
    <xf numFmtId="0" fontId="0" fillId="16" borderId="27" xfId="0" applyFill="1" applyBorder="1"/>
    <xf numFmtId="0" fontId="0" fillId="16" borderId="27" xfId="0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4" fillId="0" borderId="0" xfId="0" applyFont="1"/>
    <xf numFmtId="14" fontId="0" fillId="12" borderId="0" xfId="0" applyNumberFormat="1" applyFill="1"/>
    <xf numFmtId="14" fontId="5" fillId="2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172" fontId="0" fillId="12" borderId="0" xfId="0" applyNumberFormat="1" applyFill="1"/>
    <xf numFmtId="1" fontId="0" fillId="12" borderId="0" xfId="0" applyNumberFormat="1" applyFill="1"/>
    <xf numFmtId="2" fontId="0" fillId="12" borderId="0" xfId="0" applyNumberFormat="1" applyFill="1"/>
    <xf numFmtId="0" fontId="5" fillId="0" borderId="5" xfId="0" applyFont="1" applyFill="1" applyBorder="1" applyAlignment="1" applyProtection="1">
      <alignment horizontal="center"/>
      <protection locked="0"/>
    </xf>
    <xf numFmtId="14" fontId="2" fillId="0" borderId="0" xfId="4" applyNumberFormat="1"/>
    <xf numFmtId="0" fontId="2" fillId="0" borderId="0" xfId="4"/>
    <xf numFmtId="0" fontId="0" fillId="0" borderId="3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35" xfId="0" applyFill="1" applyBorder="1" applyAlignment="1">
      <alignment horizontal="center"/>
    </xf>
    <xf numFmtId="0" fontId="0" fillId="13" borderId="30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13" borderId="38" xfId="0" applyFill="1" applyBorder="1" applyAlignment="1">
      <alignment horizontal="center"/>
    </xf>
    <xf numFmtId="0" fontId="0" fillId="13" borderId="39" xfId="0" applyFill="1" applyBorder="1" applyAlignment="1">
      <alignment horizontal="center"/>
    </xf>
    <xf numFmtId="0" fontId="25" fillId="0" borderId="0" xfId="0" applyFont="1"/>
    <xf numFmtId="166" fontId="0" fillId="0" borderId="0" xfId="0" applyNumberFormat="1" applyFill="1" applyBorder="1"/>
    <xf numFmtId="0" fontId="2" fillId="0" borderId="35" xfId="0" applyFont="1" applyBorder="1" applyAlignment="1">
      <alignment horizontal="center"/>
    </xf>
    <xf numFmtId="172" fontId="23" fillId="18" borderId="30" xfId="0" applyNumberFormat="1" applyFont="1" applyFill="1" applyBorder="1" applyAlignment="1">
      <alignment horizontal="center"/>
    </xf>
    <xf numFmtId="2" fontId="23" fillId="18" borderId="24" xfId="0" applyNumberFormat="1" applyFont="1" applyFill="1" applyBorder="1" applyAlignment="1">
      <alignment horizontal="center"/>
    </xf>
    <xf numFmtId="16" fontId="0" fillId="0" borderId="0" xfId="0" quotePrefix="1" applyNumberFormat="1"/>
    <xf numFmtId="0" fontId="0" fillId="0" borderId="0" xfId="0" quotePrefix="1" applyAlignment="1">
      <alignment horizontal="center"/>
    </xf>
    <xf numFmtId="0" fontId="0" fillId="17" borderId="0" xfId="0" applyFill="1" applyAlignment="1">
      <alignment horizontal="center"/>
    </xf>
    <xf numFmtId="169" fontId="0" fillId="17" borderId="0" xfId="0" applyNumberFormat="1" applyFill="1" applyAlignment="1">
      <alignment horizontal="center"/>
    </xf>
    <xf numFmtId="172" fontId="0" fillId="17" borderId="0" xfId="0" applyNumberFormat="1" applyFill="1" applyAlignment="1">
      <alignment horizontal="center"/>
    </xf>
    <xf numFmtId="172" fontId="0" fillId="19" borderId="0" xfId="0" applyNumberFormat="1" applyFill="1" applyAlignment="1">
      <alignment horizontal="center"/>
    </xf>
    <xf numFmtId="167" fontId="0" fillId="19" borderId="0" xfId="0" applyNumberFormat="1" applyFill="1" applyAlignment="1">
      <alignment horizontal="center"/>
    </xf>
    <xf numFmtId="185" fontId="0" fillId="0" borderId="0" xfId="0" applyNumberFormat="1"/>
    <xf numFmtId="169" fontId="0" fillId="0" borderId="0" xfId="0" applyNumberFormat="1"/>
    <xf numFmtId="0" fontId="5" fillId="3" borderId="0" xfId="0" applyFont="1" applyFill="1"/>
    <xf numFmtId="173" fontId="5" fillId="3" borderId="0" xfId="0" applyNumberFormat="1" applyFont="1" applyFill="1" applyProtection="1"/>
    <xf numFmtId="170" fontId="11" fillId="0" borderId="0" xfId="0" applyNumberFormat="1" applyFont="1" applyProtection="1"/>
    <xf numFmtId="170" fontId="11" fillId="0" borderId="0" xfId="0" applyNumberFormat="1" applyFont="1" applyFill="1" applyProtection="1"/>
    <xf numFmtId="170" fontId="26" fillId="0" borderId="0" xfId="0" applyNumberFormat="1" applyFont="1" applyProtection="1"/>
    <xf numFmtId="0" fontId="2" fillId="17" borderId="0" xfId="0" applyFont="1" applyFill="1" applyAlignment="1">
      <alignment horizontal="center"/>
    </xf>
    <xf numFmtId="0" fontId="5" fillId="12" borderId="0" xfId="5" applyFont="1" applyFill="1"/>
    <xf numFmtId="172" fontId="14" fillId="0" borderId="0" xfId="0" applyNumberFormat="1" applyFont="1" applyFill="1" applyProtection="1"/>
    <xf numFmtId="175" fontId="0" fillId="0" borderId="0" xfId="0" applyNumberFormat="1" applyFill="1" applyProtection="1"/>
    <xf numFmtId="0" fontId="2" fillId="0" borderId="0" xfId="5"/>
    <xf numFmtId="174" fontId="0" fillId="0" borderId="0" xfId="0" applyNumberFormat="1" applyFill="1" applyProtection="1"/>
    <xf numFmtId="0" fontId="2" fillId="12" borderId="0" xfId="5" applyFill="1"/>
    <xf numFmtId="1" fontId="14" fillId="0" borderId="0" xfId="0" applyNumberFormat="1" applyFont="1" applyFill="1" applyProtection="1"/>
    <xf numFmtId="178" fontId="16" fillId="0" borderId="0" xfId="0" applyNumberFormat="1" applyFont="1" applyFill="1" applyProtection="1"/>
    <xf numFmtId="0" fontId="2" fillId="12" borderId="0" xfId="5" applyFont="1" applyFill="1"/>
    <xf numFmtId="177" fontId="0" fillId="0" borderId="0" xfId="0" applyNumberFormat="1" applyFill="1" applyProtection="1"/>
    <xf numFmtId="176" fontId="0" fillId="0" borderId="13" xfId="0" applyNumberFormat="1" applyFill="1" applyBorder="1" applyProtection="1"/>
    <xf numFmtId="177" fontId="0" fillId="0" borderId="15" xfId="0" applyNumberFormat="1" applyFill="1" applyBorder="1" applyProtection="1"/>
    <xf numFmtId="176" fontId="0" fillId="0" borderId="17" xfId="0" applyNumberFormat="1" applyFill="1" applyBorder="1" applyProtection="1"/>
    <xf numFmtId="170" fontId="11" fillId="0" borderId="0" xfId="5" applyNumberFormat="1" applyFont="1" applyProtection="1"/>
    <xf numFmtId="170" fontId="11" fillId="0" borderId="0" xfId="5" applyNumberFormat="1" applyFont="1" applyFill="1" applyProtection="1"/>
    <xf numFmtId="170" fontId="26" fillId="0" borderId="0" xfId="5" applyNumberFormat="1" applyFont="1" applyProtection="1"/>
    <xf numFmtId="170" fontId="9" fillId="0" borderId="0" xfId="5" applyNumberFormat="1" applyFont="1" applyProtection="1"/>
    <xf numFmtId="172" fontId="14" fillId="0" borderId="0" xfId="0" applyNumberFormat="1" applyFont="1" applyProtection="1"/>
    <xf numFmtId="0" fontId="2" fillId="0" borderId="0" xfId="5" applyFont="1"/>
    <xf numFmtId="2" fontId="0" fillId="19" borderId="0" xfId="0" applyNumberFormat="1" applyFill="1" applyAlignment="1">
      <alignment horizontal="center"/>
    </xf>
    <xf numFmtId="179" fontId="0" fillId="0" borderId="0" xfId="0" applyNumberFormat="1" applyFill="1" applyProtection="1"/>
    <xf numFmtId="180" fontId="0" fillId="0" borderId="0" xfId="0" applyNumberFormat="1" applyFill="1" applyProtection="1"/>
    <xf numFmtId="2" fontId="0" fillId="14" borderId="0" xfId="0" applyNumberFormat="1" applyFill="1"/>
    <xf numFmtId="176" fontId="0" fillId="0" borderId="0" xfId="0" applyNumberFormat="1" applyFill="1" applyProtection="1"/>
    <xf numFmtId="181" fontId="16" fillId="0" borderId="0" xfId="0" applyNumberFormat="1" applyFont="1" applyFill="1" applyProtection="1"/>
    <xf numFmtId="174" fontId="0" fillId="0" borderId="15" xfId="0" applyNumberFormat="1" applyFill="1" applyBorder="1" applyProtection="1"/>
    <xf numFmtId="177" fontId="0" fillId="0" borderId="17" xfId="0" applyNumberFormat="1" applyFill="1" applyBorder="1" applyProtection="1"/>
    <xf numFmtId="11" fontId="0" fillId="0" borderId="0" xfId="0" applyNumberFormat="1" applyFill="1"/>
    <xf numFmtId="170" fontId="5" fillId="4" borderId="11" xfId="0" applyNumberFormat="1" applyFont="1" applyFill="1" applyBorder="1" applyProtection="1"/>
    <xf numFmtId="180" fontId="16" fillId="0" borderId="0" xfId="0" applyNumberFormat="1" applyFont="1" applyFill="1" applyProtection="1"/>
    <xf numFmtId="0" fontId="2" fillId="0" borderId="0" xfId="0" applyFont="1" applyFill="1"/>
    <xf numFmtId="173" fontId="9" fillId="0" borderId="0" xfId="0" applyNumberFormat="1" applyFont="1" applyFill="1" applyAlignment="1" applyProtection="1">
      <alignment horizontal="left"/>
    </xf>
    <xf numFmtId="170" fontId="9" fillId="0" borderId="0" xfId="0" applyNumberFormat="1" applyFont="1" applyFill="1" applyAlignment="1" applyProtection="1">
      <alignment horizontal="left"/>
    </xf>
    <xf numFmtId="170" fontId="9" fillId="0" borderId="12" xfId="0" applyNumberFormat="1" applyFont="1" applyFill="1" applyBorder="1" applyAlignment="1" applyProtection="1">
      <alignment horizontal="center"/>
    </xf>
    <xf numFmtId="170" fontId="9" fillId="0" borderId="14" xfId="0" applyNumberFormat="1" applyFont="1" applyFill="1" applyBorder="1" applyAlignment="1" applyProtection="1">
      <alignment horizontal="center"/>
    </xf>
    <xf numFmtId="170" fontId="9" fillId="0" borderId="16" xfId="0" applyNumberFormat="1" applyFont="1" applyFill="1" applyBorder="1" applyAlignment="1" applyProtection="1">
      <alignment horizontal="center"/>
    </xf>
    <xf numFmtId="178" fontId="0" fillId="0" borderId="17" xfId="0" applyNumberFormat="1" applyFill="1" applyBorder="1" applyProtection="1"/>
    <xf numFmtId="167" fontId="0" fillId="0" borderId="0" xfId="0" applyNumberFormat="1" applyFill="1"/>
    <xf numFmtId="167" fontId="0" fillId="0" borderId="0" xfId="0" applyNumberFormat="1"/>
    <xf numFmtId="0" fontId="0" fillId="16" borderId="0" xfId="0" applyFill="1"/>
    <xf numFmtId="0" fontId="23" fillId="16" borderId="21" xfId="0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28" xfId="0" applyFont="1" applyFill="1" applyBorder="1" applyAlignment="1">
      <alignment horizontal="center"/>
    </xf>
    <xf numFmtId="172" fontId="23" fillId="16" borderId="23" xfId="0" applyNumberFormat="1" applyFont="1" applyFill="1" applyBorder="1" applyAlignment="1">
      <alignment horizontal="center"/>
    </xf>
    <xf numFmtId="172" fontId="23" fillId="16" borderId="29" xfId="0" applyNumberFormat="1" applyFont="1" applyFill="1" applyBorder="1" applyAlignment="1">
      <alignment horizontal="center"/>
    </xf>
    <xf numFmtId="0" fontId="23" fillId="16" borderId="22" xfId="0" applyFont="1" applyFill="1" applyBorder="1" applyAlignment="1">
      <alignment horizontal="center"/>
    </xf>
    <xf numFmtId="0" fontId="23" fillId="16" borderId="24" xfId="0" applyFont="1" applyFill="1" applyBorder="1" applyAlignment="1">
      <alignment horizontal="center"/>
    </xf>
    <xf numFmtId="0" fontId="23" fillId="16" borderId="0" xfId="0" applyFont="1" applyFill="1" applyBorder="1" applyAlignment="1">
      <alignment horizontal="center"/>
    </xf>
    <xf numFmtId="172" fontId="23" fillId="16" borderId="24" xfId="0" applyNumberFormat="1" applyFont="1" applyFill="1" applyBorder="1" applyAlignment="1">
      <alignment horizontal="center"/>
    </xf>
    <xf numFmtId="172" fontId="23" fillId="16" borderId="30" xfId="0" applyNumberFormat="1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3" fillId="16" borderId="26" xfId="0" applyFont="1" applyFill="1" applyBorder="1" applyAlignment="1">
      <alignment horizontal="center"/>
    </xf>
    <xf numFmtId="0" fontId="23" fillId="16" borderId="31" xfId="0" applyFont="1" applyFill="1" applyBorder="1" applyAlignment="1">
      <alignment horizontal="center"/>
    </xf>
    <xf numFmtId="172" fontId="23" fillId="16" borderId="26" xfId="0" applyNumberFormat="1" applyFont="1" applyFill="1" applyBorder="1" applyAlignment="1">
      <alignment horizontal="center"/>
    </xf>
    <xf numFmtId="172" fontId="23" fillId="16" borderId="32" xfId="0" applyNumberFormat="1" applyFont="1" applyFill="1" applyBorder="1" applyAlignment="1">
      <alignment horizontal="center"/>
    </xf>
    <xf numFmtId="2" fontId="23" fillId="16" borderId="24" xfId="0" applyNumberFormat="1" applyFont="1" applyFill="1" applyBorder="1" applyAlignment="1">
      <alignment horizontal="center"/>
    </xf>
    <xf numFmtId="2" fontId="23" fillId="16" borderId="0" xfId="0" applyNumberFormat="1" applyFont="1" applyFill="1" applyBorder="1" applyAlignment="1">
      <alignment horizontal="center"/>
    </xf>
    <xf numFmtId="167" fontId="23" fillId="16" borderId="0" xfId="0" applyNumberFormat="1" applyFont="1" applyFill="1" applyBorder="1" applyAlignment="1">
      <alignment horizontal="center"/>
    </xf>
    <xf numFmtId="167" fontId="23" fillId="16" borderId="24" xfId="0" applyNumberFormat="1" applyFont="1" applyFill="1" applyBorder="1" applyAlignment="1">
      <alignment horizontal="center"/>
    </xf>
    <xf numFmtId="2" fontId="23" fillId="16" borderId="26" xfId="0" applyNumberFormat="1" applyFont="1" applyFill="1" applyBorder="1" applyAlignment="1">
      <alignment horizontal="center"/>
    </xf>
    <xf numFmtId="2" fontId="23" fillId="16" borderId="31" xfId="0" applyNumberFormat="1" applyFont="1" applyFill="1" applyBorder="1" applyAlignment="1">
      <alignment horizontal="center"/>
    </xf>
    <xf numFmtId="2" fontId="0" fillId="16" borderId="0" xfId="0" applyNumberFormat="1" applyFill="1"/>
    <xf numFmtId="1" fontId="0" fillId="16" borderId="0" xfId="0" applyNumberFormat="1" applyFill="1"/>
    <xf numFmtId="167" fontId="23" fillId="16" borderId="26" xfId="0" applyNumberFormat="1" applyFont="1" applyFill="1" applyBorder="1" applyAlignment="1">
      <alignment horizontal="center"/>
    </xf>
    <xf numFmtId="167" fontId="23" fillId="16" borderId="31" xfId="0" applyNumberFormat="1" applyFont="1" applyFill="1" applyBorder="1" applyAlignment="1">
      <alignment horizontal="center"/>
    </xf>
    <xf numFmtId="185" fontId="0" fillId="0" borderId="0" xfId="0" applyNumberFormat="1" applyAlignment="1">
      <alignment horizontal="center"/>
    </xf>
    <xf numFmtId="185" fontId="0" fillId="14" borderId="0" xfId="0" applyNumberFormat="1" applyFill="1" applyAlignment="1">
      <alignment horizontal="center"/>
    </xf>
    <xf numFmtId="0" fontId="0" fillId="20" borderId="0" xfId="0" applyFill="1"/>
    <xf numFmtId="0" fontId="15" fillId="0" borderId="21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9" xfId="0" applyNumberFormat="1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30" xfId="0" applyNumberFormat="1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2" fontId="15" fillId="0" borderId="24" xfId="0" applyNumberFormat="1" applyFont="1" applyBorder="1" applyAlignment="1">
      <alignment horizontal="center"/>
    </xf>
    <xf numFmtId="2" fontId="15" fillId="0" borderId="0" xfId="0" applyNumberFormat="1" applyFont="1" applyBorder="1" applyAlignment="1">
      <alignment horizontal="center"/>
    </xf>
    <xf numFmtId="167" fontId="15" fillId="0" borderId="24" xfId="0" applyNumberFormat="1" applyFont="1" applyBorder="1" applyAlignment="1">
      <alignment horizontal="center"/>
    </xf>
    <xf numFmtId="2" fontId="15" fillId="0" borderId="26" xfId="0" applyNumberFormat="1" applyFont="1" applyBorder="1" applyAlignment="1">
      <alignment horizontal="center"/>
    </xf>
    <xf numFmtId="2" fontId="15" fillId="0" borderId="31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167" fontId="15" fillId="0" borderId="31" xfId="0" applyNumberFormat="1" applyFont="1" applyBorder="1" applyAlignment="1">
      <alignment horizontal="center"/>
    </xf>
    <xf numFmtId="167" fontId="15" fillId="0" borderId="26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25" fillId="0" borderId="26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2" fontId="27" fillId="0" borderId="23" xfId="0" applyNumberFormat="1" applyFont="1" applyBorder="1" applyAlignment="1">
      <alignment horizontal="center"/>
    </xf>
    <xf numFmtId="2" fontId="7" fillId="0" borderId="30" xfId="0" applyNumberFormat="1" applyFont="1" applyBorder="1" applyAlignment="1">
      <alignment horizontal="center"/>
    </xf>
    <xf numFmtId="167" fontId="7" fillId="0" borderId="30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27" fillId="0" borderId="24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2" fontId="27" fillId="0" borderId="38" xfId="0" applyNumberFormat="1" applyFont="1" applyBorder="1" applyAlignment="1">
      <alignment horizontal="center"/>
    </xf>
    <xf numFmtId="172" fontId="7" fillId="0" borderId="44" xfId="0" applyNumberFormat="1" applyFont="1" applyBorder="1" applyAlignment="1">
      <alignment horizontal="center"/>
    </xf>
    <xf numFmtId="2" fontId="7" fillId="0" borderId="44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167" fontId="27" fillId="0" borderId="23" xfId="0" applyNumberFormat="1" applyFont="1" applyBorder="1" applyAlignment="1">
      <alignment horizontal="center"/>
    </xf>
    <xf numFmtId="167" fontId="27" fillId="0" borderId="24" xfId="0" applyNumberFormat="1" applyFont="1" applyBorder="1" applyAlignment="1">
      <alignment horizontal="center"/>
    </xf>
    <xf numFmtId="172" fontId="27" fillId="0" borderId="24" xfId="0" applyNumberFormat="1" applyFont="1" applyBorder="1" applyAlignment="1">
      <alignment horizontal="center"/>
    </xf>
    <xf numFmtId="167" fontId="7" fillId="0" borderId="44" xfId="0" applyNumberFormat="1" applyFont="1" applyBorder="1" applyAlignment="1">
      <alignment horizontal="center"/>
    </xf>
    <xf numFmtId="15" fontId="0" fillId="0" borderId="0" xfId="0" applyNumberFormat="1" applyAlignment="1">
      <alignment horizontal="left"/>
    </xf>
    <xf numFmtId="2" fontId="23" fillId="0" borderId="0" xfId="0" applyNumberFormat="1" applyFont="1" applyFill="1" applyBorder="1" applyAlignment="1">
      <alignment horizontal="center"/>
    </xf>
    <xf numFmtId="172" fontId="23" fillId="0" borderId="24" xfId="0" applyNumberFormat="1" applyFont="1" applyFill="1" applyBorder="1" applyAlignment="1">
      <alignment horizontal="center"/>
    </xf>
    <xf numFmtId="167" fontId="23" fillId="0" borderId="0" xfId="0" applyNumberFormat="1" applyFont="1" applyFill="1" applyBorder="1" applyAlignment="1">
      <alignment horizontal="center"/>
    </xf>
    <xf numFmtId="167" fontId="23" fillId="0" borderId="24" xfId="0" applyNumberFormat="1" applyFont="1" applyFill="1" applyBorder="1" applyAlignment="1">
      <alignment horizontal="center"/>
    </xf>
    <xf numFmtId="2" fontId="23" fillId="0" borderId="24" xfId="0" applyNumberFormat="1" applyFont="1" applyFill="1" applyBorder="1" applyAlignment="1">
      <alignment horizontal="center"/>
    </xf>
    <xf numFmtId="0" fontId="23" fillId="0" borderId="26" xfId="0" applyFont="1" applyBorder="1" applyAlignment="1">
      <alignment horizontal="center" vertical="top"/>
    </xf>
    <xf numFmtId="0" fontId="23" fillId="0" borderId="31" xfId="0" applyFont="1" applyBorder="1" applyAlignment="1">
      <alignment horizontal="center" vertical="top"/>
    </xf>
    <xf numFmtId="172" fontId="23" fillId="0" borderId="26" xfId="0" applyNumberFormat="1" applyFont="1" applyBorder="1" applyAlignment="1">
      <alignment horizontal="center" vertical="top"/>
    </xf>
    <xf numFmtId="172" fontId="23" fillId="0" borderId="32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" fillId="3" borderId="0" xfId="0" applyFont="1" applyFill="1" applyAlignment="1">
      <alignment horizontal="right"/>
    </xf>
    <xf numFmtId="0" fontId="2" fillId="13" borderId="0" xfId="0" applyFont="1" applyFill="1"/>
    <xf numFmtId="0" fontId="0" fillId="13" borderId="0" xfId="0" applyFill="1"/>
    <xf numFmtId="15" fontId="2" fillId="13" borderId="0" xfId="0" applyNumberFormat="1" applyFont="1" applyFill="1" applyAlignment="1">
      <alignment horizontal="left"/>
    </xf>
    <xf numFmtId="0" fontId="0" fillId="13" borderId="0" xfId="0" applyFill="1" applyAlignment="1">
      <alignment horizontal="left"/>
    </xf>
    <xf numFmtId="0" fontId="2" fillId="5" borderId="18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0" fillId="8" borderId="27" xfId="0" applyFill="1" applyBorder="1" applyProtection="1">
      <protection locked="0"/>
    </xf>
    <xf numFmtId="0" fontId="0" fillId="22" borderId="45" xfId="0" applyFill="1" applyBorder="1"/>
    <xf numFmtId="0" fontId="2" fillId="22" borderId="27" xfId="0" applyFont="1" applyFill="1" applyBorder="1"/>
    <xf numFmtId="0" fontId="2" fillId="23" borderId="27" xfId="0" applyFont="1" applyFill="1" applyBorder="1"/>
    <xf numFmtId="0" fontId="2" fillId="24" borderId="27" xfId="0" applyFont="1" applyFill="1" applyBorder="1"/>
    <xf numFmtId="0" fontId="2" fillId="25" borderId="27" xfId="0" applyFont="1" applyFill="1" applyBorder="1"/>
    <xf numFmtId="169" fontId="2" fillId="8" borderId="27" xfId="0" applyNumberFormat="1" applyFont="1" applyFill="1" applyBorder="1" applyAlignment="1">
      <alignment horizontal="center"/>
    </xf>
    <xf numFmtId="0" fontId="2" fillId="8" borderId="45" xfId="0" applyFont="1" applyFill="1" applyBorder="1" applyAlignment="1">
      <alignment horizontal="center"/>
    </xf>
    <xf numFmtId="0" fontId="0" fillId="23" borderId="27" xfId="0" applyFill="1" applyBorder="1"/>
    <xf numFmtId="0" fontId="0" fillId="24" borderId="27" xfId="0" applyFill="1" applyBorder="1"/>
    <xf numFmtId="0" fontId="0" fillId="25" borderId="27" xfId="0" applyFill="1" applyBorder="1"/>
    <xf numFmtId="0" fontId="2" fillId="5" borderId="20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0" fillId="8" borderId="27" xfId="0" applyFill="1" applyBorder="1" applyAlignment="1" applyProtection="1">
      <alignment horizontal="center"/>
      <protection locked="0"/>
    </xf>
    <xf numFmtId="186" fontId="0" fillId="8" borderId="27" xfId="0" applyNumberFormat="1" applyFill="1" applyBorder="1" applyProtection="1">
      <protection locked="0"/>
    </xf>
    <xf numFmtId="0" fontId="0" fillId="8" borderId="45" xfId="0" applyFill="1" applyBorder="1"/>
    <xf numFmtId="0" fontId="0" fillId="22" borderId="27" xfId="0" applyFill="1" applyBorder="1"/>
    <xf numFmtId="11" fontId="0" fillId="23" borderId="27" xfId="0" applyNumberFormat="1" applyFill="1" applyBorder="1"/>
    <xf numFmtId="1" fontId="0" fillId="23" borderId="27" xfId="0" applyNumberFormat="1" applyFill="1" applyBorder="1" applyAlignment="1">
      <alignment horizontal="center"/>
    </xf>
    <xf numFmtId="11" fontId="0" fillId="24" borderId="27" xfId="0" applyNumberFormat="1" applyFill="1" applyBorder="1"/>
    <xf numFmtId="1" fontId="0" fillId="24" borderId="27" xfId="0" applyNumberFormat="1" applyFill="1" applyBorder="1" applyAlignment="1">
      <alignment horizontal="center"/>
    </xf>
    <xf numFmtId="1" fontId="0" fillId="25" borderId="27" xfId="0" applyNumberFormat="1" applyFill="1" applyBorder="1" applyAlignment="1">
      <alignment horizontal="center"/>
    </xf>
    <xf numFmtId="11" fontId="0" fillId="25" borderId="27" xfId="0" applyNumberFormat="1" applyFill="1" applyBorder="1"/>
    <xf numFmtId="0" fontId="2" fillId="8" borderId="27" xfId="0" applyFont="1" applyFill="1" applyBorder="1" applyAlignment="1" applyProtection="1">
      <alignment horizontal="center"/>
      <protection locked="0"/>
    </xf>
    <xf numFmtId="0" fontId="2" fillId="26" borderId="0" xfId="0" applyFont="1" applyFill="1"/>
    <xf numFmtId="172" fontId="0" fillId="26" borderId="0" xfId="0" applyNumberFormat="1" applyFill="1"/>
    <xf numFmtId="0" fontId="0" fillId="26" borderId="0" xfId="0" applyFill="1"/>
    <xf numFmtId="11" fontId="0" fillId="26" borderId="0" xfId="0" applyNumberFormat="1" applyFill="1"/>
    <xf numFmtId="165" fontId="0" fillId="26" borderId="0" xfId="0" applyNumberFormat="1" applyFill="1"/>
    <xf numFmtId="164" fontId="0" fillId="26" borderId="0" xfId="0" applyNumberFormat="1" applyFill="1"/>
    <xf numFmtId="167" fontId="0" fillId="26" borderId="0" xfId="0" applyNumberFormat="1" applyFill="1"/>
    <xf numFmtId="0" fontId="2" fillId="26" borderId="0" xfId="0" applyFont="1" applyFill="1" applyAlignment="1">
      <alignment horizontal="center"/>
    </xf>
    <xf numFmtId="172" fontId="0" fillId="26" borderId="0" xfId="0" applyNumberFormat="1" applyFill="1" applyAlignment="1">
      <alignment horizontal="center"/>
    </xf>
    <xf numFmtId="186" fontId="0" fillId="8" borderId="45" xfId="0" applyNumberFormat="1" applyFill="1" applyBorder="1"/>
    <xf numFmtId="0" fontId="23" fillId="0" borderId="31" xfId="0" applyFont="1" applyBorder="1" applyAlignment="1">
      <alignment horizontal="center" vertical="top" wrapText="1"/>
    </xf>
    <xf numFmtId="172" fontId="23" fillId="0" borderId="0" xfId="0" applyNumberFormat="1" applyFont="1" applyAlignment="1">
      <alignment horizontal="center"/>
    </xf>
    <xf numFmtId="187" fontId="23" fillId="0" borderId="0" xfId="0" applyNumberFormat="1" applyFont="1" applyAlignment="1">
      <alignment horizontal="right"/>
    </xf>
    <xf numFmtId="188" fontId="23" fillId="0" borderId="0" xfId="0" applyNumberFormat="1" applyFont="1" applyAlignment="1">
      <alignment horizontal="right"/>
    </xf>
    <xf numFmtId="189" fontId="23" fillId="0" borderId="0" xfId="0" applyNumberFormat="1" applyFont="1" applyAlignment="1">
      <alignment horizontal="right"/>
    </xf>
    <xf numFmtId="190" fontId="23" fillId="0" borderId="0" xfId="0" applyNumberFormat="1" applyFont="1" applyAlignment="1">
      <alignment horizontal="right"/>
    </xf>
    <xf numFmtId="191" fontId="23" fillId="0" borderId="0" xfId="0" applyNumberFormat="1" applyFont="1" applyAlignment="1">
      <alignment horizontal="right"/>
    </xf>
    <xf numFmtId="192" fontId="23" fillId="0" borderId="0" xfId="0" applyNumberFormat="1" applyFont="1" applyAlignment="1">
      <alignment horizontal="right"/>
    </xf>
    <xf numFmtId="193" fontId="23" fillId="0" borderId="0" xfId="0" applyNumberFormat="1" applyFont="1" applyAlignment="1">
      <alignment horizontal="right"/>
    </xf>
    <xf numFmtId="0" fontId="2" fillId="21" borderId="0" xfId="0" applyFont="1" applyFill="1"/>
    <xf numFmtId="0" fontId="0" fillId="27" borderId="0" xfId="0" applyFill="1"/>
    <xf numFmtId="2" fontId="0" fillId="27" borderId="0" xfId="0" applyNumberFormat="1" applyFill="1"/>
    <xf numFmtId="11" fontId="0" fillId="27" borderId="0" xfId="0" applyNumberFormat="1" applyFill="1"/>
    <xf numFmtId="14" fontId="0" fillId="27" borderId="0" xfId="0" applyNumberFormat="1" applyFill="1"/>
    <xf numFmtId="168" fontId="0" fillId="27" borderId="0" xfId="0" applyNumberFormat="1" applyFill="1"/>
    <xf numFmtId="172" fontId="0" fillId="27" borderId="0" xfId="0" applyNumberFormat="1" applyFill="1"/>
    <xf numFmtId="0" fontId="1" fillId="27" borderId="0" xfId="0" applyFont="1" applyFill="1"/>
    <xf numFmtId="0" fontId="1" fillId="0" borderId="0" xfId="0" applyFont="1"/>
    <xf numFmtId="22" fontId="0" fillId="0" borderId="0" xfId="0" applyNumberFormat="1"/>
    <xf numFmtId="2" fontId="0" fillId="28" borderId="0" xfId="0" applyNumberFormat="1" applyFill="1"/>
    <xf numFmtId="2" fontId="0" fillId="28" borderId="45" xfId="0" applyNumberFormat="1" applyFill="1" applyBorder="1"/>
  </cellXfs>
  <cellStyles count="6">
    <cellStyle name="Heading 2" xfId="1" builtinId="17" customBuiltin="1"/>
    <cellStyle name="Normal" xfId="0" builtinId="0"/>
    <cellStyle name="Normal_Sheet1" xfId="2" xr:uid="{00000000-0005-0000-0000-000002000000}"/>
    <cellStyle name="Normal_Uncertainty" xfId="5" xr:uid="{00000000-0005-0000-0000-000003000000}"/>
    <cellStyle name="Normal_Universal Bridge" xfId="4" xr:uid="{00000000-0005-0000-0000-000004000000}"/>
    <cellStyle name="Percent" xfId="3" builtinId="5"/>
  </cellStyles>
  <dxfs count="2"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Historical!$B$26</c:f>
          <c:strCache>
            <c:ptCount val="1"/>
            <c:pt idx="0">
              <c:v>b10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Historical!$D$29:$D$34</c:f>
                <c:numCache>
                  <c:formatCode>General</c:formatCode>
                  <c:ptCount val="6"/>
                  <c:pt idx="0">
                    <c:v>5.111981572989395E-2</c:v>
                  </c:pt>
                  <c:pt idx="1">
                    <c:v>5.1118057396939448E-2</c:v>
                  </c:pt>
                  <c:pt idx="2">
                    <c:v>4.2525009892841206E-2</c:v>
                  </c:pt>
                  <c:pt idx="3">
                    <c:v>5.9123218161199212E-2</c:v>
                  </c:pt>
                  <c:pt idx="4">
                    <c:v>6.1804450847096237E-2</c:v>
                  </c:pt>
                  <c:pt idx="5">
                    <c:v>4.5246907875903374E-2</c:v>
                  </c:pt>
                </c:numCache>
              </c:numRef>
            </c:plus>
            <c:minus>
              <c:numRef>
                <c:f>Historical!$D$29:$D$34</c:f>
                <c:numCache>
                  <c:formatCode>General</c:formatCode>
                  <c:ptCount val="6"/>
                  <c:pt idx="0">
                    <c:v>5.111981572989395E-2</c:v>
                  </c:pt>
                  <c:pt idx="1">
                    <c:v>5.1118057396939448E-2</c:v>
                  </c:pt>
                  <c:pt idx="2">
                    <c:v>4.2525009892841206E-2</c:v>
                  </c:pt>
                  <c:pt idx="3">
                    <c:v>5.9123218161199212E-2</c:v>
                  </c:pt>
                  <c:pt idx="4">
                    <c:v>6.1804450847096237E-2</c:v>
                  </c:pt>
                  <c:pt idx="5">
                    <c:v>4.5246907875903374E-2</c:v>
                  </c:pt>
                </c:numCache>
              </c:numRef>
            </c:minus>
            <c:spPr>
              <a:ln>
                <a:solidFill>
                  <a:srgbClr val="0070C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Historical!$B$29:$B$34</c:f>
              <c:numCache>
                <c:formatCode>d\-mmm\-yy</c:formatCode>
                <c:ptCount val="6"/>
                <c:pt idx="0">
                  <c:v>34971</c:v>
                </c:pt>
                <c:pt idx="1">
                  <c:v>36749</c:v>
                </c:pt>
                <c:pt idx="2">
                  <c:v>38408</c:v>
                </c:pt>
                <c:pt idx="3">
                  <c:v>39997</c:v>
                </c:pt>
                <c:pt idx="4">
                  <c:v>41921</c:v>
                </c:pt>
                <c:pt idx="5">
                  <c:v>44146</c:v>
                </c:pt>
              </c:numCache>
            </c:numRef>
          </c:xVal>
          <c:yVal>
            <c:numRef>
              <c:f>Historical!$C$29:$C$34</c:f>
              <c:numCache>
                <c:formatCode>0.00000</c:formatCode>
                <c:ptCount val="6"/>
                <c:pt idx="0">
                  <c:v>984.77052253200009</c:v>
                </c:pt>
                <c:pt idx="1">
                  <c:v>984.77752365900005</c:v>
                </c:pt>
                <c:pt idx="2">
                  <c:v>984.81803822283041</c:v>
                </c:pt>
                <c:pt idx="3">
                  <c:v>984.94202204321311</c:v>
                </c:pt>
                <c:pt idx="4">
                  <c:v>984.95063994570069</c:v>
                </c:pt>
                <c:pt idx="5">
                  <c:v>984.79408222912127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9C-4EBA-9B73-6CEF0F402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08448"/>
        <c:axId val="156414336"/>
      </c:scatterChart>
      <c:scatterChart>
        <c:scatterStyle val="lineMarker"/>
        <c:varyColors val="0"/>
        <c:ser>
          <c:idx val="1"/>
          <c:order val="1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Historical!$F$29:$F$34</c:f>
                <c:numCache>
                  <c:formatCode>General</c:formatCode>
                  <c:ptCount val="6"/>
                  <c:pt idx="0">
                    <c:v>2.0913459083687032E-2</c:v>
                  </c:pt>
                  <c:pt idx="1">
                    <c:v>2.0871561781857107E-2</c:v>
                  </c:pt>
                  <c:pt idx="2">
                    <c:v>2.0844885511304524E-2</c:v>
                  </c:pt>
                  <c:pt idx="3">
                    <c:v>2.078117907662317E-2</c:v>
                  </c:pt>
                  <c:pt idx="4">
                    <c:v>2.0849970335959339E-2</c:v>
                  </c:pt>
                  <c:pt idx="5">
                    <c:v>2.8508751132540242E-2</c:v>
                  </c:pt>
                </c:numCache>
              </c:numRef>
            </c:plus>
            <c:minus>
              <c:numRef>
                <c:f>Historical!$F$29:$F$34</c:f>
                <c:numCache>
                  <c:formatCode>General</c:formatCode>
                  <c:ptCount val="6"/>
                  <c:pt idx="0">
                    <c:v>2.0913459083687032E-2</c:v>
                  </c:pt>
                  <c:pt idx="1">
                    <c:v>2.0871561781857107E-2</c:v>
                  </c:pt>
                  <c:pt idx="2">
                    <c:v>2.0844885511304524E-2</c:v>
                  </c:pt>
                  <c:pt idx="3">
                    <c:v>2.078117907662317E-2</c:v>
                  </c:pt>
                  <c:pt idx="4">
                    <c:v>2.0849970335959339E-2</c:v>
                  </c:pt>
                  <c:pt idx="5">
                    <c:v>2.8508751132540242E-2</c:v>
                  </c:pt>
                </c:numCache>
              </c:numRef>
            </c:minus>
            <c:spPr>
              <a:ln w="15875">
                <a:solidFill>
                  <a:srgbClr val="FF000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Historical!$B$29:$B$34</c:f>
              <c:numCache>
                <c:formatCode>d\-mmm\-yy</c:formatCode>
                <c:ptCount val="6"/>
                <c:pt idx="0">
                  <c:v>34971</c:v>
                </c:pt>
                <c:pt idx="1">
                  <c:v>36749</c:v>
                </c:pt>
                <c:pt idx="2">
                  <c:v>38408</c:v>
                </c:pt>
                <c:pt idx="3">
                  <c:v>39997</c:v>
                </c:pt>
                <c:pt idx="4">
                  <c:v>41921</c:v>
                </c:pt>
                <c:pt idx="5">
                  <c:v>44146</c:v>
                </c:pt>
              </c:numCache>
            </c:numRef>
          </c:xVal>
          <c:yVal>
            <c:numRef>
              <c:f>Historical!$E$29:$E$34</c:f>
              <c:numCache>
                <c:formatCode>0.00000</c:formatCode>
                <c:ptCount val="6"/>
                <c:pt idx="0">
                  <c:v>4.8375776812000009</c:v>
                </c:pt>
                <c:pt idx="1">
                  <c:v>4.8278862451050006</c:v>
                </c:pt>
                <c:pt idx="2">
                  <c:v>4.8219112189828826</c:v>
                </c:pt>
                <c:pt idx="3">
                  <c:v>4.8071563504590742</c:v>
                </c:pt>
                <c:pt idx="4">
                  <c:v>4.8162647563917478</c:v>
                </c:pt>
                <c:pt idx="5">
                  <c:v>4.8226476107007592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9C-4EBA-9B73-6CEF0F402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17408"/>
        <c:axId val="156415872"/>
      </c:scatterChart>
      <c:valAx>
        <c:axId val="156408448"/>
        <c:scaling>
          <c:orientation val="minMax"/>
          <c:max val="45000"/>
          <c:min val="34000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1920000"/>
          <a:lstStyle/>
          <a:p>
            <a:pPr>
              <a:defRPr/>
            </a:pPr>
            <a:endParaRPr lang="en-US"/>
          </a:p>
        </c:txPr>
        <c:crossAx val="156414336"/>
        <c:crosses val="autoZero"/>
        <c:crossBetween val="midCat"/>
      </c:valAx>
      <c:valAx>
        <c:axId val="156414336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156408448"/>
        <c:crosses val="autoZero"/>
        <c:crossBetween val="midCat"/>
      </c:valAx>
      <c:valAx>
        <c:axId val="156415872"/>
        <c:scaling>
          <c:orientation val="minMax"/>
        </c:scaling>
        <c:delete val="0"/>
        <c:axPos val="r"/>
        <c:numFmt formatCode="0.00000" sourceLinked="1"/>
        <c:majorTickMark val="out"/>
        <c:minorTickMark val="none"/>
        <c:tickLblPos val="nextTo"/>
        <c:crossAx val="156417408"/>
        <c:crosses val="max"/>
        <c:crossBetween val="midCat"/>
      </c:valAx>
      <c:valAx>
        <c:axId val="156417408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56415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0501043841336"/>
          <c:y val="6.7357512953367879E-2"/>
          <c:w val="0.79123173277661796"/>
          <c:h val="0.8160621761658031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fixedVal"/>
            <c:noEndCap val="0"/>
            <c:val val="10"/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'Previous History'!$G$143:$G$146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History'!$K$143:$K$146</c:f>
              <c:numCache>
                <c:formatCode>General</c:formatCode>
                <c:ptCount val="4"/>
                <c:pt idx="0" formatCode="0">
                  <c:v>691242</c:v>
                </c:pt>
                <c:pt idx="1">
                  <c:v>691241</c:v>
                </c:pt>
                <c:pt idx="2" formatCode="0">
                  <c:v>691266</c:v>
                </c:pt>
                <c:pt idx="3">
                  <c:v>691310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E-47A9-90CE-14FB8C9A6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37888"/>
        <c:axId val="156039424"/>
      </c:scatterChart>
      <c:valAx>
        <c:axId val="156037888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39424"/>
        <c:crosses val="autoZero"/>
        <c:crossBetween val="midCat"/>
      </c:valAx>
      <c:valAx>
        <c:axId val="156039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378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37972166998012"/>
          <c:y val="6.4766839378238336E-2"/>
          <c:w val="0.65208747514910537"/>
          <c:h val="0.8290155440414507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History'!$H$149:$H$152</c:f>
              <c:numCache>
                <c:formatCode>General</c:formatCode>
                <c:ptCount val="4"/>
                <c:pt idx="0">
                  <c:v>0.97986939188207456</c:v>
                </c:pt>
                <c:pt idx="1">
                  <c:v>0.97987635817912933</c:v>
                </c:pt>
                <c:pt idx="2">
                  <c:v>0.97990521855264234</c:v>
                </c:pt>
                <c:pt idx="3">
                  <c:v>0.98002464078786833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72-450D-A32B-71F5B33391D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History'!$I$149:$I$152</c:f>
              <c:numCache>
                <c:formatCode>General</c:formatCode>
                <c:ptCount val="4"/>
                <c:pt idx="0">
                  <c:v>0.98055616034729909</c:v>
                </c:pt>
                <c:pt idx="1">
                  <c:v>0.98056389676960165</c:v>
                </c:pt>
                <c:pt idx="2">
                  <c:v>0.98058158002057894</c:v>
                </c:pt>
                <c:pt idx="3">
                  <c:v>0.98067994310413997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72-450D-A32B-71F5B33391D0}"/>
            </c:ext>
          </c:extLst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History'!$J$149:$J$152</c:f>
              <c:numCache>
                <c:formatCode>General</c:formatCode>
                <c:ptCount val="4"/>
                <c:pt idx="0">
                  <c:v>0.98175273304615507</c:v>
                </c:pt>
                <c:pt idx="1">
                  <c:v>0.98174775595322528</c:v>
                </c:pt>
                <c:pt idx="2">
                  <c:v>0.98178135133050137</c:v>
                </c:pt>
                <c:pt idx="3">
                  <c:v>0.98184729781182112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72-450D-A32B-71F5B33391D0}"/>
            </c:ext>
          </c:extLst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History'!$K$149:$K$152</c:f>
              <c:numCache>
                <c:formatCode>General</c:formatCode>
                <c:ptCount val="4"/>
                <c:pt idx="0">
                  <c:v>0.98310812252264557</c:v>
                </c:pt>
                <c:pt idx="1">
                  <c:v>0.98310670028828695</c:v>
                </c:pt>
                <c:pt idx="2">
                  <c:v>0.98314225614725248</c:v>
                </c:pt>
                <c:pt idx="3">
                  <c:v>0.98320483445903184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72-450D-A32B-71F5B33391D0}"/>
            </c:ext>
          </c:extLst>
        </c:ser>
        <c:ser>
          <c:idx val="4"/>
          <c:order val="4"/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History'!$L$149:$L$152</c:f>
              <c:numCache>
                <c:formatCode>General</c:formatCode>
                <c:ptCount val="4"/>
                <c:pt idx="0">
                  <c:v>0.98461742672496033</c:v>
                </c:pt>
                <c:pt idx="1">
                  <c:v>0.98462406358108168</c:v>
                </c:pt>
                <c:pt idx="2">
                  <c:v>0.98563950256763366</c:v>
                </c:pt>
                <c:pt idx="3">
                  <c:v>0.98476509677365831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72-450D-A32B-71F5B33391D0}"/>
            </c:ext>
          </c:extLst>
        </c:ser>
        <c:ser>
          <c:idx val="5"/>
          <c:order val="5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History'!$M$149:$M$152</c:f>
              <c:numCache>
                <c:formatCode>General</c:formatCode>
                <c:ptCount val="4"/>
                <c:pt idx="0">
                  <c:v>0.98640921587639807</c:v>
                </c:pt>
                <c:pt idx="1">
                  <c:v>0.98641320612423233</c:v>
                </c:pt>
                <c:pt idx="2">
                  <c:v>0.98644313298298958</c:v>
                </c:pt>
                <c:pt idx="3">
                  <c:v>0.98648104033741535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72-450D-A32B-71F5B33391D0}"/>
            </c:ext>
          </c:extLst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History'!$N$149:$N$152</c:f>
              <c:numCache>
                <c:formatCode>General</c:formatCode>
                <c:ptCount val="4"/>
                <c:pt idx="0">
                  <c:v>0.9877406529017857</c:v>
                </c:pt>
                <c:pt idx="1">
                  <c:v>0.98773567044005106</c:v>
                </c:pt>
                <c:pt idx="2">
                  <c:v>0.98775560028698983</c:v>
                </c:pt>
                <c:pt idx="3">
                  <c:v>0.98778051259566324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72-450D-A32B-71F5B33391D0}"/>
            </c:ext>
          </c:extLst>
        </c:ser>
        <c:ser>
          <c:idx val="9"/>
          <c:order val="7"/>
          <c:spPr>
            <a:ln w="12700">
              <a:solidFill>
                <a:srgbClr val="69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69FFFF"/>
              </a:solidFill>
              <a:ln>
                <a:solidFill>
                  <a:srgbClr val="69FF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History'!$O$149:$O$152</c:f>
              <c:numCache>
                <c:formatCode>General</c:formatCode>
                <c:ptCount val="4"/>
                <c:pt idx="0">
                  <c:v>0.99265103426179935</c:v>
                </c:pt>
                <c:pt idx="1">
                  <c:v>0.99261098540219073</c:v>
                </c:pt>
                <c:pt idx="2">
                  <c:v>0.99263100983199504</c:v>
                </c:pt>
                <c:pt idx="3">
                  <c:v>0.99257093654258199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72-450D-A32B-71F5B33391D0}"/>
            </c:ext>
          </c:extLst>
        </c:ser>
        <c:ser>
          <c:idx val="10"/>
          <c:order val="8"/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History'!$P$149:$P$152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272-450D-A32B-71F5B33391D0}"/>
            </c:ext>
          </c:extLst>
        </c:ser>
        <c:ser>
          <c:idx val="11"/>
          <c:order val="9"/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History'!$Q$149:$Q$152</c:f>
              <c:numCache>
                <c:formatCode>General</c:formatCode>
                <c:ptCount val="4"/>
                <c:pt idx="0">
                  <c:v>0.98005683761282025</c:v>
                </c:pt>
                <c:pt idx="1">
                  <c:v>0.98023183026312899</c:v>
                </c:pt>
                <c:pt idx="2">
                  <c:v>0.98018783211105132</c:v>
                </c:pt>
                <c:pt idx="3">
                  <c:v>0.98014883374898254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272-450D-A32B-71F5B33391D0}"/>
            </c:ext>
          </c:extLst>
        </c:ser>
        <c:ser>
          <c:idx val="12"/>
          <c:order val="10"/>
          <c:spPr>
            <a:ln w="12700">
              <a:solidFill>
                <a:srgbClr val="A6CAF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A6CAF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History'!$R$149:$R$152</c:f>
              <c:numCache>
                <c:formatCode>General</c:formatCode>
                <c:ptCount val="4"/>
                <c:pt idx="0">
                  <c:v>0.98106250395781003</c:v>
                </c:pt>
                <c:pt idx="1">
                  <c:v>0.98123359244722086</c:v>
                </c:pt>
                <c:pt idx="2">
                  <c:v>0.98118582098589191</c:v>
                </c:pt>
                <c:pt idx="3">
                  <c:v>0.98116360170155281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272-450D-A32B-71F5B33391D0}"/>
            </c:ext>
          </c:extLst>
        </c:ser>
        <c:ser>
          <c:idx val="13"/>
          <c:order val="11"/>
          <c:spPr>
            <a:ln w="12700">
              <a:solidFill>
                <a:srgbClr val="CC9C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CC9CCC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History'!$S$149:$S$152</c:f>
              <c:numCache>
                <c:formatCode>General</c:formatCode>
                <c:ptCount val="4"/>
                <c:pt idx="0">
                  <c:v>0.98211251911295883</c:v>
                </c:pt>
                <c:pt idx="1">
                  <c:v>0.98227241837642287</c:v>
                </c:pt>
                <c:pt idx="2">
                  <c:v>0.98221620379161123</c:v>
                </c:pt>
                <c:pt idx="3">
                  <c:v>0.98222619749557782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272-450D-A32B-71F5B33391D0}"/>
            </c:ext>
          </c:extLst>
        </c:ser>
        <c:ser>
          <c:idx val="14"/>
          <c:order val="12"/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History'!$T$149:$T$152</c:f>
              <c:numCache>
                <c:formatCode>General</c:formatCode>
                <c:ptCount val="4"/>
                <c:pt idx="0">
                  <c:v>0.98354770096072863</c:v>
                </c:pt>
                <c:pt idx="1">
                  <c:v>0.98370044681731883</c:v>
                </c:pt>
                <c:pt idx="2">
                  <c:v>0.98363906296840875</c:v>
                </c:pt>
                <c:pt idx="3">
                  <c:v>0.98365476581347877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272-450D-A32B-71F5B33391D0}"/>
            </c:ext>
          </c:extLst>
        </c:ser>
        <c:ser>
          <c:idx val="15"/>
          <c:order val="13"/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History'!$U$149:$U$152</c:f>
              <c:numCache>
                <c:formatCode>General</c:formatCode>
                <c:ptCount val="4"/>
                <c:pt idx="0">
                  <c:v>0.98486208659705898</c:v>
                </c:pt>
                <c:pt idx="1">
                  <c:v>0.98502530757994911</c:v>
                </c:pt>
                <c:pt idx="2">
                  <c:v>0.98496035229083978</c:v>
                </c:pt>
                <c:pt idx="3">
                  <c:v>0.98498866613481051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272-450D-A32B-71F5B33391D0}"/>
            </c:ext>
          </c:extLst>
        </c:ser>
        <c:ser>
          <c:idx val="16"/>
          <c:order val="14"/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History'!$V$149:$V$152</c:f>
              <c:numCache>
                <c:formatCode>General</c:formatCode>
                <c:ptCount val="4"/>
                <c:pt idx="0">
                  <c:v>0.9860367926414717</c:v>
                </c:pt>
                <c:pt idx="1">
                  <c:v>0.98618676264747052</c:v>
                </c:pt>
                <c:pt idx="2">
                  <c:v>0.98611877624475108</c:v>
                </c:pt>
                <c:pt idx="3">
                  <c:v>0.98614677064587086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272-450D-A32B-71F5B33391D0}"/>
            </c:ext>
          </c:extLst>
        </c:ser>
        <c:ser>
          <c:idx val="17"/>
          <c:order val="15"/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History'!$W$149:$W$152</c:f>
              <c:numCache>
                <c:formatCode>General</c:formatCode>
                <c:ptCount val="4"/>
                <c:pt idx="0">
                  <c:v>0.98733996763713572</c:v>
                </c:pt>
                <c:pt idx="1">
                  <c:v>0.9874650173443944</c:v>
                </c:pt>
                <c:pt idx="2">
                  <c:v>0.98739749050247472</c:v>
                </c:pt>
                <c:pt idx="3">
                  <c:v>0.987430003426362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272-450D-A32B-71F5B33391D0}"/>
            </c:ext>
          </c:extLst>
        </c:ser>
        <c:ser>
          <c:idx val="18"/>
          <c:order val="16"/>
          <c:spPr>
            <a:ln w="12700">
              <a:solidFill>
                <a:srgbClr val="339933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9933"/>
              </a:solidFill>
              <a:ln>
                <a:solidFill>
                  <a:srgbClr val="33993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History'!$X$149:$X$152</c:f>
              <c:numCache>
                <c:formatCode>General</c:formatCode>
                <c:ptCount val="4"/>
                <c:pt idx="0">
                  <c:v>0.98895285306894809</c:v>
                </c:pt>
                <c:pt idx="1">
                  <c:v>0.9905452946350044</c:v>
                </c:pt>
                <c:pt idx="2">
                  <c:v>0.98887956077929695</c:v>
                </c:pt>
                <c:pt idx="3">
                  <c:v>0.98902947682631059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272-450D-A32B-71F5B33391D0}"/>
            </c:ext>
          </c:extLst>
        </c:ser>
        <c:ser>
          <c:idx val="19"/>
          <c:order val="17"/>
          <c:spPr>
            <a:ln w="12700">
              <a:solidFill>
                <a:srgbClr val="999933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9933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History'!$Y$149:$Y$152</c:f>
              <c:numCache>
                <c:formatCode>General</c:formatCode>
                <c:ptCount val="4"/>
                <c:pt idx="0">
                  <c:v>0.99005955267987056</c:v>
                </c:pt>
                <c:pt idx="1">
                  <c:v>0.99493977228975305</c:v>
                </c:pt>
                <c:pt idx="2">
                  <c:v>0.99007455335490102</c:v>
                </c:pt>
                <c:pt idx="3">
                  <c:v>0.99011955537999208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272-450D-A32B-71F5B33391D0}"/>
            </c:ext>
          </c:extLst>
        </c:ser>
        <c:ser>
          <c:idx val="20"/>
          <c:order val="18"/>
          <c:spPr>
            <a:ln w="12700">
              <a:solidFill>
                <a:srgbClr val="996633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6633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History'!$Z$149:$Z$152</c:f>
              <c:numCache>
                <c:formatCode>General</c:formatCode>
                <c:ptCount val="4"/>
                <c:pt idx="0">
                  <c:v>0.99209391471011021</c:v>
                </c:pt>
                <c:pt idx="1">
                  <c:v>0.99215380929563968</c:v>
                </c:pt>
                <c:pt idx="2">
                  <c:v>0.99206396741734548</c:v>
                </c:pt>
                <c:pt idx="3">
                  <c:v>0.99213384443379649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272-450D-A32B-71F5B3339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70496"/>
        <c:axId val="158176768"/>
      </c:scatterChart>
      <c:valAx>
        <c:axId val="158170496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76768"/>
        <c:crosses val="autoZero"/>
        <c:crossBetween val="midCat"/>
      </c:valAx>
      <c:valAx>
        <c:axId val="158176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704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306163021868783"/>
          <c:y val="3.1088082901554404E-2"/>
          <c:w val="0.1610337972166998"/>
          <c:h val="0.937823834196891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55949895615867"/>
          <c:y val="6.4766839378238336E-2"/>
          <c:w val="0.63465553235908145"/>
          <c:h val="0.8290155440414507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History'!$H$154:$H$157</c:f>
              <c:numCache>
                <c:formatCode>General</c:formatCode>
                <c:ptCount val="4"/>
                <c:pt idx="0">
                  <c:v>1</c:v>
                </c:pt>
                <c:pt idx="1">
                  <c:v>1.0000071094138796</c:v>
                </c:pt>
                <c:pt idx="2">
                  <c:v>1.0000365626999523</c:v>
                </c:pt>
                <c:pt idx="3">
                  <c:v>1.0001584383664599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8-4A83-89A9-ED5AE92C54C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History'!$I$154:$I$157</c:f>
              <c:numCache>
                <c:formatCode>General</c:formatCode>
                <c:ptCount val="4"/>
                <c:pt idx="0">
                  <c:v>1</c:v>
                </c:pt>
                <c:pt idx="1">
                  <c:v>1.0000078898309097</c:v>
                </c:pt>
                <c:pt idx="2">
                  <c:v>1.0000259237301317</c:v>
                </c:pt>
                <c:pt idx="3">
                  <c:v>1.0001262372945543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78-4A83-89A9-ED5AE92C54C7}"/>
            </c:ext>
          </c:extLst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History'!$J$154:$J$157</c:f>
              <c:numCache>
                <c:formatCode>General</c:formatCode>
                <c:ptCount val="4"/>
                <c:pt idx="0">
                  <c:v>1</c:v>
                </c:pt>
                <c:pt idx="1">
                  <c:v>0.99999493040073917</c:v>
                </c:pt>
                <c:pt idx="2">
                  <c:v>1.0000291501957499</c:v>
                </c:pt>
                <c:pt idx="3">
                  <c:v>1.0000963223859562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78-4A83-89A9-ED5AE92C54C7}"/>
            </c:ext>
          </c:extLst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History'!$K$154:$K$157</c:f>
              <c:numCache>
                <c:formatCode>General</c:formatCode>
                <c:ptCount val="4"/>
                <c:pt idx="0">
                  <c:v>1</c:v>
                </c:pt>
                <c:pt idx="1">
                  <c:v>0.99999855332864618</c:v>
                </c:pt>
                <c:pt idx="2">
                  <c:v>1.0000347201124931</c:v>
                </c:pt>
                <c:pt idx="3">
                  <c:v>1.0000983736520639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78-4A83-89A9-ED5AE92C54C7}"/>
            </c:ext>
          </c:extLst>
        </c:ser>
        <c:ser>
          <c:idx val="4"/>
          <c:order val="4"/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History'!$L$154:$L$157</c:f>
              <c:numCache>
                <c:formatCode>General</c:formatCode>
                <c:ptCount val="4"/>
                <c:pt idx="0">
                  <c:v>1</c:v>
                </c:pt>
                <c:pt idx="1">
                  <c:v>1.0000067405430182</c:v>
                </c:pt>
                <c:pt idx="2">
                  <c:v>1.0010380436247943</c:v>
                </c:pt>
                <c:pt idx="3">
                  <c:v>1.0001499770821538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78-4A83-89A9-ED5AE92C54C7}"/>
            </c:ext>
          </c:extLst>
        </c:ser>
        <c:ser>
          <c:idx val="5"/>
          <c:order val="5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History'!$M$154:$M$157</c:f>
              <c:numCache>
                <c:formatCode>General</c:formatCode>
                <c:ptCount val="4"/>
                <c:pt idx="0">
                  <c:v>1</c:v>
                </c:pt>
                <c:pt idx="1">
                  <c:v>1.0000040452256225</c:v>
                </c:pt>
                <c:pt idx="2">
                  <c:v>1.000034384417791</c:v>
                </c:pt>
                <c:pt idx="3">
                  <c:v>1.0000728140612043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78-4A83-89A9-ED5AE92C54C7}"/>
            </c:ext>
          </c:extLst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History'!$N$154:$N$157</c:f>
              <c:numCache>
                <c:formatCode>General</c:formatCode>
                <c:ptCount val="4"/>
                <c:pt idx="0">
                  <c:v>1</c:v>
                </c:pt>
                <c:pt idx="1">
                  <c:v>0.99999495569842145</c:v>
                </c:pt>
                <c:pt idx="2">
                  <c:v>1.000015132904736</c:v>
                </c:pt>
                <c:pt idx="3">
                  <c:v>1.0000403544126288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578-4A83-89A9-ED5AE92C54C7}"/>
            </c:ext>
          </c:extLst>
        </c:ser>
        <c:ser>
          <c:idx val="7"/>
          <c:order val="7"/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78-4A83-89A9-ED5AE92C54C7}"/>
            </c:ext>
          </c:extLst>
        </c:ser>
        <c:ser>
          <c:idx val="8"/>
          <c:order val="8"/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578-4A83-89A9-ED5AE92C54C7}"/>
            </c:ext>
          </c:extLst>
        </c:ser>
        <c:ser>
          <c:idx val="9"/>
          <c:order val="9"/>
          <c:spPr>
            <a:ln w="12700">
              <a:solidFill>
                <a:srgbClr val="69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69FFFF"/>
              </a:solidFill>
              <a:ln>
                <a:solidFill>
                  <a:srgbClr val="69FF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History'!$O$154:$O$157</c:f>
              <c:numCache>
                <c:formatCode>General</c:formatCode>
                <c:ptCount val="4"/>
                <c:pt idx="0">
                  <c:v>1</c:v>
                </c:pt>
                <c:pt idx="1">
                  <c:v>0.99995965464375058</c:v>
                </c:pt>
                <c:pt idx="2">
                  <c:v>0.99997982732187529</c:v>
                </c:pt>
                <c:pt idx="3">
                  <c:v>0.99991930928750106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578-4A83-89A9-ED5AE92C54C7}"/>
            </c:ext>
          </c:extLst>
        </c:ser>
        <c:ser>
          <c:idx val="10"/>
          <c:order val="10"/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History'!$P$154:$P$157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578-4A83-89A9-ED5AE92C54C7}"/>
            </c:ext>
          </c:extLst>
        </c:ser>
        <c:ser>
          <c:idx val="11"/>
          <c:order val="11"/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History'!$Q$154:$Q$157</c:f>
              <c:numCache>
                <c:formatCode>General</c:formatCode>
                <c:ptCount val="4"/>
                <c:pt idx="0">
                  <c:v>1</c:v>
                </c:pt>
                <c:pt idx="1">
                  <c:v>1.0001785535732142</c:v>
                </c:pt>
                <c:pt idx="2">
                  <c:v>1.0001336601033775</c:v>
                </c:pt>
                <c:pt idx="3">
                  <c:v>1.000093868164204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578-4A83-89A9-ED5AE92C54C7}"/>
            </c:ext>
          </c:extLst>
        </c:ser>
        <c:ser>
          <c:idx val="12"/>
          <c:order val="12"/>
          <c:spPr>
            <a:ln w="12700">
              <a:solidFill>
                <a:srgbClr val="A6CAF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A6CAF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History'!$R$154:$R$157</c:f>
              <c:numCache>
                <c:formatCode>General</c:formatCode>
                <c:ptCount val="4"/>
                <c:pt idx="0">
                  <c:v>1</c:v>
                </c:pt>
                <c:pt idx="1">
                  <c:v>1.000174391018636</c:v>
                </c:pt>
                <c:pt idx="2">
                  <c:v>1.0001256974225234</c:v>
                </c:pt>
                <c:pt idx="3">
                  <c:v>1.000103049238285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578-4A83-89A9-ED5AE92C54C7}"/>
            </c:ext>
          </c:extLst>
        </c:ser>
        <c:ser>
          <c:idx val="13"/>
          <c:order val="13"/>
          <c:spPr>
            <a:ln w="12700">
              <a:solidFill>
                <a:srgbClr val="CC9C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CC9CCC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History'!$S$154:$S$157</c:f>
              <c:numCache>
                <c:formatCode>General</c:formatCode>
                <c:ptCount val="4"/>
                <c:pt idx="0">
                  <c:v>1</c:v>
                </c:pt>
                <c:pt idx="1">
                  <c:v>1.0001628115519885</c:v>
                </c:pt>
                <c:pt idx="2">
                  <c:v>1.0001055731157424</c:v>
                </c:pt>
                <c:pt idx="3">
                  <c:v>1.0001157488377419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578-4A83-89A9-ED5AE92C54C7}"/>
            </c:ext>
          </c:extLst>
        </c:ser>
        <c:ser>
          <c:idx val="14"/>
          <c:order val="14"/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History'!$T$154:$T$157</c:f>
              <c:numCache>
                <c:formatCode>General</c:formatCode>
                <c:ptCount val="4"/>
                <c:pt idx="0">
                  <c:v>1</c:v>
                </c:pt>
                <c:pt idx="1">
                  <c:v>1.0001553009136628</c:v>
                </c:pt>
                <c:pt idx="2">
                  <c:v>1.0000928902661161</c:v>
                </c:pt>
                <c:pt idx="3">
                  <c:v>1.0001088557806048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578-4A83-89A9-ED5AE92C54C7}"/>
            </c:ext>
          </c:extLst>
        </c:ser>
        <c:ser>
          <c:idx val="15"/>
          <c:order val="15"/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History'!$U$154:$U$157</c:f>
              <c:numCache>
                <c:formatCode>General</c:formatCode>
                <c:ptCount val="4"/>
                <c:pt idx="0">
                  <c:v>1</c:v>
                </c:pt>
                <c:pt idx="1">
                  <c:v>1.0001657297860396</c:v>
                </c:pt>
                <c:pt idx="2">
                  <c:v>1.0000997760956769</c:v>
                </c:pt>
                <c:pt idx="3">
                  <c:v>1.0001285251401939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578-4A83-89A9-ED5AE92C54C7}"/>
            </c:ext>
          </c:extLst>
        </c:ser>
        <c:ser>
          <c:idx val="16"/>
          <c:order val="16"/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History'!$V$154:$V$157</c:f>
              <c:numCache>
                <c:formatCode>General</c:formatCode>
                <c:ptCount val="4"/>
                <c:pt idx="0">
                  <c:v>1</c:v>
                </c:pt>
                <c:pt idx="1">
                  <c:v>1.0001520937221795</c:v>
                </c:pt>
                <c:pt idx="2">
                  <c:v>1.0000831445681249</c:v>
                </c:pt>
                <c:pt idx="3">
                  <c:v>1.0001115353962651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578-4A83-89A9-ED5AE92C54C7}"/>
            </c:ext>
          </c:extLst>
        </c:ser>
        <c:ser>
          <c:idx val="17"/>
          <c:order val="17"/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History'!$W$154:$W$157</c:f>
              <c:numCache>
                <c:formatCode>General</c:formatCode>
                <c:ptCount val="4"/>
                <c:pt idx="0">
                  <c:v>1</c:v>
                </c:pt>
                <c:pt idx="1">
                  <c:v>1.0001266531401114</c:v>
                </c:pt>
                <c:pt idx="2">
                  <c:v>1.0000582604444512</c:v>
                </c:pt>
                <c:pt idx="3">
                  <c:v>1.0000911902608802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578-4A83-89A9-ED5AE92C54C7}"/>
            </c:ext>
          </c:extLst>
        </c:ser>
        <c:ser>
          <c:idx val="18"/>
          <c:order val="18"/>
          <c:spPr>
            <a:ln w="12700">
              <a:solidFill>
                <a:srgbClr val="339933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9933"/>
              </a:solidFill>
              <a:ln>
                <a:solidFill>
                  <a:srgbClr val="33993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History'!$X$154:$X$157</c:f>
              <c:numCache>
                <c:formatCode>General</c:formatCode>
                <c:ptCount val="4"/>
                <c:pt idx="0">
                  <c:v>1</c:v>
                </c:pt>
                <c:pt idx="1">
                  <c:v>1.0016102300136094</c:v>
                </c:pt>
                <c:pt idx="2">
                  <c:v>0.99992588899518953</c:v>
                </c:pt>
                <c:pt idx="3">
                  <c:v>1.0000774796868472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578-4A83-89A9-ED5AE92C54C7}"/>
            </c:ext>
          </c:extLst>
        </c:ser>
        <c:ser>
          <c:idx val="19"/>
          <c:order val="19"/>
          <c:spPr>
            <a:ln w="12700">
              <a:solidFill>
                <a:srgbClr val="999933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9933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History'!$Y$154:$Y$157</c:f>
              <c:numCache>
                <c:formatCode>General</c:formatCode>
                <c:ptCount val="4"/>
                <c:pt idx="0">
                  <c:v>1</c:v>
                </c:pt>
                <c:pt idx="1">
                  <c:v>1.004929218244168</c:v>
                </c:pt>
                <c:pt idx="2">
                  <c:v>1.0000151512855866</c:v>
                </c:pt>
                <c:pt idx="3">
                  <c:v>1.0000606051423464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578-4A83-89A9-ED5AE92C54C7}"/>
            </c:ext>
          </c:extLst>
        </c:ser>
        <c:ser>
          <c:idx val="20"/>
          <c:order val="20"/>
          <c:spPr>
            <a:ln w="12700">
              <a:solidFill>
                <a:srgbClr val="996633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6633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History'!$Z$154:$Z$157</c:f>
              <c:numCache>
                <c:formatCode>General</c:formatCode>
                <c:ptCount val="4"/>
                <c:pt idx="0">
                  <c:v>1</c:v>
                </c:pt>
                <c:pt idx="1">
                  <c:v>1.0000603718908476</c:v>
                </c:pt>
                <c:pt idx="2">
                  <c:v>0.99996981405457619</c:v>
                </c:pt>
                <c:pt idx="3">
                  <c:v>1.0000402479272317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578-4A83-89A9-ED5AE92C5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50880"/>
        <c:axId val="163861248"/>
      </c:scatterChart>
      <c:valAx>
        <c:axId val="163850880"/>
        <c:scaling>
          <c:orientation val="minMax"/>
          <c:min val="34971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861248"/>
        <c:crosses val="autoZero"/>
        <c:crossBetween val="midCat"/>
      </c:valAx>
      <c:valAx>
        <c:axId val="163861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85088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19624217119002"/>
          <c:y val="1.2953367875647668E-2"/>
          <c:w val="0.16910229645093947"/>
          <c:h val="0.979274611398963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25</xdr:row>
      <xdr:rowOff>114299</xdr:rowOff>
    </xdr:from>
    <xdr:to>
      <xdr:col>19</xdr:col>
      <xdr:colOff>314325</xdr:colOff>
      <xdr:row>52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111</xdr:row>
      <xdr:rowOff>85725</xdr:rowOff>
    </xdr:from>
    <xdr:to>
      <xdr:col>13</xdr:col>
      <xdr:colOff>304800</xdr:colOff>
      <xdr:row>134</xdr:row>
      <xdr:rowOff>38100</xdr:rowOff>
    </xdr:to>
    <xdr:graphicFrame macro="">
      <xdr:nvGraphicFramePr>
        <xdr:cNvPr id="4121" name="Chart 25">
          <a:extLst>
            <a:ext uri="{FF2B5EF4-FFF2-40B4-BE49-F238E27FC236}">
              <a16:creationId xmlns:a16="http://schemas.microsoft.com/office/drawing/2014/main" id="{00000000-0008-0000-0700-000019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116</xdr:row>
      <xdr:rowOff>9525</xdr:rowOff>
    </xdr:from>
    <xdr:to>
      <xdr:col>21</xdr:col>
      <xdr:colOff>523875</xdr:colOff>
      <xdr:row>138</xdr:row>
      <xdr:rowOff>123825</xdr:rowOff>
    </xdr:to>
    <xdr:graphicFrame macro="">
      <xdr:nvGraphicFramePr>
        <xdr:cNvPr id="4122" name="Chart 26">
          <a:extLst>
            <a:ext uri="{FF2B5EF4-FFF2-40B4-BE49-F238E27FC236}">
              <a16:creationId xmlns:a16="http://schemas.microsoft.com/office/drawing/2014/main" id="{00000000-0008-0000-0700-00001A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159</xdr:row>
      <xdr:rowOff>57150</xdr:rowOff>
    </xdr:from>
    <xdr:to>
      <xdr:col>17</xdr:col>
      <xdr:colOff>304800</xdr:colOff>
      <xdr:row>182</xdr:row>
      <xdr:rowOff>9525</xdr:rowOff>
    </xdr:to>
    <xdr:graphicFrame macro="">
      <xdr:nvGraphicFramePr>
        <xdr:cNvPr id="4123" name="Chart 27">
          <a:extLst>
            <a:ext uri="{FF2B5EF4-FFF2-40B4-BE49-F238E27FC236}">
              <a16:creationId xmlns:a16="http://schemas.microsoft.com/office/drawing/2014/main" id="{00000000-0008-0000-0700-00001B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estds\Checking\s21580\s21580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Universal Bridge"/>
      <sheetName val="Uncertainty"/>
      <sheetName val="Report"/>
      <sheetName val="HP History"/>
    </sheetNames>
    <sheetDataSet>
      <sheetData sheetId="0" refreshError="1"/>
      <sheetData sheetId="1">
        <row r="41">
          <cell r="H41" t="str">
            <v>microhenries</v>
          </cell>
          <cell r="I41">
            <v>9.9999999999999995E-7</v>
          </cell>
          <cell r="K41" t="str">
            <v>mW</v>
          </cell>
          <cell r="L41">
            <v>1E-3</v>
          </cell>
        </row>
        <row r="42">
          <cell r="H42" t="str">
            <v>microhenries</v>
          </cell>
          <cell r="I42">
            <v>9.9999999999999995E-7</v>
          </cell>
          <cell r="K42" t="str">
            <v>W</v>
          </cell>
          <cell r="L42">
            <v>1</v>
          </cell>
        </row>
        <row r="43">
          <cell r="H43" t="str">
            <v>millihenries</v>
          </cell>
          <cell r="I43">
            <v>1E-3</v>
          </cell>
          <cell r="K43" t="str">
            <v>W</v>
          </cell>
          <cell r="L43">
            <v>1</v>
          </cell>
        </row>
        <row r="44">
          <cell r="H44" t="str">
            <v>millihenries</v>
          </cell>
          <cell r="I44">
            <v>1E-3</v>
          </cell>
          <cell r="K44" t="str">
            <v>ohm</v>
          </cell>
          <cell r="L44">
            <v>1</v>
          </cell>
        </row>
        <row r="45">
          <cell r="H45" t="str">
            <v>millihenries</v>
          </cell>
          <cell r="I45">
            <v>1E-3</v>
          </cell>
          <cell r="K45" t="str">
            <v>ohm</v>
          </cell>
          <cell r="L45">
            <v>1</v>
          </cell>
        </row>
        <row r="46">
          <cell r="H46" t="str">
            <v>H</v>
          </cell>
          <cell r="I46">
            <v>1</v>
          </cell>
          <cell r="K46" t="str">
            <v>kW</v>
          </cell>
          <cell r="L46">
            <v>1</v>
          </cell>
        </row>
        <row r="47">
          <cell r="H47" t="str">
            <v>H</v>
          </cell>
          <cell r="I47">
            <v>1</v>
          </cell>
          <cell r="K47" t="str">
            <v>kW</v>
          </cell>
          <cell r="L47">
            <v>1000</v>
          </cell>
        </row>
        <row r="48">
          <cell r="H48" t="str">
            <v>microfarads</v>
          </cell>
          <cell r="I48">
            <v>9.9999999999999995E-7</v>
          </cell>
          <cell r="K48" t="str">
            <v>milliseimens</v>
          </cell>
          <cell r="L48">
            <v>1E-3</v>
          </cell>
        </row>
        <row r="49">
          <cell r="H49" t="str">
            <v>microfarads</v>
          </cell>
          <cell r="I49">
            <v>9.9999999999999995E-7</v>
          </cell>
          <cell r="K49" t="str">
            <v>milliseimens</v>
          </cell>
          <cell r="L49">
            <v>1E-3</v>
          </cell>
        </row>
        <row r="50">
          <cell r="H50" t="str">
            <v>microfarads</v>
          </cell>
          <cell r="I50">
            <v>9.9999999999999995E-7</v>
          </cell>
          <cell r="K50" t="str">
            <v>milliseimens</v>
          </cell>
          <cell r="L50">
            <v>1E-3</v>
          </cell>
        </row>
        <row r="51">
          <cell r="H51" t="str">
            <v>nF</v>
          </cell>
          <cell r="I51">
            <v>1.0000000000000001E-9</v>
          </cell>
          <cell r="K51" t="str">
            <v>microseimens</v>
          </cell>
          <cell r="L51">
            <v>9.9999999999999995E-7</v>
          </cell>
        </row>
        <row r="52">
          <cell r="H52" t="str">
            <v>nF</v>
          </cell>
          <cell r="I52">
            <v>1.0000000000000001E-9</v>
          </cell>
          <cell r="K52" t="str">
            <v>microseimens</v>
          </cell>
          <cell r="L52">
            <v>9.9999999999999995E-7</v>
          </cell>
        </row>
        <row r="53">
          <cell r="H53" t="str">
            <v>pF</v>
          </cell>
          <cell r="I53">
            <v>9.9999999999999998E-13</v>
          </cell>
          <cell r="K53" t="str">
            <v>nS</v>
          </cell>
          <cell r="L53">
            <v>1.0000000000000001E-9</v>
          </cell>
        </row>
        <row r="54">
          <cell r="H54" t="str">
            <v>pF</v>
          </cell>
          <cell r="I54">
            <v>9.9999999999999998E-13</v>
          </cell>
          <cell r="K54" t="str">
            <v>nS</v>
          </cell>
          <cell r="L54">
            <v>1.0000000000000001E-9</v>
          </cell>
        </row>
        <row r="55">
          <cell r="H55" t="str">
            <v>nF</v>
          </cell>
          <cell r="I55">
            <v>1.0000000000000001E-9</v>
          </cell>
          <cell r="K55" t="str">
            <v>microseimens</v>
          </cell>
          <cell r="L55">
            <v>9.9999999999999995E-7</v>
          </cell>
        </row>
        <row r="56">
          <cell r="H56" t="str">
            <v>pF</v>
          </cell>
          <cell r="I56">
            <v>9.9999999999999998E-13</v>
          </cell>
          <cell r="K56" t="str">
            <v>nS</v>
          </cell>
          <cell r="L56">
            <v>1.0000000000000001E-9</v>
          </cell>
        </row>
        <row r="57">
          <cell r="H57" t="str">
            <v>pF</v>
          </cell>
          <cell r="I57">
            <v>9.9999999999999998E-13</v>
          </cell>
          <cell r="K57" t="str">
            <v>nS</v>
          </cell>
          <cell r="L57">
            <v>1.0000000000000001E-9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20" sqref="A20"/>
    </sheetView>
  </sheetViews>
  <sheetFormatPr defaultRowHeight="12.75"/>
  <sheetData>
    <row r="1" spans="1:1">
      <c r="A1" s="157" t="s">
        <v>187</v>
      </c>
    </row>
    <row r="2" spans="1:1">
      <c r="A2" s="157" t="s">
        <v>192</v>
      </c>
    </row>
    <row r="3" spans="1:1">
      <c r="A3" t="s">
        <v>193</v>
      </c>
    </row>
    <row r="4" spans="1:1">
      <c r="A4" t="s">
        <v>195</v>
      </c>
    </row>
    <row r="5" spans="1:1">
      <c r="A5" s="157" t="s">
        <v>229</v>
      </c>
    </row>
    <row r="6" spans="1:1">
      <c r="A6" s="157" t="s">
        <v>196</v>
      </c>
    </row>
    <row r="7" spans="1:1">
      <c r="A7" s="157" t="s">
        <v>230</v>
      </c>
    </row>
    <row r="8" spans="1:1">
      <c r="A8" s="157" t="s">
        <v>289</v>
      </c>
    </row>
    <row r="9" spans="1:1">
      <c r="A9" s="157" t="s">
        <v>296</v>
      </c>
    </row>
    <row r="10" spans="1:1">
      <c r="A10" s="157" t="s">
        <v>305</v>
      </c>
    </row>
    <row r="11" spans="1:1">
      <c r="A11" s="157" t="s">
        <v>317</v>
      </c>
    </row>
    <row r="13" spans="1:1">
      <c r="A13" s="157" t="s">
        <v>316</v>
      </c>
    </row>
    <row r="15" spans="1:1">
      <c r="A15" s="157" t="s">
        <v>372</v>
      </c>
    </row>
    <row r="16" spans="1:1">
      <c r="A16" s="157" t="s">
        <v>374</v>
      </c>
    </row>
    <row r="17" spans="1:1">
      <c r="A17" s="157" t="s">
        <v>375</v>
      </c>
    </row>
    <row r="18" spans="1:1">
      <c r="A18" s="157" t="s">
        <v>373</v>
      </c>
    </row>
    <row r="19" spans="1:1">
      <c r="A19" s="157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5026-D76A-4778-8CB1-640A4C5261B0}">
  <dimension ref="A1:R62"/>
  <sheetViews>
    <sheetView topLeftCell="A4" workbookViewId="0">
      <selection activeCell="E44" sqref="E44"/>
    </sheetView>
  </sheetViews>
  <sheetFormatPr defaultRowHeight="12.75"/>
  <cols>
    <col min="1" max="1" width="23.85546875" customWidth="1"/>
    <col min="2" max="2" width="20.85546875" customWidth="1"/>
    <col min="4" max="4" width="17.28515625" customWidth="1"/>
    <col min="5" max="5" width="2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79" t="s">
        <v>318</v>
      </c>
    </row>
    <row r="2" spans="1:18">
      <c r="A2" s="331">
        <v>1</v>
      </c>
      <c r="B2" s="332">
        <v>2</v>
      </c>
      <c r="C2" s="331"/>
      <c r="D2" s="331">
        <v>3</v>
      </c>
      <c r="E2" s="332">
        <v>4</v>
      </c>
      <c r="F2" s="331">
        <v>5</v>
      </c>
      <c r="G2" s="332">
        <v>6</v>
      </c>
      <c r="H2" s="331">
        <v>7</v>
      </c>
      <c r="I2" s="332">
        <v>8</v>
      </c>
      <c r="J2" s="331">
        <v>9</v>
      </c>
      <c r="K2" s="332">
        <v>10</v>
      </c>
      <c r="L2" s="331">
        <v>11</v>
      </c>
      <c r="M2" s="332">
        <v>12</v>
      </c>
      <c r="N2" s="331">
        <v>13</v>
      </c>
      <c r="O2" s="332">
        <v>14</v>
      </c>
      <c r="P2" s="331">
        <v>15</v>
      </c>
      <c r="Q2" s="332">
        <v>16</v>
      </c>
      <c r="R2" s="331">
        <v>17</v>
      </c>
    </row>
    <row r="3" spans="1:18">
      <c r="A3" s="333" t="s">
        <v>319</v>
      </c>
      <c r="B3" s="334" t="s">
        <v>340</v>
      </c>
      <c r="C3" s="334"/>
      <c r="D3" s="335"/>
      <c r="E3" s="26" t="s">
        <v>146</v>
      </c>
      <c r="F3" s="334"/>
      <c r="G3" s="335"/>
      <c r="K3" s="157" t="s">
        <v>320</v>
      </c>
    </row>
    <row r="4" spans="1:18">
      <c r="A4" s="333" t="s">
        <v>321</v>
      </c>
      <c r="B4" s="336"/>
      <c r="C4" s="334"/>
      <c r="D4" s="335"/>
      <c r="E4" s="26" t="s">
        <v>147</v>
      </c>
      <c r="F4" s="337"/>
      <c r="G4" s="335"/>
      <c r="K4" t="s">
        <v>322</v>
      </c>
    </row>
    <row r="5" spans="1:18">
      <c r="A5" s="333" t="s">
        <v>323</v>
      </c>
      <c r="B5" s="336"/>
      <c r="C5" s="334"/>
      <c r="D5" s="335"/>
      <c r="E5" s="26" t="s">
        <v>324</v>
      </c>
      <c r="F5" s="334"/>
      <c r="G5" s="335"/>
    </row>
    <row r="6" spans="1:18" ht="13.5" thickBot="1">
      <c r="A6" s="74"/>
      <c r="D6" s="157" t="s">
        <v>325</v>
      </c>
      <c r="F6" t="s">
        <v>326</v>
      </c>
      <c r="G6" t="s">
        <v>326</v>
      </c>
      <c r="H6" s="157" t="s">
        <v>327</v>
      </c>
      <c r="Q6" s="2"/>
    </row>
    <row r="7" spans="1:18" ht="13.5" thickTop="1">
      <c r="A7" s="338" t="s">
        <v>328</v>
      </c>
      <c r="B7" s="339" t="s">
        <v>329</v>
      </c>
      <c r="C7" s="63" t="s">
        <v>29</v>
      </c>
      <c r="D7" s="340" t="s">
        <v>330</v>
      </c>
      <c r="E7" s="340" t="s">
        <v>331</v>
      </c>
      <c r="F7" s="66" t="s">
        <v>332</v>
      </c>
      <c r="G7" s="341" t="s">
        <v>179</v>
      </c>
      <c r="H7" s="342" t="s">
        <v>333</v>
      </c>
      <c r="I7" s="342" t="s">
        <v>334</v>
      </c>
      <c r="J7" s="343" t="s">
        <v>335</v>
      </c>
      <c r="K7" s="343" t="s">
        <v>333</v>
      </c>
      <c r="L7" s="343" t="s">
        <v>334</v>
      </c>
      <c r="M7" s="344" t="s">
        <v>336</v>
      </c>
      <c r="N7" s="344" t="s">
        <v>333</v>
      </c>
      <c r="O7" s="344" t="s">
        <v>334</v>
      </c>
      <c r="P7" s="345" t="s">
        <v>337</v>
      </c>
      <c r="Q7" s="345" t="s">
        <v>333</v>
      </c>
      <c r="R7" s="345" t="s">
        <v>334</v>
      </c>
    </row>
    <row r="8" spans="1:18">
      <c r="A8" s="59"/>
      <c r="B8" s="62" t="s">
        <v>338</v>
      </c>
      <c r="C8" s="63"/>
      <c r="D8" s="340"/>
      <c r="E8" s="340"/>
      <c r="F8" s="346" t="s">
        <v>338</v>
      </c>
      <c r="G8" s="347" t="s">
        <v>339</v>
      </c>
      <c r="H8" s="342"/>
      <c r="I8" s="342"/>
      <c r="J8" s="343"/>
      <c r="K8" s="348"/>
      <c r="L8" s="348"/>
      <c r="M8" s="344"/>
      <c r="N8" s="349"/>
      <c r="O8" s="349"/>
      <c r="P8" s="345"/>
      <c r="Q8" s="350"/>
      <c r="R8" s="350"/>
    </row>
    <row r="9" spans="1:18">
      <c r="A9" s="351" t="s">
        <v>341</v>
      </c>
      <c r="B9" s="339">
        <v>1591.5</v>
      </c>
      <c r="C9" s="352" t="s">
        <v>101</v>
      </c>
      <c r="D9" s="353">
        <v>-1</v>
      </c>
      <c r="E9" s="353">
        <v>-6</v>
      </c>
      <c r="F9" s="354">
        <v>1593.07</v>
      </c>
      <c r="G9" s="355">
        <v>19.71</v>
      </c>
      <c r="H9" s="342">
        <v>0.5</v>
      </c>
      <c r="I9" s="356">
        <v>10</v>
      </c>
      <c r="J9" s="357">
        <v>2.0000000000000002E-5</v>
      </c>
      <c r="K9" s="357">
        <v>9.9999999999999995E-7</v>
      </c>
      <c r="L9" s="358">
        <v>10</v>
      </c>
      <c r="M9" s="359">
        <v>4.0000000000000001E-3</v>
      </c>
      <c r="N9" s="359">
        <v>2.0000000000000001E-4</v>
      </c>
      <c r="O9" s="360">
        <v>10</v>
      </c>
      <c r="P9" s="350"/>
      <c r="Q9" s="350"/>
      <c r="R9" s="361"/>
    </row>
    <row r="10" spans="1:18">
      <c r="A10" s="351" t="s">
        <v>34</v>
      </c>
      <c r="B10" s="339">
        <v>1591.5</v>
      </c>
      <c r="C10" s="352" t="s">
        <v>101</v>
      </c>
      <c r="D10" s="353">
        <v>99380</v>
      </c>
      <c r="E10" s="353">
        <v>569169</v>
      </c>
      <c r="F10" s="354">
        <v>1593.33</v>
      </c>
      <c r="G10" s="355">
        <v>19.73</v>
      </c>
      <c r="H10" s="342">
        <v>0.5</v>
      </c>
      <c r="I10" s="356">
        <v>10</v>
      </c>
      <c r="J10" s="357">
        <v>2.0000000000000002E-5</v>
      </c>
      <c r="K10" s="357">
        <v>9.9999999999999995E-7</v>
      </c>
      <c r="L10" s="358">
        <v>10</v>
      </c>
      <c r="M10" s="359">
        <v>4.0000000000000001E-3</v>
      </c>
      <c r="N10" s="359">
        <v>2.0000000000000001E-4</v>
      </c>
      <c r="O10" s="360">
        <v>10</v>
      </c>
      <c r="P10" s="350"/>
      <c r="Q10" s="362"/>
      <c r="R10" s="361"/>
    </row>
    <row r="11" spans="1:18">
      <c r="A11" s="351" t="s">
        <v>35</v>
      </c>
      <c r="B11" s="339">
        <v>1591.5</v>
      </c>
      <c r="C11" s="352" t="s">
        <v>101</v>
      </c>
      <c r="D11" s="353">
        <v>198010</v>
      </c>
      <c r="E11" s="353">
        <v>838356</v>
      </c>
      <c r="F11" s="354">
        <v>1593.46</v>
      </c>
      <c r="G11" s="355">
        <v>19.71</v>
      </c>
      <c r="H11" s="342">
        <v>0.5</v>
      </c>
      <c r="I11" s="356">
        <v>10</v>
      </c>
      <c r="J11" s="357">
        <v>2.0000000000000002E-5</v>
      </c>
      <c r="K11" s="357">
        <v>9.9999999999999995E-7</v>
      </c>
      <c r="L11" s="358">
        <v>10</v>
      </c>
      <c r="M11" s="359">
        <v>4.0000000000000001E-3</v>
      </c>
      <c r="N11" s="359">
        <v>2.0000000000000001E-4</v>
      </c>
      <c r="O11" s="360">
        <v>10</v>
      </c>
      <c r="P11" s="350"/>
      <c r="Q11" s="362"/>
      <c r="R11" s="361"/>
    </row>
    <row r="12" spans="1:18">
      <c r="A12" s="351" t="s">
        <v>36</v>
      </c>
      <c r="B12" s="339">
        <v>1591.5</v>
      </c>
      <c r="C12" s="352" t="s">
        <v>101</v>
      </c>
      <c r="D12" s="363">
        <v>296879</v>
      </c>
      <c r="E12" s="353">
        <v>1066481</v>
      </c>
      <c r="F12" s="354">
        <v>1593.67</v>
      </c>
      <c r="G12" s="355">
        <v>19.71</v>
      </c>
      <c r="H12" s="342">
        <v>0.5</v>
      </c>
      <c r="I12" s="356">
        <v>10</v>
      </c>
      <c r="J12" s="357">
        <v>2.0000000000000002E-5</v>
      </c>
      <c r="K12" s="357">
        <v>9.9999999999999995E-7</v>
      </c>
      <c r="L12" s="358">
        <v>10</v>
      </c>
      <c r="M12" s="359">
        <v>4.0000000000000001E-3</v>
      </c>
      <c r="N12" s="359">
        <v>2.0000000000000001E-4</v>
      </c>
      <c r="O12" s="360">
        <v>10</v>
      </c>
      <c r="P12" s="350"/>
      <c r="Q12" s="362"/>
      <c r="R12" s="361"/>
    </row>
    <row r="13" spans="1:18">
      <c r="A13" s="351" t="s">
        <v>37</v>
      </c>
      <c r="B13" s="339">
        <v>1591.5</v>
      </c>
      <c r="C13" s="352" t="s">
        <v>101</v>
      </c>
      <c r="D13" s="353">
        <v>394832</v>
      </c>
      <c r="E13" s="353">
        <v>1265232</v>
      </c>
      <c r="F13" s="354">
        <v>1593.74</v>
      </c>
      <c r="G13" s="355">
        <v>19.7</v>
      </c>
      <c r="H13" s="342">
        <v>0.5</v>
      </c>
      <c r="I13" s="356">
        <v>10</v>
      </c>
      <c r="J13" s="357">
        <v>2.0000000000000002E-5</v>
      </c>
      <c r="K13" s="357">
        <v>9.9999999999999995E-7</v>
      </c>
      <c r="L13" s="358">
        <v>10</v>
      </c>
      <c r="M13" s="359">
        <v>4.0000000000000001E-3</v>
      </c>
      <c r="N13" s="359">
        <v>2.0000000000000001E-4</v>
      </c>
      <c r="O13" s="360">
        <v>10</v>
      </c>
      <c r="P13" s="350"/>
      <c r="Q13" s="362"/>
      <c r="R13" s="361"/>
    </row>
    <row r="14" spans="1:18">
      <c r="A14" s="351" t="s">
        <v>38</v>
      </c>
      <c r="B14" s="339">
        <v>1591.5</v>
      </c>
      <c r="C14" s="352" t="s">
        <v>101</v>
      </c>
      <c r="D14" s="353">
        <v>493210</v>
      </c>
      <c r="E14" s="353">
        <v>1442337</v>
      </c>
      <c r="F14" s="354">
        <v>1592.85</v>
      </c>
      <c r="G14" s="355">
        <v>19.71</v>
      </c>
      <c r="H14" s="342">
        <v>0.5</v>
      </c>
      <c r="I14" s="356">
        <v>10</v>
      </c>
      <c r="J14" s="357">
        <v>2.0000000000000002E-5</v>
      </c>
      <c r="K14" s="357">
        <v>9.9999999999999995E-7</v>
      </c>
      <c r="L14" s="358">
        <v>10</v>
      </c>
      <c r="M14" s="359">
        <v>4.0000000000000001E-3</v>
      </c>
      <c r="N14" s="359">
        <v>2.0000000000000001E-4</v>
      </c>
      <c r="O14" s="360">
        <v>10</v>
      </c>
      <c r="P14" s="350"/>
      <c r="Q14" s="362"/>
      <c r="R14" s="361"/>
    </row>
    <row r="15" spans="1:18">
      <c r="A15" s="351" t="s">
        <v>39</v>
      </c>
      <c r="B15" s="339">
        <v>1591.5</v>
      </c>
      <c r="C15" s="352" t="s">
        <v>101</v>
      </c>
      <c r="D15" s="353">
        <v>591464</v>
      </c>
      <c r="E15" s="353">
        <v>1611164</v>
      </c>
      <c r="F15" s="354">
        <v>1592.97</v>
      </c>
      <c r="G15" s="355">
        <v>19.7</v>
      </c>
      <c r="H15" s="342">
        <v>0.5</v>
      </c>
      <c r="I15" s="356">
        <v>10</v>
      </c>
      <c r="J15" s="357">
        <v>2.0000000000000002E-5</v>
      </c>
      <c r="K15" s="357">
        <v>9.9999999999999995E-7</v>
      </c>
      <c r="L15" s="358">
        <v>10</v>
      </c>
      <c r="M15" s="359">
        <v>4.0000000000000001E-3</v>
      </c>
      <c r="N15" s="359">
        <v>2.0000000000000001E-4</v>
      </c>
      <c r="O15" s="360">
        <v>10</v>
      </c>
      <c r="P15" s="350"/>
      <c r="Q15" s="350"/>
      <c r="R15" s="361"/>
    </row>
    <row r="16" spans="1:18">
      <c r="A16" s="351" t="s">
        <v>40</v>
      </c>
      <c r="B16" s="339">
        <v>1591.5</v>
      </c>
      <c r="C16" s="352" t="s">
        <v>101</v>
      </c>
      <c r="D16" s="353">
        <v>689154</v>
      </c>
      <c r="E16" s="353">
        <v>1775693</v>
      </c>
      <c r="F16" s="354">
        <v>1593.08</v>
      </c>
      <c r="G16" s="355">
        <v>19.7</v>
      </c>
      <c r="H16" s="342">
        <v>0.5</v>
      </c>
      <c r="I16" s="356">
        <v>10</v>
      </c>
      <c r="J16" s="357">
        <v>2.0000000000000002E-5</v>
      </c>
      <c r="K16" s="357">
        <v>9.9999999999999995E-7</v>
      </c>
      <c r="L16" s="358">
        <v>10</v>
      </c>
      <c r="M16" s="359">
        <v>4.0000000000000001E-3</v>
      </c>
      <c r="N16" s="359">
        <v>2.0000000000000001E-4</v>
      </c>
      <c r="O16" s="360">
        <v>10</v>
      </c>
      <c r="P16" s="350"/>
      <c r="Q16" s="362"/>
      <c r="R16" s="361"/>
    </row>
    <row r="17" spans="1:18">
      <c r="A17" s="351" t="s">
        <v>41</v>
      </c>
      <c r="B17" s="339">
        <v>1591.5</v>
      </c>
      <c r="C17" s="352" t="s">
        <v>101</v>
      </c>
      <c r="D17" s="353">
        <v>786400</v>
      </c>
      <c r="E17" s="353">
        <v>1927498</v>
      </c>
      <c r="F17" s="354">
        <v>1593.25</v>
      </c>
      <c r="G17" s="355">
        <v>19.690000000000001</v>
      </c>
      <c r="H17" s="342">
        <v>0.5</v>
      </c>
      <c r="I17" s="356">
        <v>10</v>
      </c>
      <c r="J17" s="357">
        <v>2.0000000000000002E-5</v>
      </c>
      <c r="K17" s="357">
        <v>9.9999999999999995E-7</v>
      </c>
      <c r="L17" s="358">
        <v>10</v>
      </c>
      <c r="M17" s="359">
        <v>4.0000000000000001E-3</v>
      </c>
      <c r="N17" s="359">
        <v>2.0000000000000001E-4</v>
      </c>
      <c r="O17" s="360">
        <v>10</v>
      </c>
      <c r="P17" s="350"/>
      <c r="Q17" s="362"/>
      <c r="R17" s="361"/>
    </row>
    <row r="18" spans="1:18">
      <c r="A18" s="351" t="s">
        <v>42</v>
      </c>
      <c r="B18" s="339">
        <v>1591.5</v>
      </c>
      <c r="C18" s="352" t="s">
        <v>101</v>
      </c>
      <c r="D18" s="353">
        <v>883362</v>
      </c>
      <c r="E18" s="353">
        <v>2073610</v>
      </c>
      <c r="F18" s="354">
        <v>1593.16</v>
      </c>
      <c r="G18" s="355">
        <v>19.7</v>
      </c>
      <c r="H18" s="342">
        <v>0.5</v>
      </c>
      <c r="I18" s="356">
        <v>10</v>
      </c>
      <c r="J18" s="357">
        <v>2.0000000000000002E-5</v>
      </c>
      <c r="K18" s="357">
        <v>9.9999999999999995E-7</v>
      </c>
      <c r="L18" s="358">
        <v>10</v>
      </c>
      <c r="M18" s="359">
        <v>4.0000000000000001E-3</v>
      </c>
      <c r="N18" s="359">
        <v>2.0000000000000001E-4</v>
      </c>
      <c r="O18" s="360">
        <v>10</v>
      </c>
      <c r="P18" s="350"/>
      <c r="Q18" s="362"/>
      <c r="R18" s="361"/>
    </row>
    <row r="19" spans="1:18">
      <c r="A19" s="351" t="s">
        <v>43</v>
      </c>
      <c r="B19" s="339">
        <v>1591.5</v>
      </c>
      <c r="C19" s="352" t="s">
        <v>101</v>
      </c>
      <c r="D19" s="353">
        <v>980451</v>
      </c>
      <c r="E19" s="363">
        <v>2222585</v>
      </c>
      <c r="F19" s="354">
        <v>1592.88</v>
      </c>
      <c r="G19" s="355">
        <v>19.86</v>
      </c>
      <c r="H19" s="342">
        <v>0.5</v>
      </c>
      <c r="I19" s="356">
        <v>10</v>
      </c>
      <c r="J19" s="357">
        <v>2.0000000000000002E-5</v>
      </c>
      <c r="K19" s="357">
        <v>9.9999999999999995E-7</v>
      </c>
      <c r="L19" s="358">
        <v>10</v>
      </c>
      <c r="M19" s="359">
        <v>4.0000000000000001E-3</v>
      </c>
      <c r="N19" s="359">
        <v>2.0000000000000001E-4</v>
      </c>
      <c r="O19" s="360">
        <v>10</v>
      </c>
      <c r="P19" s="350"/>
      <c r="Q19" s="362"/>
      <c r="R19" s="361"/>
    </row>
    <row r="20" spans="1:18">
      <c r="A20" s="351" t="s">
        <v>45</v>
      </c>
      <c r="B20" s="339">
        <v>1591.5</v>
      </c>
      <c r="C20" s="352" t="s">
        <v>100</v>
      </c>
      <c r="D20" s="353">
        <v>99118</v>
      </c>
      <c r="E20" s="353">
        <v>1166562</v>
      </c>
      <c r="F20" s="354">
        <v>1594.81</v>
      </c>
      <c r="G20" s="355">
        <v>19.77</v>
      </c>
      <c r="H20" s="342">
        <v>0.5</v>
      </c>
      <c r="I20" s="356">
        <v>10</v>
      </c>
      <c r="J20" s="357">
        <v>2.0000000000000002E-5</v>
      </c>
      <c r="K20" s="357">
        <v>9.9999999999999995E-7</v>
      </c>
      <c r="L20" s="358">
        <v>10</v>
      </c>
      <c r="M20" s="359">
        <v>4.0000000000000001E-3</v>
      </c>
      <c r="N20" s="359">
        <v>2.0000000000000001E-4</v>
      </c>
      <c r="O20" s="360">
        <v>10</v>
      </c>
      <c r="P20" s="350"/>
      <c r="Q20" s="350"/>
      <c r="R20" s="361"/>
    </row>
    <row r="21" spans="1:18">
      <c r="A21" s="351" t="s">
        <v>46</v>
      </c>
      <c r="B21" s="339">
        <v>1591.5</v>
      </c>
      <c r="C21" s="352" t="s">
        <v>100</v>
      </c>
      <c r="D21" s="353">
        <v>198956</v>
      </c>
      <c r="E21" s="353">
        <v>1739697</v>
      </c>
      <c r="F21" s="354">
        <v>1594.95</v>
      </c>
      <c r="G21" s="355">
        <v>19.760000000000002</v>
      </c>
      <c r="H21" s="342">
        <v>0.5</v>
      </c>
      <c r="I21" s="356">
        <v>10</v>
      </c>
      <c r="J21" s="357">
        <v>2.0000000000000002E-5</v>
      </c>
      <c r="K21" s="357">
        <v>9.9999999999999995E-7</v>
      </c>
      <c r="L21" s="358">
        <v>10</v>
      </c>
      <c r="M21" s="359">
        <v>4.0000000000000001E-3</v>
      </c>
      <c r="N21" s="359">
        <v>2.0000000000000001E-4</v>
      </c>
      <c r="O21" s="360">
        <v>10</v>
      </c>
      <c r="P21" s="350"/>
      <c r="Q21" s="362"/>
      <c r="R21" s="361"/>
    </row>
    <row r="22" spans="1:18">
      <c r="A22" s="351" t="s">
        <v>47</v>
      </c>
      <c r="B22" s="339">
        <v>1591.5</v>
      </c>
      <c r="C22" s="352" t="s">
        <v>100</v>
      </c>
      <c r="D22" s="353">
        <v>298184</v>
      </c>
      <c r="E22" s="353">
        <v>2207103</v>
      </c>
      <c r="F22" s="354">
        <v>1595.08</v>
      </c>
      <c r="G22" s="355">
        <v>19.75</v>
      </c>
      <c r="H22" s="342">
        <v>0.5</v>
      </c>
      <c r="I22" s="356">
        <v>10</v>
      </c>
      <c r="J22" s="357">
        <v>2.0000000000000002E-5</v>
      </c>
      <c r="K22" s="357">
        <v>9.9999999999999995E-7</v>
      </c>
      <c r="L22" s="358">
        <v>10</v>
      </c>
      <c r="M22" s="359">
        <v>4.0000000000000001E-3</v>
      </c>
      <c r="N22" s="359">
        <v>2.0000000000000001E-4</v>
      </c>
      <c r="O22" s="360">
        <v>10</v>
      </c>
      <c r="P22" s="350"/>
      <c r="Q22" s="362"/>
      <c r="R22" s="361"/>
    </row>
    <row r="23" spans="1:18">
      <c r="A23" s="351" t="s">
        <v>48</v>
      </c>
      <c r="B23" s="339">
        <v>1591.5</v>
      </c>
      <c r="C23" s="352" t="s">
        <v>100</v>
      </c>
      <c r="D23" s="353">
        <v>396438</v>
      </c>
      <c r="E23" s="353">
        <v>2792679</v>
      </c>
      <c r="F23" s="354">
        <v>1595.22</v>
      </c>
      <c r="G23" s="355">
        <v>19.739999999999998</v>
      </c>
      <c r="H23" s="342">
        <v>0.5</v>
      </c>
      <c r="I23" s="356">
        <v>10</v>
      </c>
      <c r="J23" s="357">
        <v>2.0000000000000002E-5</v>
      </c>
      <c r="K23" s="357">
        <v>9.9999999999999995E-7</v>
      </c>
      <c r="L23" s="358">
        <v>10</v>
      </c>
      <c r="M23" s="359">
        <v>4.0000000000000001E-3</v>
      </c>
      <c r="N23" s="359">
        <v>2.0000000000000001E-4</v>
      </c>
      <c r="O23" s="360">
        <v>10</v>
      </c>
      <c r="P23" s="350"/>
      <c r="Q23" s="362"/>
      <c r="R23" s="361"/>
    </row>
    <row r="24" spans="1:18">
      <c r="A24" s="351" t="s">
        <v>49</v>
      </c>
      <c r="B24" s="339">
        <v>1591.5</v>
      </c>
      <c r="C24" s="352" t="s">
        <v>100</v>
      </c>
      <c r="D24" s="353">
        <v>494367</v>
      </c>
      <c r="E24" s="353">
        <v>3176412</v>
      </c>
      <c r="F24" s="354">
        <v>1.5953200000000001</v>
      </c>
      <c r="G24" s="355">
        <v>19.71</v>
      </c>
      <c r="H24" s="342">
        <v>0.5</v>
      </c>
      <c r="I24" s="356">
        <v>10</v>
      </c>
      <c r="J24" s="357">
        <v>2.0000000000000002E-5</v>
      </c>
      <c r="K24" s="357">
        <v>9.9999999999999995E-7</v>
      </c>
      <c r="L24" s="358">
        <v>10</v>
      </c>
      <c r="M24" s="359">
        <v>4.0000000000000001E-3</v>
      </c>
      <c r="N24" s="359">
        <v>2.0000000000000001E-4</v>
      </c>
      <c r="O24" s="360">
        <v>10</v>
      </c>
      <c r="P24" s="350"/>
      <c r="Q24" s="362"/>
      <c r="R24" s="361"/>
    </row>
    <row r="25" spans="1:18">
      <c r="A25" s="351" t="s">
        <v>50</v>
      </c>
      <c r="B25" s="339">
        <v>1591.5</v>
      </c>
      <c r="C25" s="352" t="s">
        <v>100</v>
      </c>
      <c r="D25" s="353">
        <v>593385</v>
      </c>
      <c r="E25" s="353">
        <v>3538125</v>
      </c>
      <c r="F25" s="354">
        <v>1594.66</v>
      </c>
      <c r="G25" s="355">
        <v>19.77</v>
      </c>
      <c r="H25" s="342">
        <v>0.5</v>
      </c>
      <c r="I25" s="356">
        <v>10</v>
      </c>
      <c r="J25" s="357">
        <v>2.0000000000000002E-5</v>
      </c>
      <c r="K25" s="357">
        <v>9.9999999999999995E-7</v>
      </c>
      <c r="L25" s="358">
        <v>10</v>
      </c>
      <c r="M25" s="359">
        <v>4.0000000000000001E-3</v>
      </c>
      <c r="N25" s="359">
        <v>2.0000000000000001E-4</v>
      </c>
      <c r="O25" s="360">
        <v>10</v>
      </c>
      <c r="P25" s="350"/>
      <c r="Q25" s="362"/>
      <c r="R25" s="361"/>
    </row>
    <row r="26" spans="1:18">
      <c r="A26" s="351" t="s">
        <v>51</v>
      </c>
      <c r="B26" s="339">
        <v>1591.5</v>
      </c>
      <c r="C26" s="352" t="s">
        <v>100</v>
      </c>
      <c r="D26" s="353">
        <v>691195</v>
      </c>
      <c r="E26" s="353">
        <v>3896072</v>
      </c>
      <c r="F26" s="354">
        <v>1594.9</v>
      </c>
      <c r="G26" s="355">
        <v>19.78</v>
      </c>
      <c r="H26" s="342">
        <v>0.5</v>
      </c>
      <c r="I26" s="356">
        <v>10</v>
      </c>
      <c r="J26" s="357">
        <v>2.0000000000000002E-5</v>
      </c>
      <c r="K26" s="357">
        <v>9.9999999999999995E-7</v>
      </c>
      <c r="L26" s="358">
        <v>10</v>
      </c>
      <c r="M26" s="359">
        <v>4.0000000000000001E-3</v>
      </c>
      <c r="N26" s="359">
        <v>2.0000000000000001E-4</v>
      </c>
      <c r="O26" s="360">
        <v>10</v>
      </c>
      <c r="P26" s="350"/>
      <c r="Q26" s="350"/>
      <c r="R26" s="361"/>
    </row>
    <row r="27" spans="1:18">
      <c r="A27" s="351" t="s">
        <v>52</v>
      </c>
      <c r="B27" s="339">
        <v>1591.5</v>
      </c>
      <c r="C27" s="352" t="s">
        <v>100</v>
      </c>
      <c r="D27" s="353">
        <v>788963</v>
      </c>
      <c r="E27" s="353">
        <v>4199748</v>
      </c>
      <c r="F27" s="354">
        <v>1595.1</v>
      </c>
      <c r="G27" s="355">
        <v>19.79</v>
      </c>
      <c r="H27" s="342">
        <v>0.5</v>
      </c>
      <c r="I27" s="356">
        <v>10</v>
      </c>
      <c r="J27" s="357">
        <v>2.0000000000000002E-5</v>
      </c>
      <c r="K27" s="357">
        <v>9.9999999999999995E-7</v>
      </c>
      <c r="L27" s="358">
        <v>10</v>
      </c>
      <c r="M27" s="359">
        <v>4.0000000000000001E-3</v>
      </c>
      <c r="N27" s="359">
        <v>2.0000000000000001E-4</v>
      </c>
      <c r="O27" s="360">
        <v>10</v>
      </c>
      <c r="P27" s="350"/>
      <c r="Q27" s="362"/>
      <c r="R27" s="361"/>
    </row>
    <row r="28" spans="1:18">
      <c r="A28" s="351" t="s">
        <v>53</v>
      </c>
      <c r="B28" s="339">
        <v>1591.5</v>
      </c>
      <c r="C28" s="352" t="s">
        <v>100</v>
      </c>
      <c r="D28" s="353">
        <v>887174</v>
      </c>
      <c r="E28" s="353">
        <v>4517998</v>
      </c>
      <c r="F28" s="354">
        <v>1595.29</v>
      </c>
      <c r="G28" s="355">
        <v>19.79</v>
      </c>
      <c r="H28" s="342">
        <v>0.5</v>
      </c>
      <c r="I28" s="356">
        <v>10</v>
      </c>
      <c r="J28" s="357">
        <v>2.0000000000000002E-5</v>
      </c>
      <c r="K28" s="357">
        <v>9.9999999999999995E-7</v>
      </c>
      <c r="L28" s="358">
        <v>10</v>
      </c>
      <c r="M28" s="359">
        <v>4.0000000000000001E-3</v>
      </c>
      <c r="N28" s="359">
        <v>2.0000000000000001E-4</v>
      </c>
      <c r="O28" s="360">
        <v>10</v>
      </c>
      <c r="P28" s="350"/>
      <c r="Q28" s="362"/>
      <c r="R28" s="361"/>
    </row>
    <row r="29" spans="1:18">
      <c r="A29" s="351" t="s">
        <v>54</v>
      </c>
      <c r="B29" s="339">
        <v>1591.5</v>
      </c>
      <c r="C29" s="352" t="s">
        <v>100</v>
      </c>
      <c r="D29" s="353">
        <v>984585</v>
      </c>
      <c r="E29" s="353">
        <v>4826330</v>
      </c>
      <c r="F29" s="354">
        <v>1595.54</v>
      </c>
      <c r="G29" s="355">
        <v>19.79</v>
      </c>
      <c r="H29" s="342">
        <v>0.5</v>
      </c>
      <c r="I29" s="356">
        <v>10</v>
      </c>
      <c r="J29" s="357">
        <v>2.0000000000000002E-5</v>
      </c>
      <c r="K29" s="357">
        <v>9.9999999999999995E-7</v>
      </c>
      <c r="L29" s="358">
        <v>10</v>
      </c>
      <c r="M29" s="359">
        <v>4.0000000000000001E-3</v>
      </c>
      <c r="N29" s="359">
        <v>2.0000000000000001E-4</v>
      </c>
      <c r="O29" s="360">
        <v>10</v>
      </c>
      <c r="P29" s="350"/>
      <c r="Q29" s="362"/>
      <c r="R29" s="361"/>
    </row>
    <row r="30" spans="1:18">
      <c r="A30" s="351" t="s">
        <v>341</v>
      </c>
      <c r="B30" s="339">
        <v>1591.5</v>
      </c>
      <c r="C30" s="352" t="s">
        <v>100</v>
      </c>
      <c r="D30" s="353">
        <v>-3</v>
      </c>
      <c r="E30" s="353">
        <v>-25</v>
      </c>
      <c r="F30" s="354">
        <v>1594.71</v>
      </c>
      <c r="G30" s="355">
        <v>19.77</v>
      </c>
      <c r="H30" s="342">
        <v>0.5</v>
      </c>
      <c r="I30" s="356">
        <v>10</v>
      </c>
      <c r="J30" s="357">
        <v>2.0000000000000002E-5</v>
      </c>
      <c r="K30" s="357">
        <v>9.9999999999999995E-7</v>
      </c>
      <c r="L30" s="358">
        <v>10</v>
      </c>
      <c r="M30" s="359">
        <v>4.0000000000000001E-3</v>
      </c>
      <c r="N30" s="359">
        <v>2.0000000000000001E-4</v>
      </c>
      <c r="O30" s="360">
        <v>10</v>
      </c>
      <c r="P30" s="350"/>
      <c r="Q30" s="362"/>
      <c r="R30" s="361"/>
    </row>
    <row r="31" spans="1:18">
      <c r="A31" s="351"/>
      <c r="B31" s="339"/>
      <c r="C31" s="352"/>
      <c r="D31" s="353"/>
      <c r="E31" s="353"/>
      <c r="F31" s="354"/>
      <c r="G31" s="355"/>
      <c r="H31" s="342"/>
      <c r="I31" s="356"/>
      <c r="J31" s="348"/>
      <c r="K31" s="357"/>
      <c r="L31" s="358"/>
      <c r="M31" s="349"/>
      <c r="N31" s="359"/>
      <c r="O31" s="360"/>
      <c r="P31" s="350"/>
      <c r="Q31" s="362"/>
      <c r="R31" s="361"/>
    </row>
    <row r="32" spans="1:18">
      <c r="A32" s="351"/>
      <c r="B32" s="339"/>
      <c r="C32" s="352"/>
      <c r="D32" s="353"/>
      <c r="E32" s="353"/>
      <c r="F32" s="354"/>
      <c r="G32" s="394">
        <f>AVERAGE(G9:G30)</f>
        <v>19.742727272727272</v>
      </c>
      <c r="H32" s="342"/>
      <c r="I32" s="356"/>
      <c r="J32" s="348"/>
      <c r="K32" s="357"/>
      <c r="L32" s="358"/>
      <c r="M32" s="349"/>
      <c r="N32" s="359"/>
      <c r="O32" s="360"/>
      <c r="P32" s="350"/>
      <c r="Q32" s="362"/>
      <c r="R32" s="361"/>
    </row>
    <row r="33" spans="1:18">
      <c r="A33" s="351"/>
      <c r="B33" s="339"/>
      <c r="C33" s="352"/>
      <c r="D33" s="353"/>
      <c r="E33" s="353"/>
      <c r="F33" s="354"/>
      <c r="G33" s="394">
        <f>STDEV(G9:G30)</f>
        <v>4.3663411530633793E-2</v>
      </c>
      <c r="H33" s="342"/>
      <c r="I33" s="356"/>
      <c r="J33" s="348"/>
      <c r="K33" s="357"/>
      <c r="L33" s="358"/>
      <c r="M33" s="349"/>
      <c r="N33" s="359"/>
      <c r="O33" s="360"/>
      <c r="P33" s="350"/>
      <c r="Q33" s="362"/>
      <c r="R33" s="361"/>
    </row>
    <row r="34" spans="1:18">
      <c r="A34" s="351"/>
      <c r="B34" s="339"/>
      <c r="C34" s="352"/>
      <c r="D34" s="353"/>
      <c r="E34" s="353"/>
      <c r="F34" s="354"/>
      <c r="G34" s="373"/>
      <c r="H34" s="342"/>
      <c r="I34" s="356"/>
      <c r="J34" s="348"/>
      <c r="K34" s="357"/>
      <c r="L34" s="358"/>
      <c r="M34" s="349"/>
      <c r="N34" s="359"/>
      <c r="O34" s="360"/>
      <c r="P34" s="350"/>
      <c r="Q34" s="350"/>
      <c r="R34" s="361"/>
    </row>
    <row r="35" spans="1:18">
      <c r="A35" s="351"/>
      <c r="B35" s="339"/>
      <c r="C35" s="352"/>
      <c r="D35" s="353"/>
      <c r="E35" s="353"/>
      <c r="F35" s="354"/>
      <c r="G35" s="373"/>
      <c r="H35" s="342"/>
      <c r="I35" s="356"/>
      <c r="J35" s="348"/>
      <c r="K35" s="357"/>
      <c r="L35" s="358"/>
      <c r="M35" s="349"/>
      <c r="N35" s="359"/>
      <c r="O35" s="360"/>
      <c r="P35" s="350"/>
      <c r="Q35" s="350"/>
      <c r="R35" s="350"/>
    </row>
    <row r="36" spans="1:18">
      <c r="A36" s="351"/>
      <c r="B36" s="339"/>
      <c r="C36" s="352"/>
      <c r="D36" s="353"/>
      <c r="E36" s="353"/>
      <c r="F36" s="354"/>
      <c r="G36" s="373"/>
      <c r="H36" s="342"/>
      <c r="I36" s="356"/>
      <c r="J36" s="348"/>
      <c r="K36" s="357"/>
      <c r="L36" s="358"/>
      <c r="M36" s="349"/>
      <c r="N36" s="359"/>
      <c r="O36" s="360"/>
      <c r="P36" s="350"/>
      <c r="Q36" s="350"/>
      <c r="R36" s="350"/>
    </row>
    <row r="37" spans="1:18">
      <c r="A37" s="351"/>
      <c r="B37" s="339"/>
      <c r="C37" s="352"/>
      <c r="D37" s="353"/>
      <c r="E37" s="353"/>
      <c r="F37" s="354"/>
      <c r="G37" s="373"/>
      <c r="H37" s="342"/>
      <c r="I37" s="356"/>
      <c r="J37" s="348"/>
      <c r="K37" s="357"/>
      <c r="L37" s="358"/>
      <c r="M37" s="349"/>
      <c r="N37" s="359"/>
      <c r="O37" s="360"/>
      <c r="P37" s="350"/>
      <c r="Q37" s="350"/>
      <c r="R37" s="350"/>
    </row>
    <row r="38" spans="1:18">
      <c r="A38" s="351"/>
      <c r="B38" s="339"/>
      <c r="C38" s="352"/>
      <c r="D38" s="353"/>
      <c r="E38" s="353"/>
      <c r="F38" s="354"/>
      <c r="G38" s="373"/>
      <c r="H38" s="342"/>
      <c r="I38" s="356"/>
      <c r="J38" s="348"/>
      <c r="K38" s="357"/>
      <c r="L38" s="358"/>
      <c r="M38" s="349"/>
      <c r="N38" s="359"/>
      <c r="O38" s="360"/>
      <c r="P38" s="350"/>
      <c r="Q38" s="350"/>
      <c r="R38" s="350"/>
    </row>
    <row r="39" spans="1:18">
      <c r="A39" s="351"/>
      <c r="B39" s="339"/>
      <c r="C39" s="352"/>
      <c r="D39" s="353"/>
      <c r="E39" s="353"/>
      <c r="F39" s="354"/>
      <c r="G39" s="373"/>
      <c r="H39" s="342"/>
      <c r="I39" s="356"/>
      <c r="J39" s="348"/>
      <c r="K39" s="357"/>
      <c r="L39" s="358"/>
      <c r="M39" s="349"/>
      <c r="N39" s="359"/>
      <c r="O39" s="360"/>
      <c r="P39" s="350"/>
      <c r="Q39" s="350"/>
      <c r="R39" s="350"/>
    </row>
    <row r="40" spans="1:18">
      <c r="A40" s="351"/>
      <c r="B40" s="339"/>
      <c r="C40" s="352"/>
      <c r="D40" s="353"/>
      <c r="E40" s="353"/>
      <c r="F40" s="354"/>
      <c r="G40" s="373"/>
      <c r="H40" s="342"/>
      <c r="I40" s="356"/>
      <c r="J40" s="348"/>
      <c r="K40" s="357"/>
      <c r="L40" s="358"/>
      <c r="M40" s="349"/>
      <c r="N40" s="359"/>
      <c r="O40" s="360"/>
      <c r="P40" s="350"/>
      <c r="Q40" s="350"/>
      <c r="R40" s="350"/>
    </row>
    <row r="41" spans="1:18">
      <c r="A41" s="351"/>
      <c r="B41" s="339"/>
      <c r="C41" s="352"/>
      <c r="D41" s="353"/>
      <c r="E41" s="353"/>
      <c r="F41" s="354"/>
      <c r="G41" s="373"/>
      <c r="H41" s="342"/>
      <c r="I41" s="356"/>
      <c r="J41" s="348"/>
      <c r="K41" s="357"/>
      <c r="L41" s="358"/>
      <c r="M41" s="349"/>
      <c r="N41" s="359"/>
      <c r="O41" s="360"/>
      <c r="P41" s="350"/>
      <c r="Q41" s="350"/>
      <c r="R41" s="350"/>
    </row>
    <row r="42" spans="1:18">
      <c r="A42" s="351"/>
      <c r="B42" s="339"/>
      <c r="C42" s="352"/>
      <c r="D42" s="353"/>
      <c r="E42" s="353"/>
      <c r="F42" s="354"/>
      <c r="G42" s="373"/>
      <c r="H42" s="342"/>
      <c r="I42" s="356"/>
      <c r="J42" s="348"/>
      <c r="K42" s="357"/>
      <c r="L42" s="358"/>
      <c r="M42" s="349"/>
      <c r="N42" s="359"/>
      <c r="O42" s="360"/>
      <c r="P42" s="350"/>
      <c r="Q42" s="350"/>
      <c r="R42" s="350"/>
    </row>
    <row r="43" spans="1:18">
      <c r="A43" s="351"/>
      <c r="B43" s="339"/>
      <c r="C43" s="352"/>
      <c r="D43" s="353"/>
      <c r="E43" s="353"/>
      <c r="F43" s="354"/>
      <c r="G43" s="373"/>
      <c r="H43" s="342"/>
      <c r="I43" s="356"/>
      <c r="J43" s="348"/>
      <c r="K43" s="357"/>
      <c r="L43" s="358"/>
      <c r="M43" s="349"/>
      <c r="N43" s="359"/>
      <c r="O43" s="360"/>
      <c r="P43" s="350"/>
      <c r="Q43" s="350"/>
      <c r="R43" s="350"/>
    </row>
    <row r="44" spans="1:18">
      <c r="A44" s="351"/>
      <c r="B44" s="339"/>
      <c r="C44" s="352"/>
      <c r="D44" s="353"/>
      <c r="E44" s="353"/>
      <c r="F44" s="354"/>
      <c r="G44" s="373"/>
      <c r="H44" s="342"/>
      <c r="I44" s="356"/>
      <c r="J44" s="348"/>
      <c r="K44" s="357"/>
      <c r="L44" s="358"/>
      <c r="M44" s="349"/>
      <c r="N44" s="359"/>
      <c r="O44" s="360"/>
      <c r="P44" s="350"/>
      <c r="Q44" s="350"/>
      <c r="R44" s="350"/>
    </row>
    <row r="45" spans="1:18">
      <c r="A45" s="351"/>
      <c r="B45" s="339"/>
      <c r="C45" s="352"/>
      <c r="D45" s="353"/>
      <c r="E45" s="353"/>
      <c r="F45" s="354"/>
      <c r="G45" s="373"/>
      <c r="H45" s="342"/>
      <c r="I45" s="356"/>
      <c r="J45" s="348"/>
      <c r="K45" s="357"/>
      <c r="L45" s="358"/>
      <c r="M45" s="349"/>
      <c r="N45" s="359"/>
      <c r="O45" s="360"/>
      <c r="P45" s="350"/>
      <c r="Q45" s="350"/>
      <c r="R45" s="350"/>
    </row>
    <row r="46" spans="1:18">
      <c r="A46" s="351"/>
      <c r="B46" s="339"/>
      <c r="C46" s="352"/>
      <c r="D46" s="353"/>
      <c r="E46" s="353"/>
      <c r="F46" s="354"/>
      <c r="G46" s="373"/>
      <c r="H46" s="342"/>
      <c r="I46" s="356"/>
      <c r="J46" s="348"/>
      <c r="K46" s="357"/>
      <c r="L46" s="358"/>
      <c r="M46" s="349"/>
      <c r="N46" s="359"/>
      <c r="O46" s="360"/>
      <c r="P46" s="350"/>
      <c r="Q46" s="350"/>
      <c r="R46" s="350"/>
    </row>
    <row r="47" spans="1:18">
      <c r="A47" s="351"/>
      <c r="B47" s="339"/>
      <c r="C47" s="352"/>
      <c r="D47" s="353"/>
      <c r="E47" s="353"/>
      <c r="F47" s="354"/>
      <c r="G47" s="373"/>
      <c r="H47" s="342"/>
      <c r="I47" s="356"/>
      <c r="J47" s="348"/>
      <c r="K47" s="357"/>
      <c r="L47" s="358"/>
      <c r="M47" s="349"/>
      <c r="N47" s="359"/>
      <c r="O47" s="360"/>
      <c r="P47" s="350"/>
      <c r="Q47" s="350"/>
      <c r="R47" s="350"/>
    </row>
    <row r="48" spans="1:18">
      <c r="A48" s="351"/>
      <c r="B48" s="339"/>
      <c r="C48" s="352"/>
      <c r="D48" s="353"/>
      <c r="E48" s="353"/>
      <c r="F48" s="354"/>
      <c r="G48" s="373"/>
      <c r="H48" s="342"/>
      <c r="I48" s="356"/>
      <c r="J48" s="348"/>
      <c r="K48" s="357"/>
      <c r="L48" s="358"/>
      <c r="M48" s="349"/>
      <c r="N48" s="359"/>
      <c r="O48" s="360"/>
      <c r="P48" s="350"/>
      <c r="Q48" s="350"/>
      <c r="R48" s="350"/>
    </row>
    <row r="49" spans="1:18">
      <c r="A49" s="351"/>
      <c r="B49" s="339"/>
      <c r="C49" s="352"/>
      <c r="D49" s="353"/>
      <c r="E49" s="353"/>
      <c r="F49" s="354"/>
      <c r="G49" s="373"/>
      <c r="H49" s="342"/>
      <c r="I49" s="356"/>
      <c r="J49" s="348"/>
      <c r="K49" s="357"/>
      <c r="L49" s="358"/>
      <c r="M49" s="349"/>
      <c r="N49" s="359"/>
      <c r="O49" s="360"/>
      <c r="P49" s="350"/>
      <c r="Q49" s="350"/>
      <c r="R49" s="350"/>
    </row>
    <row r="50" spans="1:18">
      <c r="A50" s="351"/>
      <c r="B50" s="339"/>
      <c r="C50" s="352"/>
      <c r="D50" s="353"/>
      <c r="E50" s="353"/>
      <c r="F50" s="354"/>
      <c r="G50" s="373"/>
      <c r="H50" s="342"/>
      <c r="I50" s="356"/>
      <c r="J50" s="348"/>
      <c r="K50" s="357"/>
      <c r="L50" s="358"/>
      <c r="M50" s="349"/>
      <c r="N50" s="359"/>
      <c r="O50" s="360"/>
      <c r="P50" s="350"/>
      <c r="Q50" s="350"/>
      <c r="R50" s="350"/>
    </row>
    <row r="51" spans="1:18">
      <c r="A51" s="351"/>
      <c r="B51" s="339"/>
      <c r="C51" s="352"/>
      <c r="D51" s="353"/>
      <c r="E51" s="353"/>
      <c r="F51" s="354"/>
      <c r="G51" s="373"/>
      <c r="H51" s="342"/>
      <c r="I51" s="356"/>
      <c r="J51" s="348"/>
      <c r="K51" s="357"/>
      <c r="L51" s="358"/>
      <c r="M51" s="349"/>
      <c r="N51" s="359"/>
      <c r="O51" s="360"/>
      <c r="P51" s="350"/>
      <c r="Q51" s="350"/>
      <c r="R51" s="350"/>
    </row>
    <row r="52" spans="1:18">
      <c r="A52" s="351"/>
      <c r="B52" s="339"/>
      <c r="C52" s="352"/>
      <c r="D52" s="353"/>
      <c r="E52" s="353"/>
      <c r="F52" s="354"/>
      <c r="G52" s="373"/>
      <c r="H52" s="342"/>
      <c r="I52" s="356"/>
      <c r="J52" s="348"/>
      <c r="K52" s="357"/>
      <c r="L52" s="358"/>
      <c r="M52" s="349"/>
      <c r="N52" s="359"/>
      <c r="O52" s="360"/>
      <c r="P52" s="350"/>
      <c r="Q52" s="350"/>
      <c r="R52" s="350"/>
    </row>
    <row r="53" spans="1:18">
      <c r="A53" s="351"/>
      <c r="B53" s="339"/>
      <c r="C53" s="352"/>
      <c r="D53" s="353"/>
      <c r="E53" s="353"/>
      <c r="F53" s="354"/>
      <c r="G53" s="373"/>
      <c r="H53" s="342"/>
      <c r="I53" s="356"/>
      <c r="J53" s="348"/>
      <c r="K53" s="357"/>
      <c r="L53" s="358"/>
      <c r="M53" s="349"/>
      <c r="N53" s="359"/>
      <c r="O53" s="360"/>
      <c r="P53" s="350"/>
      <c r="Q53" s="350"/>
      <c r="R53" s="350"/>
    </row>
    <row r="54" spans="1:18">
      <c r="A54" s="351"/>
      <c r="B54" s="339"/>
      <c r="C54" s="352"/>
      <c r="D54" s="353"/>
      <c r="E54" s="353"/>
      <c r="F54" s="354"/>
      <c r="G54" s="373"/>
      <c r="H54" s="342"/>
      <c r="I54" s="356"/>
      <c r="J54" s="357"/>
      <c r="K54" s="357"/>
      <c r="L54" s="358"/>
      <c r="M54" s="349"/>
      <c r="N54" s="359"/>
      <c r="O54" s="360"/>
      <c r="P54" s="350"/>
      <c r="Q54" s="350"/>
      <c r="R54" s="350"/>
    </row>
    <row r="55" spans="1:18">
      <c r="A55" s="351"/>
      <c r="B55" s="339"/>
      <c r="C55" s="352"/>
      <c r="D55" s="353"/>
      <c r="E55" s="353"/>
      <c r="F55" s="354"/>
      <c r="G55" s="373"/>
      <c r="H55" s="342"/>
      <c r="I55" s="356"/>
      <c r="J55" s="348"/>
      <c r="K55" s="357"/>
      <c r="L55" s="358"/>
      <c r="M55" s="349"/>
      <c r="N55" s="359"/>
      <c r="O55" s="360"/>
      <c r="P55" s="350"/>
      <c r="Q55" s="350"/>
      <c r="R55" s="350"/>
    </row>
    <row r="56" spans="1:18">
      <c r="A56" s="351"/>
      <c r="B56" s="339"/>
      <c r="C56" s="352"/>
      <c r="D56" s="353"/>
      <c r="E56" s="353"/>
      <c r="F56" s="354"/>
      <c r="G56" s="373"/>
      <c r="H56" s="342"/>
      <c r="I56" s="356"/>
      <c r="J56" s="357"/>
      <c r="K56" s="357"/>
      <c r="L56" s="358"/>
      <c r="M56" s="349"/>
      <c r="N56" s="359"/>
      <c r="O56" s="360"/>
      <c r="P56" s="350"/>
      <c r="Q56" s="350"/>
      <c r="R56" s="350"/>
    </row>
    <row r="57" spans="1:18">
      <c r="A57" s="351"/>
      <c r="B57" s="339"/>
      <c r="C57" s="352"/>
      <c r="D57" s="353"/>
      <c r="E57" s="353"/>
      <c r="F57" s="354"/>
      <c r="G57" s="373"/>
      <c r="H57" s="342"/>
      <c r="I57" s="356"/>
      <c r="J57" s="348"/>
      <c r="K57" s="357"/>
      <c r="L57" s="358"/>
      <c r="M57" s="349"/>
      <c r="N57" s="359"/>
      <c r="O57" s="360"/>
      <c r="P57" s="350"/>
      <c r="Q57" s="350"/>
      <c r="R57" s="350"/>
    </row>
    <row r="58" spans="1:18">
      <c r="A58" s="351"/>
      <c r="B58" s="339"/>
      <c r="C58" s="352"/>
      <c r="D58" s="353"/>
      <c r="E58" s="353"/>
      <c r="F58" s="354"/>
      <c r="G58" s="355"/>
      <c r="H58" s="342"/>
      <c r="I58" s="356"/>
      <c r="J58" s="348"/>
      <c r="K58" s="357"/>
      <c r="L58" s="358"/>
      <c r="M58" s="349"/>
      <c r="N58" s="359"/>
      <c r="O58" s="360"/>
      <c r="P58" s="350"/>
      <c r="Q58" s="350"/>
      <c r="R58" s="350"/>
    </row>
    <row r="59" spans="1:18">
      <c r="A59" s="351"/>
      <c r="B59" s="339"/>
      <c r="C59" s="352"/>
      <c r="D59" s="353"/>
      <c r="E59" s="353"/>
      <c r="F59" s="354"/>
      <c r="G59" s="355"/>
      <c r="H59" s="342"/>
      <c r="I59" s="356"/>
      <c r="J59" s="348"/>
      <c r="K59" s="357"/>
      <c r="L59" s="358"/>
      <c r="M59" s="349"/>
      <c r="N59" s="359"/>
      <c r="O59" s="360"/>
      <c r="P59" s="350"/>
      <c r="Q59" s="350"/>
      <c r="R59" s="350"/>
    </row>
    <row r="60" spans="1:18">
      <c r="A60" s="351"/>
      <c r="B60" s="339"/>
      <c r="C60" s="352"/>
      <c r="D60" s="353"/>
      <c r="E60" s="353"/>
      <c r="F60" s="354"/>
      <c r="G60" s="355"/>
      <c r="H60" s="342"/>
      <c r="I60" s="356"/>
      <c r="J60" s="348"/>
      <c r="K60" s="357"/>
      <c r="L60" s="358"/>
      <c r="M60" s="349"/>
      <c r="N60" s="359"/>
      <c r="O60" s="360"/>
      <c r="P60" s="350"/>
      <c r="Q60" s="350"/>
      <c r="R60" s="350"/>
    </row>
    <row r="61" spans="1:18">
      <c r="A61" s="351"/>
      <c r="B61" s="339"/>
      <c r="C61" s="352"/>
      <c r="D61" s="353"/>
      <c r="E61" s="353"/>
      <c r="F61" s="354"/>
      <c r="G61" s="355"/>
      <c r="H61" s="342"/>
      <c r="I61" s="356"/>
      <c r="J61" s="348"/>
      <c r="K61" s="357"/>
      <c r="L61" s="358"/>
      <c r="M61" s="349"/>
      <c r="N61" s="359"/>
      <c r="O61" s="360"/>
      <c r="P61" s="350"/>
      <c r="Q61" s="350"/>
      <c r="R61" s="350"/>
    </row>
    <row r="62" spans="1:18">
      <c r="A62" s="351"/>
      <c r="B62" s="339"/>
      <c r="C62" s="352"/>
      <c r="D62" s="353"/>
      <c r="E62" s="353"/>
      <c r="F62" s="354"/>
      <c r="G62" s="355"/>
      <c r="H62" s="342"/>
      <c r="I62" s="356"/>
      <c r="J62" s="348"/>
      <c r="K62" s="357"/>
      <c r="L62" s="358"/>
      <c r="M62" s="349"/>
      <c r="N62" s="359"/>
      <c r="O62" s="360"/>
      <c r="P62" s="350"/>
      <c r="Q62" s="350"/>
      <c r="R62" s="3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78DD-95CA-4E1A-9255-74C7336E0AC4}">
  <dimension ref="A1:AI23"/>
  <sheetViews>
    <sheetView topLeftCell="L1" workbookViewId="0">
      <selection activeCell="P16" sqref="P16"/>
    </sheetView>
  </sheetViews>
  <sheetFormatPr defaultRowHeight="12.75"/>
  <cols>
    <col min="25" max="25" width="10.42578125" customWidth="1"/>
    <col min="26" max="26" width="16.42578125" customWidth="1"/>
    <col min="27" max="27" width="9.28515625" customWidth="1"/>
    <col min="28" max="28" width="13.28515625" customWidth="1"/>
    <col min="29" max="29" width="11" customWidth="1"/>
    <col min="31" max="31" width="12.7109375" customWidth="1"/>
  </cols>
  <sheetData>
    <row r="1" spans="1:35">
      <c r="A1" s="371" t="s">
        <v>328</v>
      </c>
      <c r="B1" s="371" t="s">
        <v>11</v>
      </c>
      <c r="C1" s="371" t="s">
        <v>29</v>
      </c>
      <c r="D1" s="371" t="s">
        <v>342</v>
      </c>
      <c r="E1" s="371" t="s">
        <v>343</v>
      </c>
      <c r="F1" s="371" t="s">
        <v>344</v>
      </c>
      <c r="G1" s="371" t="s">
        <v>185</v>
      </c>
      <c r="H1" s="371" t="s">
        <v>345</v>
      </c>
      <c r="I1" s="371" t="s">
        <v>346</v>
      </c>
      <c r="J1" s="371" t="s">
        <v>347</v>
      </c>
      <c r="K1" s="371" t="s">
        <v>348</v>
      </c>
      <c r="L1" s="371" t="s">
        <v>349</v>
      </c>
      <c r="M1" s="371" t="s">
        <v>350</v>
      </c>
      <c r="N1" s="371" t="s">
        <v>351</v>
      </c>
      <c r="O1" s="371" t="s">
        <v>352</v>
      </c>
      <c r="P1" s="371" t="s">
        <v>353</v>
      </c>
      <c r="Q1" s="371" t="s">
        <v>354</v>
      </c>
      <c r="R1" s="371" t="s">
        <v>355</v>
      </c>
      <c r="S1" s="371" t="s">
        <v>356</v>
      </c>
      <c r="T1" s="371" t="s">
        <v>357</v>
      </c>
      <c r="U1" s="371" t="s">
        <v>358</v>
      </c>
      <c r="V1" s="371" t="s">
        <v>359</v>
      </c>
      <c r="W1" s="371" t="s">
        <v>360</v>
      </c>
      <c r="X1" s="371" t="s">
        <v>361</v>
      </c>
      <c r="Y1" s="371" t="s">
        <v>362</v>
      </c>
      <c r="Z1" s="364" t="s">
        <v>363</v>
      </c>
      <c r="AA1" s="364" t="s">
        <v>364</v>
      </c>
      <c r="AB1" s="364" t="s">
        <v>161</v>
      </c>
      <c r="AC1" s="364" t="s">
        <v>302</v>
      </c>
      <c r="AD1" s="364" t="s">
        <v>12</v>
      </c>
      <c r="AE1" s="364" t="s">
        <v>365</v>
      </c>
      <c r="AF1" s="364" t="s">
        <v>160</v>
      </c>
      <c r="AG1" s="364" t="s">
        <v>301</v>
      </c>
      <c r="AH1" s="364" t="s">
        <v>12</v>
      </c>
      <c r="AI1" s="364" t="s">
        <v>366</v>
      </c>
    </row>
    <row r="2" spans="1:35">
      <c r="A2" t="s">
        <v>341</v>
      </c>
      <c r="B2">
        <v>1591.5</v>
      </c>
      <c r="C2" t="s">
        <v>101</v>
      </c>
      <c r="D2">
        <v>-1</v>
      </c>
      <c r="E2">
        <v>-6</v>
      </c>
      <c r="F2">
        <v>1593.07</v>
      </c>
      <c r="G2">
        <v>19.71</v>
      </c>
      <c r="H2">
        <v>0.5</v>
      </c>
      <c r="I2">
        <v>10</v>
      </c>
      <c r="J2">
        <v>2.0000000000000002E-5</v>
      </c>
      <c r="K2">
        <v>9.9999999999999995E-7</v>
      </c>
      <c r="L2">
        <v>10</v>
      </c>
      <c r="M2">
        <v>4.0000000000000001E-3</v>
      </c>
      <c r="N2">
        <v>2.0000000000000001E-4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1.255437614258792E-8</v>
      </c>
      <c r="W2">
        <v>1.255437614234308E-4</v>
      </c>
      <c r="X2" s="372">
        <f t="shared" ref="X2:X23" si="0">Q2/V2</f>
        <v>0</v>
      </c>
      <c r="Y2" s="372">
        <f t="shared" ref="Y2:Y23" si="1">T2/W2</f>
        <v>0</v>
      </c>
      <c r="Z2" s="366" t="str">
        <f t="shared" ref="Z2:Z23" si="2">A2&amp;B2</f>
        <v>coax zero1591.5</v>
      </c>
      <c r="AA2" s="367">
        <v>1</v>
      </c>
      <c r="AB2" s="368">
        <f t="shared" ref="AB2:AB23" si="3">AA2*S2</f>
        <v>0</v>
      </c>
      <c r="AC2" s="369">
        <f t="shared" ref="AC2:AC23" si="4">AA2*T2</f>
        <v>0</v>
      </c>
      <c r="AD2" s="365">
        <f t="shared" ref="AD2:AD23" si="5">U2</f>
        <v>0</v>
      </c>
      <c r="AE2" s="367">
        <v>1000000</v>
      </c>
      <c r="AF2" s="367">
        <f t="shared" ref="AF2:AF23" si="6">AE2*P2</f>
        <v>0</v>
      </c>
      <c r="AG2" s="365">
        <f t="shared" ref="AG2:AG23" si="7">AE2*Q2</f>
        <v>0</v>
      </c>
      <c r="AH2" s="370">
        <f>R2</f>
        <v>0</v>
      </c>
      <c r="AI2" s="370">
        <f>B2</f>
        <v>1591.5</v>
      </c>
    </row>
    <row r="3" spans="1:35">
      <c r="A3" t="s">
        <v>34</v>
      </c>
      <c r="B3">
        <v>1591.5</v>
      </c>
      <c r="C3" t="s">
        <v>101</v>
      </c>
      <c r="D3">
        <v>99380</v>
      </c>
      <c r="E3">
        <v>569169</v>
      </c>
      <c r="F3">
        <v>1593.33</v>
      </c>
      <c r="G3">
        <v>19.73</v>
      </c>
      <c r="H3">
        <v>0.5</v>
      </c>
      <c r="I3">
        <v>10</v>
      </c>
      <c r="J3">
        <v>2.0000000000000002E-5</v>
      </c>
      <c r="K3">
        <v>9.9999999999999995E-7</v>
      </c>
      <c r="L3">
        <v>10</v>
      </c>
      <c r="M3">
        <v>4.0000000000000001E-3</v>
      </c>
      <c r="N3">
        <v>2.0000000000000001E-4</v>
      </c>
      <c r="O3">
        <v>10</v>
      </c>
      <c r="P3">
        <v>9.9401681968295011E-4</v>
      </c>
      <c r="Q3">
        <v>6.3212537943479837E-8</v>
      </c>
      <c r="R3">
        <v>1.988966074789402</v>
      </c>
      <c r="S3">
        <v>5.68601177492092</v>
      </c>
      <c r="T3">
        <v>3.3718965085672653E-2</v>
      </c>
      <c r="U3">
        <v>2.08343460112531</v>
      </c>
      <c r="V3">
        <v>1.958623812165344E-8</v>
      </c>
      <c r="W3">
        <v>1.78849360134071E-4</v>
      </c>
      <c r="X3" s="372">
        <f t="shared" si="0"/>
        <v>3.2273955596197732</v>
      </c>
      <c r="Y3" s="372">
        <f t="shared" si="1"/>
        <v>188.53276892014529</v>
      </c>
      <c r="Z3" s="366" t="str">
        <f t="shared" si="2"/>
        <v>A11591.5</v>
      </c>
      <c r="AA3" s="367">
        <v>1</v>
      </c>
      <c r="AB3" s="368">
        <f t="shared" si="3"/>
        <v>5.68601177492092</v>
      </c>
      <c r="AC3" s="369">
        <f t="shared" si="4"/>
        <v>3.3718965085672653E-2</v>
      </c>
      <c r="AD3" s="365">
        <f t="shared" si="5"/>
        <v>2.08343460112531</v>
      </c>
      <c r="AE3" s="367">
        <v>1000000</v>
      </c>
      <c r="AF3" s="367">
        <f t="shared" si="6"/>
        <v>994.01681968295009</v>
      </c>
      <c r="AG3" s="365">
        <f t="shared" si="7"/>
        <v>6.3212537943479835E-2</v>
      </c>
      <c r="AH3" s="370">
        <f t="shared" ref="AH3:AH23" si="8">R3</f>
        <v>1.988966074789402</v>
      </c>
      <c r="AI3" s="370">
        <f t="shared" ref="AI3:AI23" si="9">B3</f>
        <v>1591.5</v>
      </c>
    </row>
    <row r="4" spans="1:35">
      <c r="A4" t="s">
        <v>35</v>
      </c>
      <c r="B4">
        <v>1591.5</v>
      </c>
      <c r="C4" t="s">
        <v>101</v>
      </c>
      <c r="D4">
        <v>198010</v>
      </c>
      <c r="E4">
        <v>838356</v>
      </c>
      <c r="F4">
        <v>1593.46</v>
      </c>
      <c r="G4">
        <v>19.71</v>
      </c>
      <c r="H4">
        <v>0.5</v>
      </c>
      <c r="I4">
        <v>10</v>
      </c>
      <c r="J4">
        <v>2.0000000000000002E-5</v>
      </c>
      <c r="K4">
        <v>9.9999999999999995E-7</v>
      </c>
      <c r="L4">
        <v>10</v>
      </c>
      <c r="M4">
        <v>4.0000000000000001E-3</v>
      </c>
      <c r="N4">
        <v>2.0000000000000001E-4</v>
      </c>
      <c r="O4">
        <v>10</v>
      </c>
      <c r="P4">
        <v>1.9805212842130809E-3</v>
      </c>
      <c r="Q4">
        <v>9.8534666896604751E-8</v>
      </c>
      <c r="R4">
        <v>2.0003046386368011</v>
      </c>
      <c r="S4">
        <v>8.3744971612129753</v>
      </c>
      <c r="T4">
        <v>4.9590542893043661E-2</v>
      </c>
      <c r="U4">
        <v>2.0844998268059021</v>
      </c>
      <c r="V4">
        <v>3.1569504431021839E-8</v>
      </c>
      <c r="W4">
        <v>2.6221343712188873E-4</v>
      </c>
      <c r="X4" s="372">
        <f t="shared" si="0"/>
        <v>3.1211977721062816</v>
      </c>
      <c r="Y4" s="372">
        <f t="shared" si="1"/>
        <v>189.12281322177904</v>
      </c>
      <c r="Z4" s="366" t="str">
        <f t="shared" si="2"/>
        <v>A21591.5</v>
      </c>
      <c r="AA4" s="367">
        <v>1</v>
      </c>
      <c r="AB4" s="368">
        <f t="shared" si="3"/>
        <v>8.3744971612129753</v>
      </c>
      <c r="AC4" s="369">
        <f t="shared" si="4"/>
        <v>4.9590542893043661E-2</v>
      </c>
      <c r="AD4" s="365">
        <f t="shared" si="5"/>
        <v>2.0844998268059021</v>
      </c>
      <c r="AE4" s="367">
        <v>1000000</v>
      </c>
      <c r="AF4" s="367">
        <f t="shared" si="6"/>
        <v>1980.5212842130809</v>
      </c>
      <c r="AG4" s="365">
        <f t="shared" si="7"/>
        <v>9.8534666896604756E-2</v>
      </c>
      <c r="AH4" s="370">
        <f t="shared" si="8"/>
        <v>2.0003046386368011</v>
      </c>
      <c r="AI4" s="370">
        <f t="shared" si="9"/>
        <v>1591.5</v>
      </c>
    </row>
    <row r="5" spans="1:35">
      <c r="A5" t="s">
        <v>36</v>
      </c>
      <c r="B5">
        <v>1591.5</v>
      </c>
      <c r="C5" t="s">
        <v>101</v>
      </c>
      <c r="D5">
        <v>296879</v>
      </c>
      <c r="E5">
        <v>1066481</v>
      </c>
      <c r="F5">
        <v>1593.67</v>
      </c>
      <c r="G5">
        <v>19.71</v>
      </c>
      <c r="H5">
        <v>0.5</v>
      </c>
      <c r="I5">
        <v>10</v>
      </c>
      <c r="J5">
        <v>2.0000000000000002E-5</v>
      </c>
      <c r="K5">
        <v>9.9999999999999995E-7</v>
      </c>
      <c r="L5">
        <v>10</v>
      </c>
      <c r="M5">
        <v>4.0000000000000001E-3</v>
      </c>
      <c r="N5">
        <v>2.0000000000000001E-4</v>
      </c>
      <c r="O5">
        <v>10</v>
      </c>
      <c r="P5">
        <v>2.9694166427695619E-3</v>
      </c>
      <c r="Q5">
        <v>1.3829150761095631E-7</v>
      </c>
      <c r="R5">
        <v>2.010169515041158</v>
      </c>
      <c r="S5">
        <v>10.65326474493345</v>
      </c>
      <c r="T5">
        <v>6.3053901278092198E-2</v>
      </c>
      <c r="U5">
        <v>2.0848438583220079</v>
      </c>
      <c r="V5">
        <v>4.4715477591063512E-8</v>
      </c>
      <c r="W5">
        <v>3.5527459634257611E-4</v>
      </c>
      <c r="X5" s="372">
        <f t="shared" si="0"/>
        <v>3.0926988832742373</v>
      </c>
      <c r="Y5" s="372">
        <f t="shared" si="1"/>
        <v>177.47934112714327</v>
      </c>
      <c r="Z5" s="366" t="str">
        <f t="shared" si="2"/>
        <v>A31591.5</v>
      </c>
      <c r="AA5" s="367">
        <v>1</v>
      </c>
      <c r="AB5" s="368">
        <f t="shared" si="3"/>
        <v>10.65326474493345</v>
      </c>
      <c r="AC5" s="369">
        <f t="shared" si="4"/>
        <v>6.3053901278092198E-2</v>
      </c>
      <c r="AD5" s="365">
        <f t="shared" si="5"/>
        <v>2.0848438583220079</v>
      </c>
      <c r="AE5" s="367">
        <v>1000000</v>
      </c>
      <c r="AF5" s="367">
        <f t="shared" si="6"/>
        <v>2969.4166427695618</v>
      </c>
      <c r="AG5" s="365">
        <f t="shared" si="7"/>
        <v>0.13829150761095629</v>
      </c>
      <c r="AH5" s="370">
        <f t="shared" si="8"/>
        <v>2.010169515041158</v>
      </c>
      <c r="AI5" s="370">
        <f t="shared" si="9"/>
        <v>1591.5</v>
      </c>
    </row>
    <row r="6" spans="1:35">
      <c r="A6" t="s">
        <v>37</v>
      </c>
      <c r="B6">
        <v>1591.5</v>
      </c>
      <c r="C6" t="s">
        <v>101</v>
      </c>
      <c r="D6">
        <v>394832</v>
      </c>
      <c r="E6">
        <v>1265232</v>
      </c>
      <c r="F6">
        <v>1593.74</v>
      </c>
      <c r="G6">
        <v>19.7</v>
      </c>
      <c r="H6">
        <v>0.5</v>
      </c>
      <c r="I6">
        <v>10</v>
      </c>
      <c r="J6">
        <v>2.0000000000000002E-5</v>
      </c>
      <c r="K6">
        <v>9.9999999999999995E-7</v>
      </c>
      <c r="L6">
        <v>10</v>
      </c>
      <c r="M6">
        <v>4.0000000000000001E-3</v>
      </c>
      <c r="N6">
        <v>2.0000000000000001E-4</v>
      </c>
      <c r="O6">
        <v>10</v>
      </c>
      <c r="P6">
        <v>3.9491493088906282E-3</v>
      </c>
      <c r="Q6">
        <v>1.7901486866776379E-7</v>
      </c>
      <c r="R6">
        <v>2.0157101721327422</v>
      </c>
      <c r="S6">
        <v>12.638105842186681</v>
      </c>
      <c r="T6">
        <v>7.4789449082862863E-2</v>
      </c>
      <c r="U6">
        <v>2.0849886670162432</v>
      </c>
      <c r="V6">
        <v>5.8089398522521403E-8</v>
      </c>
      <c r="W6">
        <v>4.5065208157016637E-4</v>
      </c>
      <c r="X6" s="372">
        <f t="shared" si="0"/>
        <v>3.0817132423631359</v>
      </c>
      <c r="Y6" s="372">
        <f t="shared" si="1"/>
        <v>165.95829053375442</v>
      </c>
      <c r="Z6" s="366" t="str">
        <f t="shared" si="2"/>
        <v>A41591.5</v>
      </c>
      <c r="AA6" s="367">
        <v>1</v>
      </c>
      <c r="AB6" s="368">
        <f t="shared" si="3"/>
        <v>12.638105842186681</v>
      </c>
      <c r="AC6" s="369">
        <f t="shared" si="4"/>
        <v>7.4789449082862863E-2</v>
      </c>
      <c r="AD6" s="365">
        <f t="shared" si="5"/>
        <v>2.0849886670162432</v>
      </c>
      <c r="AE6" s="367">
        <v>1000000</v>
      </c>
      <c r="AF6" s="367">
        <f t="shared" si="6"/>
        <v>3949.1493088906282</v>
      </c>
      <c r="AG6" s="365">
        <f t="shared" si="7"/>
        <v>0.17901486866776378</v>
      </c>
      <c r="AH6" s="370">
        <f t="shared" si="8"/>
        <v>2.0157101721327422</v>
      </c>
      <c r="AI6" s="370">
        <f t="shared" si="9"/>
        <v>1591.5</v>
      </c>
    </row>
    <row r="7" spans="1:35">
      <c r="A7" t="s">
        <v>38</v>
      </c>
      <c r="B7">
        <v>1591.5</v>
      </c>
      <c r="C7" t="s">
        <v>101</v>
      </c>
      <c r="D7">
        <v>493210</v>
      </c>
      <c r="E7">
        <v>1442337</v>
      </c>
      <c r="F7">
        <v>1592.85</v>
      </c>
      <c r="G7">
        <v>19.71</v>
      </c>
      <c r="H7">
        <v>0.5</v>
      </c>
      <c r="I7">
        <v>10</v>
      </c>
      <c r="J7">
        <v>2.0000000000000002E-5</v>
      </c>
      <c r="K7">
        <v>9.9999999999999995E-7</v>
      </c>
      <c r="L7">
        <v>10</v>
      </c>
      <c r="M7">
        <v>4.0000000000000001E-3</v>
      </c>
      <c r="N7">
        <v>2.0000000000000001E-4</v>
      </c>
      <c r="O7">
        <v>10</v>
      </c>
      <c r="P7">
        <v>4.9331344374347504E-3</v>
      </c>
      <c r="Q7">
        <v>2.2044425967197429E-7</v>
      </c>
      <c r="R7">
        <v>2.019069475039879</v>
      </c>
      <c r="S7">
        <v>14.407734745796329</v>
      </c>
      <c r="T7">
        <v>8.5247953063210424E-2</v>
      </c>
      <c r="U7">
        <v>2.08507527367559</v>
      </c>
      <c r="V7">
        <v>7.1662927810288021E-8</v>
      </c>
      <c r="W7">
        <v>5.4763676805981768E-4</v>
      </c>
      <c r="X7" s="372">
        <f t="shared" si="0"/>
        <v>3.0761268958414929</v>
      </c>
      <c r="Y7" s="372">
        <f t="shared" si="1"/>
        <v>155.66513798047046</v>
      </c>
      <c r="Z7" s="366" t="str">
        <f t="shared" si="2"/>
        <v>A51591.5</v>
      </c>
      <c r="AA7" s="367">
        <v>1</v>
      </c>
      <c r="AB7" s="368">
        <f t="shared" si="3"/>
        <v>14.407734745796329</v>
      </c>
      <c r="AC7" s="369">
        <f t="shared" si="4"/>
        <v>8.5247953063210424E-2</v>
      </c>
      <c r="AD7" s="365">
        <f t="shared" si="5"/>
        <v>2.08507527367559</v>
      </c>
      <c r="AE7" s="367">
        <v>1000000</v>
      </c>
      <c r="AF7" s="367">
        <f t="shared" si="6"/>
        <v>4933.13443743475</v>
      </c>
      <c r="AG7" s="365">
        <f t="shared" si="7"/>
        <v>0.22044425967197429</v>
      </c>
      <c r="AH7" s="370">
        <f t="shared" si="8"/>
        <v>2.019069475039879</v>
      </c>
      <c r="AI7" s="370">
        <f t="shared" si="9"/>
        <v>1591.5</v>
      </c>
    </row>
    <row r="8" spans="1:35">
      <c r="A8" t="s">
        <v>39</v>
      </c>
      <c r="B8">
        <v>1591.5</v>
      </c>
      <c r="C8" t="s">
        <v>101</v>
      </c>
      <c r="D8">
        <v>591464</v>
      </c>
      <c r="E8">
        <v>1611164</v>
      </c>
      <c r="F8">
        <v>1592.97</v>
      </c>
      <c r="G8">
        <v>19.7</v>
      </c>
      <c r="H8">
        <v>0.5</v>
      </c>
      <c r="I8">
        <v>10</v>
      </c>
      <c r="J8">
        <v>2.0000000000000002E-5</v>
      </c>
      <c r="K8">
        <v>9.9999999999999995E-7</v>
      </c>
      <c r="L8">
        <v>10</v>
      </c>
      <c r="M8">
        <v>4.0000000000000001E-3</v>
      </c>
      <c r="N8">
        <v>2.0000000000000001E-4</v>
      </c>
      <c r="O8">
        <v>10</v>
      </c>
      <c r="P8">
        <v>5.9158773354081222E-3</v>
      </c>
      <c r="Q8">
        <v>2.6214210239541239E-7</v>
      </c>
      <c r="R8">
        <v>2.0212070379172729</v>
      </c>
      <c r="S8">
        <v>16.09352308802535</v>
      </c>
      <c r="T8">
        <v>9.5220986774527033E-2</v>
      </c>
      <c r="U8">
        <v>2.085115084871771</v>
      </c>
      <c r="V8">
        <v>8.5304419895056359E-8</v>
      </c>
      <c r="W8">
        <v>6.454674611146695E-4</v>
      </c>
      <c r="X8" s="372">
        <f t="shared" si="0"/>
        <v>3.0730189914884387</v>
      </c>
      <c r="Y8" s="372">
        <f t="shared" si="1"/>
        <v>147.52252051573316</v>
      </c>
      <c r="Z8" s="366" t="str">
        <f t="shared" si="2"/>
        <v>A61591.5</v>
      </c>
      <c r="AA8" s="367">
        <v>1</v>
      </c>
      <c r="AB8" s="368">
        <f t="shared" si="3"/>
        <v>16.09352308802535</v>
      </c>
      <c r="AC8" s="369">
        <f t="shared" si="4"/>
        <v>9.5220986774527033E-2</v>
      </c>
      <c r="AD8" s="365">
        <f t="shared" si="5"/>
        <v>2.085115084871771</v>
      </c>
      <c r="AE8" s="367">
        <v>1000000</v>
      </c>
      <c r="AF8" s="367">
        <f t="shared" si="6"/>
        <v>5915.8773354081222</v>
      </c>
      <c r="AG8" s="365">
        <f t="shared" si="7"/>
        <v>0.26214210239541241</v>
      </c>
      <c r="AH8" s="370">
        <f t="shared" si="8"/>
        <v>2.0212070379172729</v>
      </c>
      <c r="AI8" s="370">
        <f t="shared" si="9"/>
        <v>1591.5</v>
      </c>
    </row>
    <row r="9" spans="1:35">
      <c r="A9" t="s">
        <v>40</v>
      </c>
      <c r="B9">
        <v>1591.5</v>
      </c>
      <c r="C9" t="s">
        <v>101</v>
      </c>
      <c r="D9">
        <v>689154</v>
      </c>
      <c r="E9">
        <v>1775693</v>
      </c>
      <c r="F9">
        <v>1593.08</v>
      </c>
      <c r="G9">
        <v>19.7</v>
      </c>
      <c r="H9">
        <v>0.5</v>
      </c>
      <c r="I9">
        <v>10</v>
      </c>
      <c r="J9">
        <v>2.0000000000000002E-5</v>
      </c>
      <c r="K9">
        <v>9.9999999999999995E-7</v>
      </c>
      <c r="L9">
        <v>10</v>
      </c>
      <c r="M9">
        <v>4.0000000000000001E-3</v>
      </c>
      <c r="N9">
        <v>2.0000000000000001E-4</v>
      </c>
      <c r="O9">
        <v>10</v>
      </c>
      <c r="P9">
        <v>6.8929800496687413E-3</v>
      </c>
      <c r="Q9">
        <v>3.0379823407733697E-7</v>
      </c>
      <c r="R9">
        <v>2.022640790532277</v>
      </c>
      <c r="S9">
        <v>17.73695689594307</v>
      </c>
      <c r="T9">
        <v>0.10494020952145559</v>
      </c>
      <c r="U9">
        <v>2.085146043611084</v>
      </c>
      <c r="V9">
        <v>9.8922348894532976E-8</v>
      </c>
      <c r="W9">
        <v>7.4344230861128743E-4</v>
      </c>
      <c r="X9" s="372">
        <f t="shared" si="0"/>
        <v>3.0710778451210698</v>
      </c>
      <c r="Y9" s="372">
        <f t="shared" si="1"/>
        <v>141.15447601775395</v>
      </c>
      <c r="Z9" s="366" t="str">
        <f t="shared" si="2"/>
        <v>A71591.5</v>
      </c>
      <c r="AA9" s="367">
        <v>1</v>
      </c>
      <c r="AB9" s="368">
        <f t="shared" si="3"/>
        <v>17.73695689594307</v>
      </c>
      <c r="AC9" s="369">
        <f t="shared" si="4"/>
        <v>0.10494020952145559</v>
      </c>
      <c r="AD9" s="365">
        <f t="shared" si="5"/>
        <v>2.085146043611084</v>
      </c>
      <c r="AE9" s="367">
        <v>1000000</v>
      </c>
      <c r="AF9" s="367">
        <f t="shared" si="6"/>
        <v>6892.9800496687412</v>
      </c>
      <c r="AG9" s="365">
        <f t="shared" si="7"/>
        <v>0.30379823407733697</v>
      </c>
      <c r="AH9" s="370">
        <f t="shared" si="8"/>
        <v>2.022640790532277</v>
      </c>
      <c r="AI9" s="370">
        <f t="shared" si="9"/>
        <v>1591.5</v>
      </c>
    </row>
    <row r="10" spans="1:35">
      <c r="A10" t="s">
        <v>41</v>
      </c>
      <c r="B10">
        <v>1591.5</v>
      </c>
      <c r="C10" t="s">
        <v>101</v>
      </c>
      <c r="D10">
        <v>786400</v>
      </c>
      <c r="E10">
        <v>1927498</v>
      </c>
      <c r="F10">
        <v>1593.25</v>
      </c>
      <c r="G10">
        <v>19.690000000000001</v>
      </c>
      <c r="H10">
        <v>0.5</v>
      </c>
      <c r="I10">
        <v>10</v>
      </c>
      <c r="J10">
        <v>2.0000000000000002E-5</v>
      </c>
      <c r="K10">
        <v>9.9999999999999995E-7</v>
      </c>
      <c r="L10">
        <v>10</v>
      </c>
      <c r="M10">
        <v>4.0000000000000001E-3</v>
      </c>
      <c r="N10">
        <v>2.0000000000000001E-4</v>
      </c>
      <c r="O10">
        <v>10</v>
      </c>
      <c r="P10">
        <v>7.865640269459415E-3</v>
      </c>
      <c r="Q10">
        <v>3.4533603943197121E-7</v>
      </c>
      <c r="R10">
        <v>2.0236935467261419</v>
      </c>
      <c r="S10">
        <v>19.252523199529762</v>
      </c>
      <c r="T10">
        <v>0.1139101160682761</v>
      </c>
      <c r="U10">
        <v>2.0851554112409292</v>
      </c>
      <c r="V10">
        <v>1.124964921201696E-7</v>
      </c>
      <c r="W10">
        <v>8.4099707783186911E-4</v>
      </c>
      <c r="X10" s="372">
        <f t="shared" si="0"/>
        <v>3.0697494021687421</v>
      </c>
      <c r="Y10" s="372">
        <f t="shared" si="1"/>
        <v>135.44650638019081</v>
      </c>
      <c r="Z10" s="366" t="str">
        <f t="shared" si="2"/>
        <v>A81591.5</v>
      </c>
      <c r="AA10" s="367">
        <v>1</v>
      </c>
      <c r="AB10" s="368">
        <f t="shared" si="3"/>
        <v>19.252523199529762</v>
      </c>
      <c r="AC10" s="369">
        <f t="shared" si="4"/>
        <v>0.1139101160682761</v>
      </c>
      <c r="AD10" s="365">
        <f t="shared" si="5"/>
        <v>2.0851554112409292</v>
      </c>
      <c r="AE10" s="367">
        <v>1000000</v>
      </c>
      <c r="AF10" s="367">
        <f t="shared" si="6"/>
        <v>7865.6402694594153</v>
      </c>
      <c r="AG10" s="365">
        <f t="shared" si="7"/>
        <v>0.34533603943197122</v>
      </c>
      <c r="AH10" s="370">
        <f t="shared" si="8"/>
        <v>2.0236935467261419</v>
      </c>
      <c r="AI10" s="370">
        <f t="shared" si="9"/>
        <v>1591.5</v>
      </c>
    </row>
    <row r="11" spans="1:35">
      <c r="A11" t="s">
        <v>42</v>
      </c>
      <c r="B11">
        <v>1591.5</v>
      </c>
      <c r="C11" t="s">
        <v>101</v>
      </c>
      <c r="D11">
        <v>883362</v>
      </c>
      <c r="E11">
        <v>2073610</v>
      </c>
      <c r="F11">
        <v>1593.16</v>
      </c>
      <c r="G11">
        <v>19.7</v>
      </c>
      <c r="H11">
        <v>0.5</v>
      </c>
      <c r="I11">
        <v>10</v>
      </c>
      <c r="J11">
        <v>2.0000000000000002E-5</v>
      </c>
      <c r="K11">
        <v>9.9999999999999995E-7</v>
      </c>
      <c r="L11">
        <v>10</v>
      </c>
      <c r="M11">
        <v>4.0000000000000001E-3</v>
      </c>
      <c r="N11">
        <v>2.0000000000000001E-4</v>
      </c>
      <c r="O11">
        <v>10</v>
      </c>
      <c r="P11">
        <v>8.8354630461998703E-3</v>
      </c>
      <c r="Q11">
        <v>3.8681766926432672E-7</v>
      </c>
      <c r="R11">
        <v>2.0244870402683031</v>
      </c>
      <c r="S11">
        <v>20.712765839979809</v>
      </c>
      <c r="T11">
        <v>0.1225417546724499</v>
      </c>
      <c r="U11">
        <v>2.085173993463791</v>
      </c>
      <c r="V11">
        <v>1.2605003379356691E-7</v>
      </c>
      <c r="W11">
        <v>9.3846175900026197E-4</v>
      </c>
      <c r="X11" s="372">
        <f t="shared" si="0"/>
        <v>3.0687629159847822</v>
      </c>
      <c r="Y11" s="372">
        <f t="shared" si="1"/>
        <v>130.57724888331407</v>
      </c>
      <c r="Z11" s="366" t="str">
        <f t="shared" si="2"/>
        <v>A91591.5</v>
      </c>
      <c r="AA11" s="367">
        <v>1</v>
      </c>
      <c r="AB11" s="368">
        <f t="shared" si="3"/>
        <v>20.712765839979809</v>
      </c>
      <c r="AC11" s="369">
        <f t="shared" si="4"/>
        <v>0.1225417546724499</v>
      </c>
      <c r="AD11" s="365">
        <f t="shared" si="5"/>
        <v>2.085173993463791</v>
      </c>
      <c r="AE11" s="367">
        <v>1000000</v>
      </c>
      <c r="AF11" s="367">
        <f t="shared" si="6"/>
        <v>8835.4630461998695</v>
      </c>
      <c r="AG11" s="365">
        <f t="shared" si="7"/>
        <v>0.3868176692643267</v>
      </c>
      <c r="AH11" s="370">
        <f t="shared" si="8"/>
        <v>2.0244870402683031</v>
      </c>
      <c r="AI11" s="370">
        <f t="shared" si="9"/>
        <v>1591.5</v>
      </c>
    </row>
    <row r="12" spans="1:35">
      <c r="A12" t="s">
        <v>43</v>
      </c>
      <c r="B12">
        <v>1591.5</v>
      </c>
      <c r="C12" t="s">
        <v>101</v>
      </c>
      <c r="D12">
        <v>980451</v>
      </c>
      <c r="E12">
        <v>2222585</v>
      </c>
      <c r="F12">
        <v>1592.88</v>
      </c>
      <c r="G12">
        <v>19.86</v>
      </c>
      <c r="H12">
        <v>0.5</v>
      </c>
      <c r="I12">
        <v>10</v>
      </c>
      <c r="J12">
        <v>2.0000000000000002E-5</v>
      </c>
      <c r="K12">
        <v>9.9999999999999995E-7</v>
      </c>
      <c r="L12">
        <v>10</v>
      </c>
      <c r="M12">
        <v>4.0000000000000001E-3</v>
      </c>
      <c r="N12">
        <v>2.0000000000000001E-4</v>
      </c>
      <c r="O12">
        <v>10</v>
      </c>
      <c r="P12">
        <v>9.8065858944700064E-3</v>
      </c>
      <c r="Q12">
        <v>4.2841385677505878E-7</v>
      </c>
      <c r="R12">
        <v>2.0251003487482429</v>
      </c>
      <c r="S12">
        <v>22.215060692605501</v>
      </c>
      <c r="T12">
        <v>0.13132694062678729</v>
      </c>
      <c r="U12">
        <v>2.0852746854712212</v>
      </c>
      <c r="V12">
        <v>1.3964571382247391E-7</v>
      </c>
      <c r="W12">
        <v>1.036482195090958E-3</v>
      </c>
      <c r="X12" s="372">
        <f t="shared" si="0"/>
        <v>3.0678625576699363</v>
      </c>
      <c r="Y12" s="372">
        <f t="shared" si="1"/>
        <v>126.70448296052255</v>
      </c>
      <c r="Z12" s="366" t="str">
        <f t="shared" si="2"/>
        <v>A101591.5</v>
      </c>
      <c r="AA12" s="367">
        <v>1</v>
      </c>
      <c r="AB12" s="368">
        <f t="shared" si="3"/>
        <v>22.215060692605501</v>
      </c>
      <c r="AC12" s="369">
        <f t="shared" si="4"/>
        <v>0.13132694062678729</v>
      </c>
      <c r="AD12" s="365">
        <f t="shared" si="5"/>
        <v>2.0852746854712212</v>
      </c>
      <c r="AE12" s="367">
        <v>1000000</v>
      </c>
      <c r="AF12" s="367">
        <f t="shared" si="6"/>
        <v>9806.5858944700067</v>
      </c>
      <c r="AG12" s="365">
        <f t="shared" si="7"/>
        <v>0.42841385677505878</v>
      </c>
      <c r="AH12" s="370">
        <f t="shared" si="8"/>
        <v>2.0251003487482429</v>
      </c>
      <c r="AI12" s="370">
        <f t="shared" si="9"/>
        <v>1591.5</v>
      </c>
    </row>
    <row r="13" spans="1:35">
      <c r="A13" t="s">
        <v>45</v>
      </c>
      <c r="B13">
        <v>1591.5</v>
      </c>
      <c r="C13" t="s">
        <v>100</v>
      </c>
      <c r="D13">
        <v>99118</v>
      </c>
      <c r="E13">
        <v>1166562</v>
      </c>
      <c r="F13">
        <v>1594.81</v>
      </c>
      <c r="G13">
        <v>19.77</v>
      </c>
      <c r="H13">
        <v>0.5</v>
      </c>
      <c r="I13">
        <v>10</v>
      </c>
      <c r="J13">
        <v>2.0000000000000002E-5</v>
      </c>
      <c r="K13">
        <v>9.9999999999999995E-7</v>
      </c>
      <c r="L13">
        <v>10</v>
      </c>
      <c r="M13">
        <v>4.0000000000000001E-3</v>
      </c>
      <c r="N13">
        <v>2.0000000000000001E-4</v>
      </c>
      <c r="O13">
        <v>10</v>
      </c>
      <c r="P13">
        <v>9.9141707182395154E-5</v>
      </c>
      <c r="Q13">
        <v>7.2135113813399104E-9</v>
      </c>
      <c r="R13">
        <v>1.997657557397754</v>
      </c>
      <c r="S13">
        <v>1.165597564479266</v>
      </c>
      <c r="T13">
        <v>6.8951135109526678E-3</v>
      </c>
      <c r="U13">
        <v>2.0850484851781181</v>
      </c>
      <c r="V13">
        <v>2.204574624214287E-9</v>
      </c>
      <c r="W13">
        <v>2.285437881499195E-5</v>
      </c>
      <c r="X13" s="372">
        <f t="shared" si="0"/>
        <v>3.2720649607907077</v>
      </c>
      <c r="Y13" s="372">
        <f t="shared" si="1"/>
        <v>301.69769945484717</v>
      </c>
      <c r="Z13" s="366" t="str">
        <f t="shared" si="2"/>
        <v>B11591.5</v>
      </c>
      <c r="AA13" s="367">
        <v>1</v>
      </c>
      <c r="AB13" s="368">
        <f t="shared" si="3"/>
        <v>1.165597564479266</v>
      </c>
      <c r="AC13" s="369">
        <f t="shared" si="4"/>
        <v>6.8951135109526678E-3</v>
      </c>
      <c r="AD13" s="365">
        <f t="shared" si="5"/>
        <v>2.0850484851781181</v>
      </c>
      <c r="AE13" s="367">
        <v>1000000</v>
      </c>
      <c r="AF13" s="367">
        <f t="shared" si="6"/>
        <v>99.141707182395152</v>
      </c>
      <c r="AG13" s="365">
        <f t="shared" si="7"/>
        <v>7.2135113813399107E-3</v>
      </c>
      <c r="AH13" s="370">
        <f t="shared" si="8"/>
        <v>1.997657557397754</v>
      </c>
      <c r="AI13" s="370">
        <f t="shared" si="9"/>
        <v>1591.5</v>
      </c>
    </row>
    <row r="14" spans="1:35">
      <c r="A14" t="s">
        <v>46</v>
      </c>
      <c r="B14">
        <v>1591.5</v>
      </c>
      <c r="C14" t="s">
        <v>100</v>
      </c>
      <c r="D14">
        <v>198956</v>
      </c>
      <c r="E14">
        <v>1739697</v>
      </c>
      <c r="F14">
        <v>1594.95</v>
      </c>
      <c r="G14">
        <v>19.760000000000002</v>
      </c>
      <c r="H14">
        <v>0.5</v>
      </c>
      <c r="I14">
        <v>10</v>
      </c>
      <c r="J14">
        <v>2.0000000000000002E-5</v>
      </c>
      <c r="K14">
        <v>9.9999999999999995E-7</v>
      </c>
      <c r="L14">
        <v>10</v>
      </c>
      <c r="M14">
        <v>4.0000000000000001E-3</v>
      </c>
      <c r="N14">
        <v>2.0000000000000001E-4</v>
      </c>
      <c r="O14">
        <v>10</v>
      </c>
      <c r="P14">
        <v>1.990005243383183E-4</v>
      </c>
      <c r="Q14">
        <v>1.11644392449385E-8</v>
      </c>
      <c r="R14">
        <v>2.002804983453184</v>
      </c>
      <c r="S14">
        <v>1.738176858421052</v>
      </c>
      <c r="T14">
        <v>1.0278923366988419E-2</v>
      </c>
      <c r="U14">
        <v>2.0853100731824559</v>
      </c>
      <c r="V14">
        <v>3.5158311118546709E-9</v>
      </c>
      <c r="W14">
        <v>3.3860496423014598E-5</v>
      </c>
      <c r="X14" s="372">
        <f t="shared" si="0"/>
        <v>3.1754765487154009</v>
      </c>
      <c r="Y14" s="372">
        <f t="shared" si="1"/>
        <v>303.5668242596098</v>
      </c>
      <c r="Z14" s="366" t="str">
        <f t="shared" si="2"/>
        <v>B21591.5</v>
      </c>
      <c r="AA14" s="367">
        <v>1</v>
      </c>
      <c r="AB14" s="368">
        <f t="shared" si="3"/>
        <v>1.738176858421052</v>
      </c>
      <c r="AC14" s="369">
        <f t="shared" si="4"/>
        <v>1.0278923366988419E-2</v>
      </c>
      <c r="AD14" s="365">
        <f t="shared" si="5"/>
        <v>2.0853100731824559</v>
      </c>
      <c r="AE14" s="367">
        <v>1000000</v>
      </c>
      <c r="AF14" s="367">
        <f t="shared" si="6"/>
        <v>199.00052433831831</v>
      </c>
      <c r="AG14" s="365">
        <f t="shared" si="7"/>
        <v>1.11644392449385E-2</v>
      </c>
      <c r="AH14" s="370">
        <f t="shared" si="8"/>
        <v>2.002804983453184</v>
      </c>
      <c r="AI14" s="370">
        <f t="shared" si="9"/>
        <v>1591.5</v>
      </c>
    </row>
    <row r="15" spans="1:35">
      <c r="A15" t="s">
        <v>47</v>
      </c>
      <c r="B15">
        <v>1591.5</v>
      </c>
      <c r="C15" t="s">
        <v>100</v>
      </c>
      <c r="D15">
        <v>298184</v>
      </c>
      <c r="E15">
        <v>2207103</v>
      </c>
      <c r="F15">
        <v>1595.08</v>
      </c>
      <c r="G15">
        <v>19.75</v>
      </c>
      <c r="H15">
        <v>0.5</v>
      </c>
      <c r="I15">
        <v>10</v>
      </c>
      <c r="J15">
        <v>2.0000000000000002E-5</v>
      </c>
      <c r="K15">
        <v>9.9999999999999995E-7</v>
      </c>
      <c r="L15">
        <v>10</v>
      </c>
      <c r="M15">
        <v>4.0000000000000001E-3</v>
      </c>
      <c r="N15">
        <v>2.0000000000000001E-4</v>
      </c>
      <c r="O15">
        <v>10</v>
      </c>
      <c r="P15">
        <v>2.9824917436069488E-4</v>
      </c>
      <c r="Q15">
        <v>1.5327593796820691E-8</v>
      </c>
      <c r="R15">
        <v>2.0065864442930721</v>
      </c>
      <c r="S15">
        <v>2.20507943285509</v>
      </c>
      <c r="T15">
        <v>1.3039230984667249E-2</v>
      </c>
      <c r="U15">
        <v>2.085383461903509</v>
      </c>
      <c r="V15">
        <v>4.886582170902018E-9</v>
      </c>
      <c r="W15">
        <v>4.4739746355274072E-5</v>
      </c>
      <c r="X15" s="372">
        <f t="shared" si="0"/>
        <v>3.1366696109381822</v>
      </c>
      <c r="Y15" s="372">
        <f t="shared" si="1"/>
        <v>291.44624292511531</v>
      </c>
      <c r="Z15" s="366" t="str">
        <f t="shared" si="2"/>
        <v>B31591.5</v>
      </c>
      <c r="AA15" s="367">
        <v>1</v>
      </c>
      <c r="AB15" s="368">
        <f t="shared" si="3"/>
        <v>2.20507943285509</v>
      </c>
      <c r="AC15" s="369">
        <f t="shared" si="4"/>
        <v>1.3039230984667249E-2</v>
      </c>
      <c r="AD15" s="365">
        <f t="shared" si="5"/>
        <v>2.085383461903509</v>
      </c>
      <c r="AE15" s="367">
        <v>1000000</v>
      </c>
      <c r="AF15" s="367">
        <f t="shared" si="6"/>
        <v>298.24917436069489</v>
      </c>
      <c r="AG15" s="365">
        <f t="shared" si="7"/>
        <v>1.5327593796820691E-2</v>
      </c>
      <c r="AH15" s="370">
        <f t="shared" si="8"/>
        <v>2.0065864442930721</v>
      </c>
      <c r="AI15" s="370">
        <f t="shared" si="9"/>
        <v>1591.5</v>
      </c>
    </row>
    <row r="16" spans="1:35">
      <c r="A16" t="s">
        <v>48</v>
      </c>
      <c r="B16">
        <v>1591.5</v>
      </c>
      <c r="C16" t="s">
        <v>100</v>
      </c>
      <c r="D16">
        <v>396438</v>
      </c>
      <c r="E16">
        <v>2792679</v>
      </c>
      <c r="F16">
        <v>1595.22</v>
      </c>
      <c r="G16">
        <v>19.739999999999998</v>
      </c>
      <c r="H16">
        <v>0.5</v>
      </c>
      <c r="I16">
        <v>10</v>
      </c>
      <c r="J16">
        <v>2.0000000000000002E-5</v>
      </c>
      <c r="K16">
        <v>9.9999999999999995E-7</v>
      </c>
      <c r="L16">
        <v>10</v>
      </c>
      <c r="M16">
        <v>4.0000000000000001E-3</v>
      </c>
      <c r="N16">
        <v>2.0000000000000001E-4</v>
      </c>
      <c r="O16">
        <v>10</v>
      </c>
      <c r="P16">
        <v>3.9652358179154248E-4</v>
      </c>
      <c r="Q16">
        <v>1.980695884882506E-8</v>
      </c>
      <c r="R16">
        <v>2.009449846405277</v>
      </c>
      <c r="S16">
        <v>2.7900002030166511</v>
      </c>
      <c r="T16">
        <v>1.6497716817181061E-2</v>
      </c>
      <c r="U16">
        <v>2.0854271768813679</v>
      </c>
      <c r="V16">
        <v>6.3394933523814189E-9</v>
      </c>
      <c r="W16">
        <v>5.7081736657138811E-5</v>
      </c>
      <c r="X16" s="372">
        <f t="shared" si="0"/>
        <v>3.1243756792306776</v>
      </c>
      <c r="Y16" s="372">
        <f t="shared" si="1"/>
        <v>289.01918167407069</v>
      </c>
      <c r="Z16" s="366" t="str">
        <f t="shared" si="2"/>
        <v>B41591.5</v>
      </c>
      <c r="AA16" s="367">
        <v>1</v>
      </c>
      <c r="AB16" s="368">
        <f t="shared" si="3"/>
        <v>2.7900002030166511</v>
      </c>
      <c r="AC16" s="369">
        <f t="shared" si="4"/>
        <v>1.6497716817181061E-2</v>
      </c>
      <c r="AD16" s="365">
        <f t="shared" si="5"/>
        <v>2.0854271768813679</v>
      </c>
      <c r="AE16" s="367">
        <v>1000000</v>
      </c>
      <c r="AF16" s="367">
        <f t="shared" si="6"/>
        <v>396.52358179154248</v>
      </c>
      <c r="AG16" s="365">
        <f t="shared" si="7"/>
        <v>1.9806958848825062E-2</v>
      </c>
      <c r="AH16" s="370">
        <f t="shared" si="8"/>
        <v>2.009449846405277</v>
      </c>
      <c r="AI16" s="370">
        <f t="shared" si="9"/>
        <v>1591.5</v>
      </c>
    </row>
    <row r="17" spans="1:35">
      <c r="A17" t="s">
        <v>49</v>
      </c>
      <c r="B17">
        <v>1591.5</v>
      </c>
      <c r="C17" t="s">
        <v>100</v>
      </c>
      <c r="D17">
        <v>494367</v>
      </c>
      <c r="E17">
        <v>3176412</v>
      </c>
      <c r="F17">
        <v>1.5953200000000001</v>
      </c>
      <c r="G17">
        <v>19.71</v>
      </c>
      <c r="H17">
        <v>0.5</v>
      </c>
      <c r="I17">
        <v>10</v>
      </c>
      <c r="J17">
        <v>2.0000000000000002E-5</v>
      </c>
      <c r="K17">
        <v>9.9999999999999995E-7</v>
      </c>
      <c r="L17">
        <v>10</v>
      </c>
      <c r="M17">
        <v>4.0000000000000001E-3</v>
      </c>
      <c r="N17">
        <v>2.0000000000000001E-4</v>
      </c>
      <c r="O17">
        <v>10</v>
      </c>
      <c r="P17">
        <v>4.944726844883379E-4</v>
      </c>
      <c r="Q17">
        <v>3.6437502005131619E-7</v>
      </c>
      <c r="R17">
        <v>2.224972110923106</v>
      </c>
      <c r="S17">
        <v>3.1729804859140089</v>
      </c>
      <c r="T17">
        <v>1.899651737571835E-2</v>
      </c>
      <c r="U17">
        <v>2.0774059265958238</v>
      </c>
      <c r="V17">
        <v>1.253690113276088E-6</v>
      </c>
      <c r="W17">
        <v>1.253684615535567E-2</v>
      </c>
      <c r="X17" s="372">
        <f t="shared" si="0"/>
        <v>0.29064201447608723</v>
      </c>
      <c r="Y17" s="372">
        <f t="shared" si="1"/>
        <v>1.5152548847066409</v>
      </c>
      <c r="Z17" s="366" t="str">
        <f t="shared" si="2"/>
        <v>B51591.5</v>
      </c>
      <c r="AA17" s="367">
        <v>1</v>
      </c>
      <c r="AB17" s="368">
        <f t="shared" si="3"/>
        <v>3.1729804859140089</v>
      </c>
      <c r="AC17" s="369">
        <f t="shared" si="4"/>
        <v>1.899651737571835E-2</v>
      </c>
      <c r="AD17" s="365">
        <f t="shared" si="5"/>
        <v>2.0774059265958238</v>
      </c>
      <c r="AE17" s="367">
        <v>1000000</v>
      </c>
      <c r="AF17" s="367">
        <f t="shared" si="6"/>
        <v>494.4726844883379</v>
      </c>
      <c r="AG17" s="365">
        <f t="shared" si="7"/>
        <v>0.36437502005131617</v>
      </c>
      <c r="AH17" s="370">
        <f t="shared" si="8"/>
        <v>2.224972110923106</v>
      </c>
      <c r="AI17" s="370">
        <f t="shared" si="9"/>
        <v>1591.5</v>
      </c>
    </row>
    <row r="18" spans="1:35">
      <c r="A18" t="s">
        <v>50</v>
      </c>
      <c r="B18">
        <v>1591.5</v>
      </c>
      <c r="C18" t="s">
        <v>100</v>
      </c>
      <c r="D18">
        <v>593385</v>
      </c>
      <c r="E18">
        <v>3538125</v>
      </c>
      <c r="F18">
        <v>1594.66</v>
      </c>
      <c r="G18">
        <v>19.77</v>
      </c>
      <c r="H18">
        <v>0.5</v>
      </c>
      <c r="I18">
        <v>10</v>
      </c>
      <c r="J18">
        <v>2.0000000000000002E-5</v>
      </c>
      <c r="K18">
        <v>9.9999999999999995E-7</v>
      </c>
      <c r="L18">
        <v>10</v>
      </c>
      <c r="M18">
        <v>4.0000000000000001E-3</v>
      </c>
      <c r="N18">
        <v>2.0000000000000001E-4</v>
      </c>
      <c r="O18">
        <v>10</v>
      </c>
      <c r="P18">
        <v>5.9351196350646929E-4</v>
      </c>
      <c r="Q18">
        <v>2.8287184129686931E-8</v>
      </c>
      <c r="R18">
        <v>2.0123828103306369</v>
      </c>
      <c r="S18">
        <v>3.5351490872197648</v>
      </c>
      <c r="T18">
        <v>2.0900121606257871E-2</v>
      </c>
      <c r="U18">
        <v>2.0854718432650761</v>
      </c>
      <c r="V18">
        <v>9.1178567824268424E-9</v>
      </c>
      <c r="W18">
        <v>7.8318610456484507E-5</v>
      </c>
      <c r="X18" s="372">
        <f t="shared" si="0"/>
        <v>3.1023939950675459</v>
      </c>
      <c r="Y18" s="372">
        <f t="shared" si="1"/>
        <v>266.86021986907474</v>
      </c>
      <c r="Z18" s="366" t="str">
        <f t="shared" si="2"/>
        <v>B61591.5</v>
      </c>
      <c r="AA18" s="367">
        <v>1</v>
      </c>
      <c r="AB18" s="368">
        <f t="shared" si="3"/>
        <v>3.5351490872197648</v>
      </c>
      <c r="AC18" s="369">
        <f t="shared" si="4"/>
        <v>2.0900121606257871E-2</v>
      </c>
      <c r="AD18" s="365">
        <f t="shared" si="5"/>
        <v>2.0854718432650761</v>
      </c>
      <c r="AE18" s="367">
        <v>1000000</v>
      </c>
      <c r="AF18" s="367">
        <f t="shared" si="6"/>
        <v>593.51196350646933</v>
      </c>
      <c r="AG18" s="365">
        <f t="shared" si="7"/>
        <v>2.8287184129686931E-2</v>
      </c>
      <c r="AH18" s="370">
        <f t="shared" si="8"/>
        <v>2.0123828103306369</v>
      </c>
      <c r="AI18" s="370">
        <f t="shared" si="9"/>
        <v>1591.5</v>
      </c>
    </row>
    <row r="19" spans="1:35">
      <c r="A19" t="s">
        <v>51</v>
      </c>
      <c r="B19">
        <v>1591.5</v>
      </c>
      <c r="C19" t="s">
        <v>100</v>
      </c>
      <c r="D19">
        <v>691195</v>
      </c>
      <c r="E19">
        <v>3896072</v>
      </c>
      <c r="F19">
        <v>1594.9</v>
      </c>
      <c r="G19">
        <v>19.78</v>
      </c>
      <c r="H19">
        <v>0.5</v>
      </c>
      <c r="I19">
        <v>10</v>
      </c>
      <c r="J19">
        <v>2.0000000000000002E-5</v>
      </c>
      <c r="K19">
        <v>9.9999999999999995E-7</v>
      </c>
      <c r="L19">
        <v>10</v>
      </c>
      <c r="M19">
        <v>4.0000000000000001E-3</v>
      </c>
      <c r="N19">
        <v>2.0000000000000001E-4</v>
      </c>
      <c r="O19">
        <v>10</v>
      </c>
      <c r="P19">
        <v>6.9134253506520586E-4</v>
      </c>
      <c r="Q19">
        <v>3.2542981818679869E-8</v>
      </c>
      <c r="R19">
        <v>2.0134916700482628</v>
      </c>
      <c r="S19">
        <v>3.8929483431081251</v>
      </c>
      <c r="T19">
        <v>2.3014161720599721E-2</v>
      </c>
      <c r="U19">
        <v>2.0854840937733918</v>
      </c>
      <c r="V19">
        <v>1.05087183821401E-8</v>
      </c>
      <c r="W19">
        <v>8.8951572225890569E-5</v>
      </c>
      <c r="X19" s="372">
        <f t="shared" si="0"/>
        <v>3.0967602932425802</v>
      </c>
      <c r="Y19" s="372">
        <f t="shared" si="1"/>
        <v>258.72686839256488</v>
      </c>
      <c r="Z19" s="366" t="str">
        <f t="shared" si="2"/>
        <v>B71591.5</v>
      </c>
      <c r="AA19" s="367">
        <v>1</v>
      </c>
      <c r="AB19" s="368">
        <f t="shared" si="3"/>
        <v>3.8929483431081251</v>
      </c>
      <c r="AC19" s="369">
        <f t="shared" si="4"/>
        <v>2.3014161720599721E-2</v>
      </c>
      <c r="AD19" s="365">
        <f t="shared" si="5"/>
        <v>2.0854840937733918</v>
      </c>
      <c r="AE19" s="367">
        <v>1000000</v>
      </c>
      <c r="AF19" s="367">
        <f t="shared" si="6"/>
        <v>691.34253506520588</v>
      </c>
      <c r="AG19" s="365">
        <f t="shared" si="7"/>
        <v>3.2542981818679866E-2</v>
      </c>
      <c r="AH19" s="370">
        <f t="shared" si="8"/>
        <v>2.0134916700482628</v>
      </c>
      <c r="AI19" s="370">
        <f t="shared" si="9"/>
        <v>1591.5</v>
      </c>
    </row>
    <row r="20" spans="1:35">
      <c r="A20" t="s">
        <v>52</v>
      </c>
      <c r="B20">
        <v>1591.5</v>
      </c>
      <c r="C20" t="s">
        <v>100</v>
      </c>
      <c r="D20">
        <v>788963</v>
      </c>
      <c r="E20">
        <v>4199748</v>
      </c>
      <c r="F20">
        <v>1595.1</v>
      </c>
      <c r="G20">
        <v>19.79</v>
      </c>
      <c r="H20">
        <v>0.5</v>
      </c>
      <c r="I20">
        <v>10</v>
      </c>
      <c r="J20">
        <v>2.0000000000000002E-5</v>
      </c>
      <c r="K20">
        <v>9.9999999999999995E-7</v>
      </c>
      <c r="L20">
        <v>10</v>
      </c>
      <c r="M20">
        <v>4.0000000000000001E-3</v>
      </c>
      <c r="N20">
        <v>2.0000000000000001E-4</v>
      </c>
      <c r="O20">
        <v>10</v>
      </c>
      <c r="P20">
        <v>7.8913113696535636E-4</v>
      </c>
      <c r="Q20">
        <v>3.6749930180303707E-8</v>
      </c>
      <c r="R20">
        <v>2.0145314839794111</v>
      </c>
      <c r="S20">
        <v>4.1965469255980388</v>
      </c>
      <c r="T20">
        <v>2.4807693496296929E-2</v>
      </c>
      <c r="U20">
        <v>2.085492355303519</v>
      </c>
      <c r="V20">
        <v>1.1885592525196761E-8</v>
      </c>
      <c r="W20">
        <v>9.9206946199566546E-5</v>
      </c>
      <c r="X20" s="372">
        <f t="shared" si="0"/>
        <v>3.0919729161500369</v>
      </c>
      <c r="Y20" s="372">
        <f t="shared" si="1"/>
        <v>250.06004565842909</v>
      </c>
      <c r="Z20" s="366" t="str">
        <f t="shared" si="2"/>
        <v>B81591.5</v>
      </c>
      <c r="AA20" s="367">
        <v>1</v>
      </c>
      <c r="AB20" s="368">
        <f t="shared" si="3"/>
        <v>4.1965469255980388</v>
      </c>
      <c r="AC20" s="369">
        <f t="shared" si="4"/>
        <v>2.4807693496296929E-2</v>
      </c>
      <c r="AD20" s="365">
        <f t="shared" si="5"/>
        <v>2.085492355303519</v>
      </c>
      <c r="AE20" s="367">
        <v>1000000</v>
      </c>
      <c r="AF20" s="367">
        <f t="shared" si="6"/>
        <v>789.1311369653564</v>
      </c>
      <c r="AG20" s="365">
        <f t="shared" si="7"/>
        <v>3.674993018030371E-2</v>
      </c>
      <c r="AH20" s="370">
        <f t="shared" si="8"/>
        <v>2.0145314839794111</v>
      </c>
      <c r="AI20" s="370">
        <f t="shared" si="9"/>
        <v>1591.5</v>
      </c>
    </row>
    <row r="21" spans="1:35">
      <c r="A21" t="s">
        <v>53</v>
      </c>
      <c r="B21">
        <v>1591.5</v>
      </c>
      <c r="C21" t="s">
        <v>100</v>
      </c>
      <c r="D21">
        <v>887174</v>
      </c>
      <c r="E21">
        <v>4517998</v>
      </c>
      <c r="F21">
        <v>1595.29</v>
      </c>
      <c r="G21">
        <v>19.79</v>
      </c>
      <c r="H21">
        <v>0.5</v>
      </c>
      <c r="I21">
        <v>10</v>
      </c>
      <c r="J21">
        <v>2.0000000000000002E-5</v>
      </c>
      <c r="K21">
        <v>9.9999999999999995E-7</v>
      </c>
      <c r="L21">
        <v>10</v>
      </c>
      <c r="M21">
        <v>4.0000000000000001E-3</v>
      </c>
      <c r="N21">
        <v>2.0000000000000001E-4</v>
      </c>
      <c r="O21">
        <v>10</v>
      </c>
      <c r="P21">
        <v>8.8736269332046771E-4</v>
      </c>
      <c r="Q21">
        <v>4.1013267447577318E-8</v>
      </c>
      <c r="R21">
        <v>2.015381791628192</v>
      </c>
      <c r="S21">
        <v>4.514552458846584</v>
      </c>
      <c r="T21">
        <v>2.6687501726403232E-2</v>
      </c>
      <c r="U21">
        <v>2.0854944472490771</v>
      </c>
      <c r="V21">
        <v>1.3278557666300681E-8</v>
      </c>
      <c r="W21">
        <v>1.0969366294916909E-4</v>
      </c>
      <c r="X21" s="372">
        <f t="shared" si="0"/>
        <v>3.0886839126860792</v>
      </c>
      <c r="Y21" s="372">
        <f t="shared" si="1"/>
        <v>243.29118938046534</v>
      </c>
      <c r="Z21" s="366" t="str">
        <f t="shared" si="2"/>
        <v>B91591.5</v>
      </c>
      <c r="AA21" s="367">
        <v>1</v>
      </c>
      <c r="AB21" s="368">
        <f t="shared" si="3"/>
        <v>4.514552458846584</v>
      </c>
      <c r="AC21" s="369">
        <f t="shared" si="4"/>
        <v>2.6687501726403232E-2</v>
      </c>
      <c r="AD21" s="365">
        <f t="shared" si="5"/>
        <v>2.0854944472490771</v>
      </c>
      <c r="AE21" s="367">
        <v>1000000</v>
      </c>
      <c r="AF21" s="367">
        <f t="shared" si="6"/>
        <v>887.36269332046766</v>
      </c>
      <c r="AG21" s="365">
        <f t="shared" si="7"/>
        <v>4.1013267447577322E-2</v>
      </c>
      <c r="AH21" s="370">
        <f t="shared" si="8"/>
        <v>2.015381791628192</v>
      </c>
      <c r="AI21" s="370">
        <f t="shared" si="9"/>
        <v>1591.5</v>
      </c>
    </row>
    <row r="22" spans="1:35">
      <c r="A22" t="s">
        <v>54</v>
      </c>
      <c r="B22">
        <v>1591.5</v>
      </c>
      <c r="C22" t="s">
        <v>100</v>
      </c>
      <c r="D22">
        <v>984585</v>
      </c>
      <c r="E22">
        <v>4826330</v>
      </c>
      <c r="F22">
        <v>1595.54</v>
      </c>
      <c r="G22">
        <v>19.79</v>
      </c>
      <c r="H22">
        <v>0.5</v>
      </c>
      <c r="I22">
        <v>10</v>
      </c>
      <c r="J22">
        <v>2.0000000000000002E-5</v>
      </c>
      <c r="K22">
        <v>9.9999999999999995E-7</v>
      </c>
      <c r="L22">
        <v>10</v>
      </c>
      <c r="M22">
        <v>4.0000000000000001E-3</v>
      </c>
      <c r="N22">
        <v>2.0000000000000001E-4</v>
      </c>
      <c r="O22">
        <v>10</v>
      </c>
      <c r="P22">
        <v>9.8479408222912129E-4</v>
      </c>
      <c r="Q22">
        <v>4.5246907875903372E-8</v>
      </c>
      <c r="R22">
        <v>2.016109853709128</v>
      </c>
      <c r="S22">
        <v>4.8226476107007592</v>
      </c>
      <c r="T22">
        <v>2.8508751132540242E-2</v>
      </c>
      <c r="U22">
        <v>2.0854956124087289</v>
      </c>
      <c r="V22">
        <v>1.466127880564669E-8</v>
      </c>
      <c r="W22">
        <v>1.200896162060546E-4</v>
      </c>
      <c r="X22" s="372">
        <f t="shared" si="0"/>
        <v>3.0861501561839777</v>
      </c>
      <c r="Y22" s="372">
        <f t="shared" si="1"/>
        <v>237.395638633933</v>
      </c>
      <c r="Z22" s="366" t="str">
        <f t="shared" si="2"/>
        <v>B101591.5</v>
      </c>
      <c r="AA22" s="367">
        <v>1</v>
      </c>
      <c r="AB22" s="368">
        <f t="shared" si="3"/>
        <v>4.8226476107007592</v>
      </c>
      <c r="AC22" s="369">
        <f t="shared" si="4"/>
        <v>2.8508751132540242E-2</v>
      </c>
      <c r="AD22" s="365">
        <f t="shared" si="5"/>
        <v>2.0854956124087289</v>
      </c>
      <c r="AE22" s="367">
        <v>1000000</v>
      </c>
      <c r="AF22" s="367">
        <f t="shared" si="6"/>
        <v>984.79408222912127</v>
      </c>
      <c r="AG22" s="365">
        <f t="shared" si="7"/>
        <v>4.5246907875903374E-2</v>
      </c>
      <c r="AH22" s="370">
        <f t="shared" si="8"/>
        <v>2.016109853709128</v>
      </c>
      <c r="AI22" s="370">
        <f t="shared" si="9"/>
        <v>1591.5</v>
      </c>
    </row>
    <row r="23" spans="1:35">
      <c r="A23" t="s">
        <v>341</v>
      </c>
      <c r="B23">
        <v>1591.5</v>
      </c>
      <c r="C23" t="s">
        <v>100</v>
      </c>
      <c r="D23">
        <v>-3</v>
      </c>
      <c r="E23">
        <v>-25</v>
      </c>
      <c r="F23">
        <v>1594.71</v>
      </c>
      <c r="G23">
        <v>19.77</v>
      </c>
      <c r="H23">
        <v>0.5</v>
      </c>
      <c r="I23">
        <v>10</v>
      </c>
      <c r="J23">
        <v>2.0000000000000002E-5</v>
      </c>
      <c r="K23">
        <v>9.9999999999999995E-7</v>
      </c>
      <c r="L23">
        <v>10</v>
      </c>
      <c r="M23">
        <v>4.0000000000000001E-3</v>
      </c>
      <c r="N23">
        <v>2.0000000000000001E-4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1.2541465228909351E-9</v>
      </c>
      <c r="W23">
        <v>1.2541465227855709E-5</v>
      </c>
      <c r="X23" s="372">
        <f t="shared" si="0"/>
        <v>0</v>
      </c>
      <c r="Y23" s="372">
        <f t="shared" si="1"/>
        <v>0</v>
      </c>
      <c r="Z23" s="366" t="str">
        <f t="shared" si="2"/>
        <v>coax zero1591.5</v>
      </c>
      <c r="AA23" s="367">
        <v>1</v>
      </c>
      <c r="AB23" s="368">
        <f t="shared" si="3"/>
        <v>0</v>
      </c>
      <c r="AC23" s="369">
        <f t="shared" si="4"/>
        <v>0</v>
      </c>
      <c r="AD23" s="365">
        <f t="shared" si="5"/>
        <v>0</v>
      </c>
      <c r="AE23" s="367">
        <v>1000000</v>
      </c>
      <c r="AF23" s="367">
        <f t="shared" si="6"/>
        <v>0</v>
      </c>
      <c r="AG23" s="365">
        <f t="shared" si="7"/>
        <v>0</v>
      </c>
      <c r="AH23" s="370">
        <f t="shared" si="8"/>
        <v>0</v>
      </c>
      <c r="AI23" s="370">
        <f t="shared" si="9"/>
        <v>1591.5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D26C-26CF-4882-B2F1-9122AD3E4035}">
  <dimension ref="A1:C556"/>
  <sheetViews>
    <sheetView workbookViewId="0">
      <selection activeCell="C2" sqref="C2"/>
    </sheetView>
  </sheetViews>
  <sheetFormatPr defaultRowHeight="12.75"/>
  <cols>
    <col min="1" max="1" width="15.5703125" customWidth="1"/>
  </cols>
  <sheetData>
    <row r="1" spans="1:3">
      <c r="A1" s="157" t="s">
        <v>406</v>
      </c>
    </row>
    <row r="2" spans="1:3">
      <c r="B2" s="77">
        <f>AVERAGE(B4:B556)</f>
        <v>20.624412296564397</v>
      </c>
      <c r="C2" s="393">
        <f>AVERAGE(C4:C556)</f>
        <v>48.516998191681722</v>
      </c>
    </row>
    <row r="3" spans="1:3">
      <c r="B3" s="77">
        <f>STDEV(B4:B556)</f>
        <v>4.5850141773984034E-2</v>
      </c>
      <c r="C3" s="393">
        <f>STDEV(C4:C556)</f>
        <v>0.83037905719009542</v>
      </c>
    </row>
    <row r="4" spans="1:3">
      <c r="A4" s="392">
        <v>44144</v>
      </c>
      <c r="B4">
        <v>20.7</v>
      </c>
      <c r="C4">
        <v>50.5</v>
      </c>
    </row>
    <row r="5" spans="1:3">
      <c r="A5" s="392">
        <v>44144.003472222219</v>
      </c>
      <c r="B5">
        <v>20.6</v>
      </c>
      <c r="C5">
        <v>50.6</v>
      </c>
    </row>
    <row r="6" spans="1:3">
      <c r="A6" s="392">
        <v>44144.006944444445</v>
      </c>
      <c r="B6">
        <v>20.6</v>
      </c>
      <c r="C6">
        <v>50.6</v>
      </c>
    </row>
    <row r="7" spans="1:3">
      <c r="A7" s="392">
        <v>44144.010416666664</v>
      </c>
      <c r="B7">
        <v>20.6</v>
      </c>
      <c r="C7">
        <v>50.5</v>
      </c>
    </row>
    <row r="8" spans="1:3">
      <c r="A8" s="392">
        <v>44144.013888888891</v>
      </c>
      <c r="B8">
        <v>20.6</v>
      </c>
      <c r="C8">
        <v>50.4</v>
      </c>
    </row>
    <row r="9" spans="1:3">
      <c r="A9" s="392">
        <v>44144.017361111109</v>
      </c>
      <c r="B9">
        <v>20.7</v>
      </c>
      <c r="C9">
        <v>50.3</v>
      </c>
    </row>
    <row r="10" spans="1:3">
      <c r="A10" s="392">
        <v>44144.020833333336</v>
      </c>
      <c r="B10">
        <v>20.7</v>
      </c>
      <c r="C10">
        <v>50.3</v>
      </c>
    </row>
    <row r="11" spans="1:3">
      <c r="A11" s="392">
        <v>44144.024305555555</v>
      </c>
      <c r="B11">
        <v>20.7</v>
      </c>
      <c r="C11">
        <v>50.3</v>
      </c>
    </row>
    <row r="12" spans="1:3">
      <c r="A12" s="392">
        <v>44144.027777777781</v>
      </c>
      <c r="B12">
        <v>20.7</v>
      </c>
      <c r="C12">
        <v>50.3</v>
      </c>
    </row>
    <row r="13" spans="1:3">
      <c r="A13" s="392">
        <v>44144.03125</v>
      </c>
      <c r="B13">
        <v>20.7</v>
      </c>
      <c r="C13">
        <v>50.2</v>
      </c>
    </row>
    <row r="14" spans="1:3">
      <c r="A14" s="392">
        <v>44144.034722222219</v>
      </c>
      <c r="B14">
        <v>20.7</v>
      </c>
      <c r="C14">
        <v>50.3</v>
      </c>
    </row>
    <row r="15" spans="1:3">
      <c r="A15" s="392">
        <v>44144.038194444445</v>
      </c>
      <c r="B15">
        <v>20.7</v>
      </c>
      <c r="C15">
        <v>50.2</v>
      </c>
    </row>
    <row r="16" spans="1:3">
      <c r="A16" s="392">
        <v>44144.041666666664</v>
      </c>
      <c r="B16">
        <v>20.7</v>
      </c>
      <c r="C16">
        <v>50.3</v>
      </c>
    </row>
    <row r="17" spans="1:3">
      <c r="A17" s="392">
        <v>44144.045138888891</v>
      </c>
      <c r="B17">
        <v>20.7</v>
      </c>
      <c r="C17">
        <v>50.2</v>
      </c>
    </row>
    <row r="18" spans="1:3">
      <c r="A18" s="392">
        <v>44144.048611111109</v>
      </c>
      <c r="B18">
        <v>20.7</v>
      </c>
      <c r="C18">
        <v>50.1</v>
      </c>
    </row>
    <row r="19" spans="1:3">
      <c r="A19" s="392">
        <v>44144.052083333336</v>
      </c>
      <c r="B19">
        <v>20.7</v>
      </c>
      <c r="C19">
        <v>50.1</v>
      </c>
    </row>
    <row r="20" spans="1:3">
      <c r="A20" s="392">
        <v>44144.055555555555</v>
      </c>
      <c r="B20">
        <v>20.6</v>
      </c>
      <c r="C20">
        <v>50.1</v>
      </c>
    </row>
    <row r="21" spans="1:3">
      <c r="A21" s="392">
        <v>44144.059027777781</v>
      </c>
      <c r="B21">
        <v>20.7</v>
      </c>
      <c r="C21">
        <v>50</v>
      </c>
    </row>
    <row r="22" spans="1:3">
      <c r="A22" s="392">
        <v>44144.0625</v>
      </c>
      <c r="B22">
        <v>20.6</v>
      </c>
      <c r="C22">
        <v>50.1</v>
      </c>
    </row>
    <row r="23" spans="1:3">
      <c r="A23" s="392">
        <v>44144.065972222219</v>
      </c>
      <c r="B23">
        <v>20.7</v>
      </c>
      <c r="C23">
        <v>50</v>
      </c>
    </row>
    <row r="24" spans="1:3">
      <c r="A24" s="392">
        <v>44144.069444444445</v>
      </c>
      <c r="B24">
        <v>20.7</v>
      </c>
      <c r="C24">
        <v>49.9</v>
      </c>
    </row>
    <row r="25" spans="1:3">
      <c r="A25" s="392">
        <v>44144.072916666664</v>
      </c>
      <c r="B25">
        <v>20.7</v>
      </c>
      <c r="C25">
        <v>50</v>
      </c>
    </row>
    <row r="26" spans="1:3">
      <c r="A26" s="392">
        <v>44144.076388888891</v>
      </c>
      <c r="B26">
        <v>20.7</v>
      </c>
      <c r="C26">
        <v>49.9</v>
      </c>
    </row>
    <row r="27" spans="1:3">
      <c r="A27" s="392">
        <v>44144.079861111109</v>
      </c>
      <c r="B27">
        <v>20.7</v>
      </c>
      <c r="C27">
        <v>49.9</v>
      </c>
    </row>
    <row r="28" spans="1:3">
      <c r="A28" s="392">
        <v>44144.083333333336</v>
      </c>
      <c r="B28">
        <v>20.6</v>
      </c>
      <c r="C28">
        <v>50</v>
      </c>
    </row>
    <row r="29" spans="1:3">
      <c r="A29" s="392">
        <v>44144.086805555555</v>
      </c>
      <c r="B29">
        <v>20.6</v>
      </c>
      <c r="C29">
        <v>50</v>
      </c>
    </row>
    <row r="30" spans="1:3">
      <c r="A30" s="392">
        <v>44144.090277777781</v>
      </c>
      <c r="B30">
        <v>20.7</v>
      </c>
      <c r="C30">
        <v>49.9</v>
      </c>
    </row>
    <row r="31" spans="1:3">
      <c r="A31" s="392">
        <v>44144.09375</v>
      </c>
      <c r="B31">
        <v>20.7</v>
      </c>
      <c r="C31">
        <v>49.9</v>
      </c>
    </row>
    <row r="32" spans="1:3">
      <c r="A32" s="392">
        <v>44144.097222222219</v>
      </c>
      <c r="B32">
        <v>20.6</v>
      </c>
      <c r="C32">
        <v>49.9</v>
      </c>
    </row>
    <row r="33" spans="1:3">
      <c r="A33" s="392">
        <v>44144.100694444445</v>
      </c>
      <c r="B33">
        <v>20.6</v>
      </c>
      <c r="C33">
        <v>49.9</v>
      </c>
    </row>
    <row r="34" spans="1:3">
      <c r="A34" s="392">
        <v>44144.104166666664</v>
      </c>
      <c r="B34">
        <v>20.7</v>
      </c>
      <c r="C34">
        <v>49.8</v>
      </c>
    </row>
    <row r="35" spans="1:3">
      <c r="A35" s="392">
        <v>44144.107638888891</v>
      </c>
      <c r="B35">
        <v>20.7</v>
      </c>
      <c r="C35">
        <v>49.9</v>
      </c>
    </row>
    <row r="36" spans="1:3">
      <c r="A36" s="392">
        <v>44144.111111111109</v>
      </c>
      <c r="B36">
        <v>20.7</v>
      </c>
      <c r="C36">
        <v>49.9</v>
      </c>
    </row>
    <row r="37" spans="1:3">
      <c r="A37" s="392">
        <v>44144.114583333336</v>
      </c>
      <c r="B37">
        <v>20.6</v>
      </c>
      <c r="C37">
        <v>49.9</v>
      </c>
    </row>
    <row r="38" spans="1:3">
      <c r="A38" s="392">
        <v>44144.118055555555</v>
      </c>
      <c r="B38">
        <v>20.7</v>
      </c>
      <c r="C38">
        <v>49.8</v>
      </c>
    </row>
    <row r="39" spans="1:3">
      <c r="A39" s="392">
        <v>44144.121527777781</v>
      </c>
      <c r="B39">
        <v>20.6</v>
      </c>
      <c r="C39">
        <v>49.9</v>
      </c>
    </row>
    <row r="40" spans="1:3">
      <c r="A40" s="392">
        <v>44144.125</v>
      </c>
      <c r="B40">
        <v>20.7</v>
      </c>
      <c r="C40">
        <v>49.8</v>
      </c>
    </row>
    <row r="41" spans="1:3">
      <c r="A41" s="392">
        <v>44144.128472222219</v>
      </c>
      <c r="B41">
        <v>20.7</v>
      </c>
      <c r="C41">
        <v>49.8</v>
      </c>
    </row>
    <row r="42" spans="1:3">
      <c r="A42" s="392">
        <v>44144.131944444445</v>
      </c>
      <c r="B42">
        <v>20.7</v>
      </c>
      <c r="C42">
        <v>49.7</v>
      </c>
    </row>
    <row r="43" spans="1:3">
      <c r="A43" s="392">
        <v>44144.135416666664</v>
      </c>
      <c r="B43">
        <v>20.7</v>
      </c>
      <c r="C43">
        <v>49.7</v>
      </c>
    </row>
    <row r="44" spans="1:3">
      <c r="A44" s="392">
        <v>44144.138888888891</v>
      </c>
      <c r="B44">
        <v>20.7</v>
      </c>
      <c r="C44">
        <v>49.7</v>
      </c>
    </row>
    <row r="45" spans="1:3">
      <c r="A45" s="392">
        <v>44144.142361111109</v>
      </c>
      <c r="B45">
        <v>20.7</v>
      </c>
      <c r="C45">
        <v>49.6</v>
      </c>
    </row>
    <row r="46" spans="1:3">
      <c r="A46" s="392">
        <v>44144.145833333336</v>
      </c>
      <c r="B46">
        <v>20.7</v>
      </c>
      <c r="C46">
        <v>49.5</v>
      </c>
    </row>
    <row r="47" spans="1:3">
      <c r="A47" s="392">
        <v>44144.149305555555</v>
      </c>
      <c r="B47">
        <v>20.6</v>
      </c>
      <c r="C47">
        <v>49.7</v>
      </c>
    </row>
    <row r="48" spans="1:3">
      <c r="A48" s="392">
        <v>44144.152777777781</v>
      </c>
      <c r="B48">
        <v>20.6</v>
      </c>
      <c r="C48">
        <v>49.6</v>
      </c>
    </row>
    <row r="49" spans="1:3">
      <c r="A49" s="392">
        <v>44144.15625</v>
      </c>
      <c r="B49">
        <v>20.6</v>
      </c>
      <c r="C49">
        <v>49.5</v>
      </c>
    </row>
    <row r="50" spans="1:3">
      <c r="A50" s="392">
        <v>44144.159722222219</v>
      </c>
      <c r="B50">
        <v>20.6</v>
      </c>
      <c r="C50">
        <v>49.6</v>
      </c>
    </row>
    <row r="51" spans="1:3">
      <c r="A51" s="392">
        <v>44144.163194444445</v>
      </c>
      <c r="B51">
        <v>20.6</v>
      </c>
      <c r="C51">
        <v>49.5</v>
      </c>
    </row>
    <row r="52" spans="1:3">
      <c r="A52" s="392">
        <v>44144.166666666664</v>
      </c>
      <c r="B52">
        <v>20.6</v>
      </c>
      <c r="C52">
        <v>49.5</v>
      </c>
    </row>
    <row r="53" spans="1:3">
      <c r="A53" s="392">
        <v>44144.170138888891</v>
      </c>
      <c r="B53">
        <v>20.6</v>
      </c>
      <c r="C53">
        <v>49.4</v>
      </c>
    </row>
    <row r="54" spans="1:3">
      <c r="A54" s="392">
        <v>44144.173611111109</v>
      </c>
      <c r="B54">
        <v>20.7</v>
      </c>
      <c r="C54">
        <v>49.2</v>
      </c>
    </row>
    <row r="55" spans="1:3">
      <c r="A55" s="392">
        <v>44144.177083333336</v>
      </c>
      <c r="B55">
        <v>20.7</v>
      </c>
      <c r="C55">
        <v>49.2</v>
      </c>
    </row>
    <row r="56" spans="1:3">
      <c r="A56" s="392">
        <v>44144.180555555555</v>
      </c>
      <c r="B56">
        <v>20.6</v>
      </c>
      <c r="C56">
        <v>49.2</v>
      </c>
    </row>
    <row r="57" spans="1:3">
      <c r="A57" s="392">
        <v>44144.184027777781</v>
      </c>
      <c r="B57">
        <v>20.6</v>
      </c>
      <c r="C57">
        <v>49.2</v>
      </c>
    </row>
    <row r="58" spans="1:3">
      <c r="A58" s="392">
        <v>44144.1875</v>
      </c>
      <c r="B58">
        <v>20.6</v>
      </c>
      <c r="C58">
        <v>49.2</v>
      </c>
    </row>
    <row r="59" spans="1:3">
      <c r="A59" s="392">
        <v>44144.190972222219</v>
      </c>
      <c r="B59">
        <v>20.7</v>
      </c>
      <c r="C59">
        <v>49.2</v>
      </c>
    </row>
    <row r="60" spans="1:3">
      <c r="A60" s="392">
        <v>44144.194444444445</v>
      </c>
      <c r="B60">
        <v>20.7</v>
      </c>
      <c r="C60">
        <v>49.1</v>
      </c>
    </row>
    <row r="61" spans="1:3">
      <c r="A61" s="392">
        <v>44144.197916666664</v>
      </c>
      <c r="B61">
        <v>20.7</v>
      </c>
      <c r="C61">
        <v>49</v>
      </c>
    </row>
    <row r="62" spans="1:3">
      <c r="A62" s="392">
        <v>44144.201388888891</v>
      </c>
      <c r="B62">
        <v>20.6</v>
      </c>
      <c r="C62">
        <v>49</v>
      </c>
    </row>
    <row r="63" spans="1:3">
      <c r="A63" s="392">
        <v>44144.204861111109</v>
      </c>
      <c r="B63">
        <v>20.7</v>
      </c>
      <c r="C63">
        <v>48.9</v>
      </c>
    </row>
    <row r="64" spans="1:3">
      <c r="A64" s="392">
        <v>44144.208333333336</v>
      </c>
      <c r="B64">
        <v>20.6</v>
      </c>
      <c r="C64">
        <v>48.8</v>
      </c>
    </row>
    <row r="65" spans="1:3">
      <c r="A65" s="392">
        <v>44144.211805555555</v>
      </c>
      <c r="B65">
        <v>20.7</v>
      </c>
      <c r="C65">
        <v>48.7</v>
      </c>
    </row>
    <row r="66" spans="1:3">
      <c r="A66" s="392">
        <v>44144.215277777781</v>
      </c>
      <c r="B66">
        <v>20.6</v>
      </c>
      <c r="C66">
        <v>48.7</v>
      </c>
    </row>
    <row r="67" spans="1:3">
      <c r="A67" s="392">
        <v>44144.21875</v>
      </c>
      <c r="B67">
        <v>20.6</v>
      </c>
      <c r="C67">
        <v>48.7</v>
      </c>
    </row>
    <row r="68" spans="1:3">
      <c r="A68" s="392">
        <v>44144.222222222219</v>
      </c>
      <c r="B68">
        <v>20.6</v>
      </c>
      <c r="C68">
        <v>48.6</v>
      </c>
    </row>
    <row r="69" spans="1:3">
      <c r="A69" s="392">
        <v>44144.225694444445</v>
      </c>
      <c r="B69">
        <v>20.6</v>
      </c>
      <c r="C69">
        <v>48.6</v>
      </c>
    </row>
    <row r="70" spans="1:3">
      <c r="A70" s="392">
        <v>44144.229166666664</v>
      </c>
      <c r="B70">
        <v>20.7</v>
      </c>
      <c r="C70">
        <v>48.6</v>
      </c>
    </row>
    <row r="71" spans="1:3">
      <c r="A71" s="392">
        <v>44144.232638888891</v>
      </c>
      <c r="B71">
        <v>20.7</v>
      </c>
      <c r="C71">
        <v>48.6</v>
      </c>
    </row>
    <row r="72" spans="1:3">
      <c r="A72" s="392">
        <v>44144.236111111109</v>
      </c>
      <c r="B72">
        <v>20.7</v>
      </c>
      <c r="C72">
        <v>48.6</v>
      </c>
    </row>
    <row r="73" spans="1:3">
      <c r="A73" s="392">
        <v>44144.239583333336</v>
      </c>
      <c r="B73">
        <v>20.7</v>
      </c>
      <c r="C73">
        <v>48.6</v>
      </c>
    </row>
    <row r="74" spans="1:3">
      <c r="A74" s="392">
        <v>44144.243055555555</v>
      </c>
      <c r="B74">
        <v>20.6</v>
      </c>
      <c r="C74">
        <v>48.6</v>
      </c>
    </row>
    <row r="75" spans="1:3">
      <c r="A75" s="392">
        <v>44144.246527777781</v>
      </c>
      <c r="B75">
        <v>20.7</v>
      </c>
      <c r="C75">
        <v>48.6</v>
      </c>
    </row>
    <row r="76" spans="1:3">
      <c r="A76" s="392">
        <v>44144.25</v>
      </c>
      <c r="B76">
        <v>20.6</v>
      </c>
      <c r="C76">
        <v>48.6</v>
      </c>
    </row>
    <row r="77" spans="1:3">
      <c r="A77" s="392">
        <v>44144.253472222219</v>
      </c>
      <c r="B77">
        <v>20.7</v>
      </c>
      <c r="C77">
        <v>48.5</v>
      </c>
    </row>
    <row r="78" spans="1:3">
      <c r="A78" s="392">
        <v>44144.256944444445</v>
      </c>
      <c r="B78">
        <v>20.7</v>
      </c>
      <c r="C78">
        <v>48.4</v>
      </c>
    </row>
    <row r="79" spans="1:3">
      <c r="A79" s="392">
        <v>44144.260416666664</v>
      </c>
      <c r="B79">
        <v>20.7</v>
      </c>
      <c r="C79">
        <v>48.4</v>
      </c>
    </row>
    <row r="80" spans="1:3">
      <c r="A80" s="392">
        <v>44144.263888888891</v>
      </c>
      <c r="B80">
        <v>20.6</v>
      </c>
      <c r="C80">
        <v>48.5</v>
      </c>
    </row>
    <row r="81" spans="1:3">
      <c r="A81" s="392">
        <v>44144.267361111109</v>
      </c>
      <c r="B81">
        <v>20.6</v>
      </c>
      <c r="C81">
        <v>48.5</v>
      </c>
    </row>
    <row r="82" spans="1:3">
      <c r="A82" s="392">
        <v>44144.270833333336</v>
      </c>
      <c r="B82">
        <v>20.6</v>
      </c>
      <c r="C82">
        <v>48.6</v>
      </c>
    </row>
    <row r="83" spans="1:3">
      <c r="A83" s="392">
        <v>44144.274305555555</v>
      </c>
      <c r="B83">
        <v>20.6</v>
      </c>
      <c r="C83">
        <v>48.5</v>
      </c>
    </row>
    <row r="84" spans="1:3">
      <c r="A84" s="392">
        <v>44144.277777777781</v>
      </c>
      <c r="B84">
        <v>20.6</v>
      </c>
      <c r="C84">
        <v>48.4</v>
      </c>
    </row>
    <row r="85" spans="1:3">
      <c r="A85" s="392">
        <v>44144.28125</v>
      </c>
      <c r="B85">
        <v>20.6</v>
      </c>
      <c r="C85">
        <v>48.4</v>
      </c>
    </row>
    <row r="86" spans="1:3">
      <c r="A86" s="392">
        <v>44144.284722222219</v>
      </c>
      <c r="B86">
        <v>20.6</v>
      </c>
      <c r="C86">
        <v>48.4</v>
      </c>
    </row>
    <row r="87" spans="1:3">
      <c r="A87" s="392">
        <v>44144.288194444445</v>
      </c>
      <c r="B87">
        <v>20.6</v>
      </c>
      <c r="C87">
        <v>48.2</v>
      </c>
    </row>
    <row r="88" spans="1:3">
      <c r="A88" s="392">
        <v>44144.291666666664</v>
      </c>
      <c r="B88">
        <v>20.6</v>
      </c>
      <c r="C88">
        <v>48.2</v>
      </c>
    </row>
    <row r="89" spans="1:3">
      <c r="A89" s="392">
        <v>44144.295138888891</v>
      </c>
      <c r="B89">
        <v>20.6</v>
      </c>
      <c r="C89">
        <v>48.2</v>
      </c>
    </row>
    <row r="90" spans="1:3">
      <c r="A90" s="392">
        <v>44144.298611111109</v>
      </c>
      <c r="B90">
        <v>20.6</v>
      </c>
      <c r="C90">
        <v>48.1</v>
      </c>
    </row>
    <row r="91" spans="1:3">
      <c r="A91" s="392">
        <v>44144.302083333336</v>
      </c>
      <c r="B91">
        <v>20.6</v>
      </c>
      <c r="C91">
        <v>48.1</v>
      </c>
    </row>
    <row r="92" spans="1:3">
      <c r="A92" s="392">
        <v>44144.305555555555</v>
      </c>
      <c r="B92">
        <v>20.6</v>
      </c>
      <c r="C92">
        <v>48.1</v>
      </c>
    </row>
    <row r="93" spans="1:3">
      <c r="A93" s="392">
        <v>44144.309027777781</v>
      </c>
      <c r="B93">
        <v>20.6</v>
      </c>
      <c r="C93">
        <v>48.1</v>
      </c>
    </row>
    <row r="94" spans="1:3">
      <c r="A94" s="392">
        <v>44144.3125</v>
      </c>
      <c r="B94">
        <v>20.6</v>
      </c>
      <c r="C94">
        <v>48.2</v>
      </c>
    </row>
    <row r="95" spans="1:3">
      <c r="A95" s="392">
        <v>44144.315972222219</v>
      </c>
      <c r="B95">
        <v>20.6</v>
      </c>
      <c r="C95">
        <v>48</v>
      </c>
    </row>
    <row r="96" spans="1:3">
      <c r="A96" s="392">
        <v>44144.319444444445</v>
      </c>
      <c r="B96">
        <v>20.7</v>
      </c>
      <c r="C96">
        <v>47.9</v>
      </c>
    </row>
    <row r="97" spans="1:3">
      <c r="A97" s="392">
        <v>44144.322916666664</v>
      </c>
      <c r="B97">
        <v>20.7</v>
      </c>
      <c r="C97">
        <v>48</v>
      </c>
    </row>
    <row r="98" spans="1:3">
      <c r="A98" s="392">
        <v>44144.326388888891</v>
      </c>
      <c r="B98">
        <v>20.7</v>
      </c>
      <c r="C98">
        <v>47.9</v>
      </c>
    </row>
    <row r="99" spans="1:3">
      <c r="A99" s="392">
        <v>44144.329861111109</v>
      </c>
      <c r="B99">
        <v>20.7</v>
      </c>
      <c r="C99">
        <v>47.9</v>
      </c>
    </row>
    <row r="100" spans="1:3">
      <c r="A100" s="392">
        <v>44144.333333333336</v>
      </c>
      <c r="B100">
        <v>20.7</v>
      </c>
      <c r="C100">
        <v>48</v>
      </c>
    </row>
    <row r="101" spans="1:3">
      <c r="A101" s="392">
        <v>44144.336805555555</v>
      </c>
      <c r="B101">
        <v>20.7</v>
      </c>
      <c r="C101">
        <v>48</v>
      </c>
    </row>
    <row r="102" spans="1:3">
      <c r="A102" s="392">
        <v>44144.340277777781</v>
      </c>
      <c r="B102">
        <v>20.7</v>
      </c>
      <c r="C102">
        <v>48</v>
      </c>
    </row>
    <row r="103" spans="1:3">
      <c r="A103" s="392">
        <v>44144.34375</v>
      </c>
      <c r="B103">
        <v>20.7</v>
      </c>
      <c r="C103">
        <v>47.9</v>
      </c>
    </row>
    <row r="104" spans="1:3">
      <c r="A104" s="392">
        <v>44144.347222222219</v>
      </c>
      <c r="B104">
        <v>20.7</v>
      </c>
      <c r="C104">
        <v>48</v>
      </c>
    </row>
    <row r="105" spans="1:3">
      <c r="A105" s="392">
        <v>44144.350694444445</v>
      </c>
      <c r="B105">
        <v>20.7</v>
      </c>
      <c r="C105">
        <v>47.9</v>
      </c>
    </row>
    <row r="106" spans="1:3">
      <c r="A106" s="392">
        <v>44144.354166666664</v>
      </c>
      <c r="B106">
        <v>20.8</v>
      </c>
      <c r="C106">
        <v>47.8</v>
      </c>
    </row>
    <row r="107" spans="1:3">
      <c r="A107" s="392">
        <v>44144.357638888891</v>
      </c>
      <c r="B107">
        <v>20.7</v>
      </c>
      <c r="C107">
        <v>48</v>
      </c>
    </row>
    <row r="108" spans="1:3">
      <c r="A108" s="392">
        <v>44144.361111111109</v>
      </c>
      <c r="B108">
        <v>20.7</v>
      </c>
      <c r="C108">
        <v>48.2</v>
      </c>
    </row>
    <row r="109" spans="1:3">
      <c r="A109" s="392">
        <v>44144.364583333336</v>
      </c>
      <c r="B109">
        <v>20.6</v>
      </c>
      <c r="C109">
        <v>48.3</v>
      </c>
    </row>
    <row r="110" spans="1:3">
      <c r="A110" s="392">
        <v>44144.368055555555</v>
      </c>
      <c r="B110">
        <v>20.6</v>
      </c>
      <c r="C110">
        <v>48.4</v>
      </c>
    </row>
    <row r="111" spans="1:3">
      <c r="A111" s="392">
        <v>44144.371527777781</v>
      </c>
      <c r="B111">
        <v>20.7</v>
      </c>
      <c r="C111">
        <v>48.4</v>
      </c>
    </row>
    <row r="112" spans="1:3">
      <c r="A112" s="392">
        <v>44144.375</v>
      </c>
      <c r="B112">
        <v>20.7</v>
      </c>
      <c r="C112">
        <v>48.4</v>
      </c>
    </row>
    <row r="113" spans="1:3">
      <c r="A113" s="392">
        <v>44144.378472222219</v>
      </c>
      <c r="B113">
        <v>20.7</v>
      </c>
      <c r="C113">
        <v>48.5</v>
      </c>
    </row>
    <row r="114" spans="1:3">
      <c r="A114" s="392">
        <v>44144.381944444445</v>
      </c>
      <c r="B114">
        <v>20.7</v>
      </c>
      <c r="C114">
        <v>48.5</v>
      </c>
    </row>
    <row r="115" spans="1:3">
      <c r="A115" s="392">
        <v>44144.385416666664</v>
      </c>
      <c r="B115">
        <v>20.6</v>
      </c>
      <c r="C115">
        <v>48.6</v>
      </c>
    </row>
    <row r="116" spans="1:3">
      <c r="A116" s="392">
        <v>44144.388888888891</v>
      </c>
      <c r="B116">
        <v>20.7</v>
      </c>
      <c r="C116">
        <v>48.5</v>
      </c>
    </row>
    <row r="117" spans="1:3">
      <c r="A117" s="392">
        <v>44144.392361111109</v>
      </c>
      <c r="B117">
        <v>20.7</v>
      </c>
      <c r="C117">
        <v>48.5</v>
      </c>
    </row>
    <row r="118" spans="1:3">
      <c r="A118" s="392">
        <v>44144.395833333336</v>
      </c>
      <c r="B118">
        <v>20.7</v>
      </c>
      <c r="C118">
        <v>48.6</v>
      </c>
    </row>
    <row r="119" spans="1:3">
      <c r="A119" s="392">
        <v>44144.399305555555</v>
      </c>
      <c r="B119">
        <v>20.6</v>
      </c>
      <c r="C119">
        <v>48.9</v>
      </c>
    </row>
    <row r="120" spans="1:3">
      <c r="A120" s="392">
        <v>44144.402777777781</v>
      </c>
      <c r="B120">
        <v>20.7</v>
      </c>
      <c r="C120">
        <v>48.8</v>
      </c>
    </row>
    <row r="121" spans="1:3">
      <c r="A121" s="392">
        <v>44144.40625</v>
      </c>
      <c r="B121">
        <v>20.6</v>
      </c>
      <c r="C121">
        <v>48.8</v>
      </c>
    </row>
    <row r="122" spans="1:3">
      <c r="A122" s="392">
        <v>44144.409722222219</v>
      </c>
      <c r="B122">
        <v>20.6</v>
      </c>
      <c r="C122">
        <v>48.8</v>
      </c>
    </row>
    <row r="123" spans="1:3">
      <c r="A123" s="392">
        <v>44144.413194444445</v>
      </c>
      <c r="B123">
        <v>20.6</v>
      </c>
      <c r="C123">
        <v>48.7</v>
      </c>
    </row>
    <row r="124" spans="1:3">
      <c r="A124" s="392">
        <v>44144.416666666664</v>
      </c>
      <c r="B124">
        <v>20.6</v>
      </c>
      <c r="C124">
        <v>48.7</v>
      </c>
    </row>
    <row r="125" spans="1:3">
      <c r="A125" s="392">
        <v>44144.420138888891</v>
      </c>
      <c r="B125">
        <v>20.6</v>
      </c>
      <c r="C125">
        <v>48.6</v>
      </c>
    </row>
    <row r="126" spans="1:3">
      <c r="A126" s="392">
        <v>44144.423611111109</v>
      </c>
      <c r="B126">
        <v>20.6</v>
      </c>
      <c r="C126">
        <v>48.5</v>
      </c>
    </row>
    <row r="127" spans="1:3">
      <c r="A127" s="392">
        <v>44144.427083333336</v>
      </c>
      <c r="B127">
        <v>20.6</v>
      </c>
      <c r="C127">
        <v>48.4</v>
      </c>
    </row>
    <row r="128" spans="1:3">
      <c r="A128" s="392">
        <v>44144.430555555555</v>
      </c>
      <c r="B128">
        <v>20.6</v>
      </c>
      <c r="C128">
        <v>48.4</v>
      </c>
    </row>
    <row r="129" spans="1:3">
      <c r="A129" s="392">
        <v>44144.434027777781</v>
      </c>
      <c r="B129">
        <v>20.6</v>
      </c>
      <c r="C129">
        <v>48.2</v>
      </c>
    </row>
    <row r="130" spans="1:3">
      <c r="A130" s="392">
        <v>44144.4375</v>
      </c>
      <c r="B130">
        <v>20.6</v>
      </c>
      <c r="C130">
        <v>48.2</v>
      </c>
    </row>
    <row r="131" spans="1:3">
      <c r="A131" s="392">
        <v>44144.440972222219</v>
      </c>
      <c r="B131">
        <v>20.6</v>
      </c>
      <c r="C131">
        <v>48.2</v>
      </c>
    </row>
    <row r="132" spans="1:3">
      <c r="A132" s="392">
        <v>44144.444444444445</v>
      </c>
      <c r="B132">
        <v>20.6</v>
      </c>
      <c r="C132">
        <v>48.4</v>
      </c>
    </row>
    <row r="133" spans="1:3">
      <c r="A133" s="392">
        <v>44144.447916666664</v>
      </c>
      <c r="B133">
        <v>20.6</v>
      </c>
      <c r="C133">
        <v>48.4</v>
      </c>
    </row>
    <row r="134" spans="1:3">
      <c r="A134" s="392">
        <v>44144.451388888891</v>
      </c>
      <c r="B134">
        <v>20.6</v>
      </c>
      <c r="C134">
        <v>48.3</v>
      </c>
    </row>
    <row r="135" spans="1:3">
      <c r="A135" s="392">
        <v>44144.454861111109</v>
      </c>
      <c r="B135">
        <v>20.6</v>
      </c>
      <c r="C135">
        <v>48.4</v>
      </c>
    </row>
    <row r="136" spans="1:3">
      <c r="A136" s="392">
        <v>44144.458333333336</v>
      </c>
      <c r="B136">
        <v>20.6</v>
      </c>
      <c r="C136">
        <v>48.3</v>
      </c>
    </row>
    <row r="137" spans="1:3">
      <c r="A137" s="392">
        <v>44144.461805555555</v>
      </c>
      <c r="B137">
        <v>20.7</v>
      </c>
      <c r="C137">
        <v>48.2</v>
      </c>
    </row>
    <row r="138" spans="1:3">
      <c r="A138" s="392">
        <v>44144.465277777781</v>
      </c>
      <c r="B138">
        <v>20.6</v>
      </c>
      <c r="C138">
        <v>48.2</v>
      </c>
    </row>
    <row r="139" spans="1:3">
      <c r="A139" s="392">
        <v>44144.46875</v>
      </c>
      <c r="B139">
        <v>20.6</v>
      </c>
      <c r="C139">
        <v>48.2</v>
      </c>
    </row>
    <row r="140" spans="1:3">
      <c r="A140" s="392">
        <v>44144.472222222219</v>
      </c>
      <c r="B140">
        <v>20.7</v>
      </c>
      <c r="C140">
        <v>48</v>
      </c>
    </row>
    <row r="141" spans="1:3">
      <c r="A141" s="392">
        <v>44144.475694444445</v>
      </c>
      <c r="B141">
        <v>20.6</v>
      </c>
      <c r="C141">
        <v>48.2</v>
      </c>
    </row>
    <row r="142" spans="1:3">
      <c r="A142" s="392">
        <v>44144.479166666664</v>
      </c>
      <c r="B142">
        <v>20.6</v>
      </c>
      <c r="C142">
        <v>48.3</v>
      </c>
    </row>
    <row r="143" spans="1:3">
      <c r="A143" s="392">
        <v>44144.482638888891</v>
      </c>
      <c r="B143">
        <v>20.6</v>
      </c>
      <c r="C143">
        <v>48.4</v>
      </c>
    </row>
    <row r="144" spans="1:3">
      <c r="A144" s="392">
        <v>44144.486111111109</v>
      </c>
      <c r="B144">
        <v>20.6</v>
      </c>
      <c r="C144">
        <v>48.4</v>
      </c>
    </row>
    <row r="145" spans="1:3">
      <c r="A145" s="392">
        <v>44144.489583333336</v>
      </c>
      <c r="B145">
        <v>20.5</v>
      </c>
      <c r="C145">
        <v>48.5</v>
      </c>
    </row>
    <row r="146" spans="1:3">
      <c r="A146" s="392">
        <v>44144.493055555555</v>
      </c>
      <c r="B146">
        <v>20.6</v>
      </c>
      <c r="C146">
        <v>48.4</v>
      </c>
    </row>
    <row r="147" spans="1:3">
      <c r="A147" s="392">
        <v>44144.496527777781</v>
      </c>
      <c r="B147">
        <v>20.6</v>
      </c>
      <c r="C147">
        <v>48.1</v>
      </c>
    </row>
    <row r="148" spans="1:3">
      <c r="A148" s="392">
        <v>44144.5</v>
      </c>
      <c r="B148">
        <v>20.6</v>
      </c>
      <c r="C148">
        <v>48</v>
      </c>
    </row>
    <row r="149" spans="1:3">
      <c r="A149" s="392">
        <v>44144.503472222219</v>
      </c>
      <c r="B149">
        <v>20.6</v>
      </c>
      <c r="C149">
        <v>48</v>
      </c>
    </row>
    <row r="150" spans="1:3">
      <c r="A150" s="392">
        <v>44144.506944444445</v>
      </c>
      <c r="B150">
        <v>20.6</v>
      </c>
      <c r="C150">
        <v>47.9</v>
      </c>
    </row>
    <row r="151" spans="1:3">
      <c r="A151" s="392">
        <v>44144.510416666664</v>
      </c>
      <c r="B151">
        <v>20.7</v>
      </c>
      <c r="C151">
        <v>47.7</v>
      </c>
    </row>
    <row r="152" spans="1:3">
      <c r="A152" s="392">
        <v>44144.513888888891</v>
      </c>
      <c r="B152">
        <v>20.7</v>
      </c>
      <c r="C152">
        <v>47.6</v>
      </c>
    </row>
    <row r="153" spans="1:3">
      <c r="A153" s="392">
        <v>44144.517361111109</v>
      </c>
      <c r="B153">
        <v>20.6</v>
      </c>
      <c r="C153">
        <v>47.7</v>
      </c>
    </row>
    <row r="154" spans="1:3">
      <c r="A154" s="392">
        <v>44144.520833333336</v>
      </c>
      <c r="B154">
        <v>20.6</v>
      </c>
      <c r="C154">
        <v>47.7</v>
      </c>
    </row>
    <row r="155" spans="1:3">
      <c r="A155" s="392">
        <v>44144.524305555555</v>
      </c>
      <c r="B155">
        <v>20.6</v>
      </c>
      <c r="C155">
        <v>47.8</v>
      </c>
    </row>
    <row r="156" spans="1:3">
      <c r="A156" s="392">
        <v>44144.527777777781</v>
      </c>
      <c r="B156">
        <v>20.6</v>
      </c>
      <c r="C156">
        <v>47.9</v>
      </c>
    </row>
    <row r="157" spans="1:3">
      <c r="A157" s="392">
        <v>44144.53125</v>
      </c>
      <c r="B157">
        <v>20.6</v>
      </c>
      <c r="C157">
        <v>47.7</v>
      </c>
    </row>
    <row r="158" spans="1:3">
      <c r="A158" s="392">
        <v>44144.534722222219</v>
      </c>
      <c r="B158">
        <v>20.6</v>
      </c>
      <c r="C158">
        <v>47.7</v>
      </c>
    </row>
    <row r="159" spans="1:3">
      <c r="A159" s="392">
        <v>44144.538194444445</v>
      </c>
      <c r="B159">
        <v>20.7</v>
      </c>
      <c r="C159">
        <v>47.6</v>
      </c>
    </row>
    <row r="160" spans="1:3">
      <c r="A160" s="392">
        <v>44144.541666666664</v>
      </c>
      <c r="B160">
        <v>20.6</v>
      </c>
      <c r="C160">
        <v>47.7</v>
      </c>
    </row>
    <row r="161" spans="1:3">
      <c r="A161" s="392">
        <v>44144.545138888891</v>
      </c>
      <c r="B161">
        <v>20.6</v>
      </c>
      <c r="C161">
        <v>47.6</v>
      </c>
    </row>
    <row r="162" spans="1:3">
      <c r="A162" s="392">
        <v>44144.548611111109</v>
      </c>
      <c r="B162">
        <v>20.6</v>
      </c>
      <c r="C162">
        <v>47.6</v>
      </c>
    </row>
    <row r="163" spans="1:3">
      <c r="A163" s="392">
        <v>44144.552083333336</v>
      </c>
      <c r="B163">
        <v>20.6</v>
      </c>
      <c r="C163">
        <v>47.7</v>
      </c>
    </row>
    <row r="164" spans="1:3">
      <c r="A164" s="392">
        <v>44144.555555555555</v>
      </c>
      <c r="B164">
        <v>20.6</v>
      </c>
      <c r="C164">
        <v>47.7</v>
      </c>
    </row>
    <row r="165" spans="1:3">
      <c r="A165" s="392">
        <v>44144.559027777781</v>
      </c>
      <c r="B165">
        <v>20.6</v>
      </c>
      <c r="C165">
        <v>47.7</v>
      </c>
    </row>
    <row r="166" spans="1:3">
      <c r="A166" s="392">
        <v>44144.5625</v>
      </c>
      <c r="B166">
        <v>20.6</v>
      </c>
      <c r="C166">
        <v>47.5</v>
      </c>
    </row>
    <row r="167" spans="1:3">
      <c r="A167" s="392">
        <v>44144.565972222219</v>
      </c>
      <c r="B167">
        <v>20.6</v>
      </c>
      <c r="C167">
        <v>47.3</v>
      </c>
    </row>
    <row r="168" spans="1:3">
      <c r="A168" s="392">
        <v>44144.569444444445</v>
      </c>
      <c r="B168">
        <v>20.6</v>
      </c>
      <c r="C168">
        <v>47.1</v>
      </c>
    </row>
    <row r="169" spans="1:3">
      <c r="A169" s="392">
        <v>44144.572916666664</v>
      </c>
      <c r="B169">
        <v>20.6</v>
      </c>
      <c r="C169">
        <v>46.9</v>
      </c>
    </row>
    <row r="170" spans="1:3">
      <c r="A170" s="392">
        <v>44144.576388888891</v>
      </c>
      <c r="B170">
        <v>20.6</v>
      </c>
      <c r="C170">
        <v>46.5</v>
      </c>
    </row>
    <row r="171" spans="1:3">
      <c r="A171" s="392">
        <v>44144.579861111109</v>
      </c>
      <c r="B171">
        <v>20.6</v>
      </c>
      <c r="C171">
        <v>46.3</v>
      </c>
    </row>
    <row r="172" spans="1:3">
      <c r="A172" s="392">
        <v>44144.583333333336</v>
      </c>
      <c r="B172">
        <v>20.6</v>
      </c>
      <c r="C172">
        <v>46.2</v>
      </c>
    </row>
    <row r="173" spans="1:3">
      <c r="A173" s="392">
        <v>44144.586805555555</v>
      </c>
      <c r="B173">
        <v>20.6</v>
      </c>
      <c r="C173">
        <v>45.9</v>
      </c>
    </row>
    <row r="174" spans="1:3">
      <c r="A174" s="392">
        <v>44144.590277777781</v>
      </c>
      <c r="B174">
        <v>20.6</v>
      </c>
      <c r="C174">
        <v>45.9</v>
      </c>
    </row>
    <row r="175" spans="1:3">
      <c r="A175" s="392">
        <v>44144.59375</v>
      </c>
      <c r="B175">
        <v>20.6</v>
      </c>
      <c r="C175">
        <v>45.6</v>
      </c>
    </row>
    <row r="176" spans="1:3">
      <c r="A176" s="392">
        <v>44144.597222222219</v>
      </c>
      <c r="B176">
        <v>20.6</v>
      </c>
      <c r="C176">
        <v>45.7</v>
      </c>
    </row>
    <row r="177" spans="1:3">
      <c r="A177" s="392">
        <v>44144.600694444445</v>
      </c>
      <c r="B177">
        <v>20.7</v>
      </c>
      <c r="C177">
        <v>45.7</v>
      </c>
    </row>
    <row r="178" spans="1:3">
      <c r="A178" s="392">
        <v>44144.604166666664</v>
      </c>
      <c r="B178">
        <v>20.6</v>
      </c>
      <c r="C178">
        <v>45.9</v>
      </c>
    </row>
    <row r="179" spans="1:3">
      <c r="A179" s="392">
        <v>44144.607638888891</v>
      </c>
      <c r="B179">
        <v>20.6</v>
      </c>
      <c r="C179">
        <v>46.2</v>
      </c>
    </row>
    <row r="180" spans="1:3">
      <c r="A180" s="392">
        <v>44144.611111111109</v>
      </c>
      <c r="B180">
        <v>20.6</v>
      </c>
      <c r="C180">
        <v>46.4</v>
      </c>
    </row>
    <row r="181" spans="1:3">
      <c r="A181" s="392">
        <v>44144.614583333336</v>
      </c>
      <c r="B181">
        <v>20.6</v>
      </c>
      <c r="C181">
        <v>46.6</v>
      </c>
    </row>
    <row r="182" spans="1:3">
      <c r="A182" s="392">
        <v>44144.618055555555</v>
      </c>
      <c r="B182">
        <v>20.6</v>
      </c>
      <c r="C182">
        <v>46.8</v>
      </c>
    </row>
    <row r="183" spans="1:3">
      <c r="A183" s="392">
        <v>44144.621527777781</v>
      </c>
      <c r="B183">
        <v>20.5</v>
      </c>
      <c r="C183">
        <v>46.7</v>
      </c>
    </row>
    <row r="184" spans="1:3">
      <c r="A184" s="392">
        <v>44144.625</v>
      </c>
      <c r="B184">
        <v>20.6</v>
      </c>
      <c r="C184">
        <v>46.6</v>
      </c>
    </row>
    <row r="185" spans="1:3">
      <c r="A185" s="392">
        <v>44144.628472222219</v>
      </c>
      <c r="B185">
        <v>20.6</v>
      </c>
      <c r="C185">
        <v>46.6</v>
      </c>
    </row>
    <row r="186" spans="1:3">
      <c r="A186" s="392">
        <v>44144.631944444445</v>
      </c>
      <c r="B186">
        <v>20.7</v>
      </c>
      <c r="C186">
        <v>46.5</v>
      </c>
    </row>
    <row r="187" spans="1:3">
      <c r="A187" s="392">
        <v>44144.635416666664</v>
      </c>
      <c r="B187">
        <v>20.6</v>
      </c>
      <c r="C187">
        <v>46.6</v>
      </c>
    </row>
    <row r="188" spans="1:3">
      <c r="A188" s="392">
        <v>44144.638888888891</v>
      </c>
      <c r="B188">
        <v>20.6</v>
      </c>
      <c r="C188">
        <v>46.7</v>
      </c>
    </row>
    <row r="189" spans="1:3">
      <c r="A189" s="392">
        <v>44144.642361111109</v>
      </c>
      <c r="B189">
        <v>20.6</v>
      </c>
      <c r="C189">
        <v>46.7</v>
      </c>
    </row>
    <row r="190" spans="1:3">
      <c r="A190" s="392">
        <v>44144.645833333336</v>
      </c>
      <c r="B190">
        <v>20.5</v>
      </c>
      <c r="C190">
        <v>46.9</v>
      </c>
    </row>
    <row r="191" spans="1:3">
      <c r="A191" s="392">
        <v>44144.649305555555</v>
      </c>
      <c r="B191">
        <v>20.6</v>
      </c>
      <c r="C191">
        <v>46.8</v>
      </c>
    </row>
    <row r="192" spans="1:3">
      <c r="A192" s="392">
        <v>44144.652777777781</v>
      </c>
      <c r="B192">
        <v>20.6</v>
      </c>
      <c r="C192">
        <v>46.8</v>
      </c>
    </row>
    <row r="193" spans="1:3">
      <c r="A193" s="392">
        <v>44144.65625</v>
      </c>
      <c r="B193">
        <v>20.6</v>
      </c>
      <c r="C193">
        <v>46.8</v>
      </c>
    </row>
    <row r="194" spans="1:3">
      <c r="A194" s="392">
        <v>44144.659722222219</v>
      </c>
      <c r="B194">
        <v>20.6</v>
      </c>
      <c r="C194">
        <v>46.8</v>
      </c>
    </row>
    <row r="195" spans="1:3">
      <c r="A195" s="392">
        <v>44144.663194444445</v>
      </c>
      <c r="B195">
        <v>20.6</v>
      </c>
      <c r="C195">
        <v>46.9</v>
      </c>
    </row>
    <row r="196" spans="1:3">
      <c r="A196" s="392">
        <v>44144.666666666664</v>
      </c>
      <c r="B196">
        <v>20.6</v>
      </c>
      <c r="C196">
        <v>47.2</v>
      </c>
    </row>
    <row r="197" spans="1:3">
      <c r="A197" s="392">
        <v>44144.670138888891</v>
      </c>
      <c r="B197">
        <v>20.6</v>
      </c>
      <c r="C197">
        <v>47.2</v>
      </c>
    </row>
    <row r="198" spans="1:3">
      <c r="A198" s="392">
        <v>44144.673611111109</v>
      </c>
      <c r="B198">
        <v>20.7</v>
      </c>
      <c r="C198">
        <v>47.3</v>
      </c>
    </row>
    <row r="199" spans="1:3">
      <c r="A199" s="392">
        <v>44144.677083333336</v>
      </c>
      <c r="B199">
        <v>20.6</v>
      </c>
      <c r="C199">
        <v>47.4</v>
      </c>
    </row>
    <row r="200" spans="1:3">
      <c r="A200" s="392">
        <v>44144.680555555555</v>
      </c>
      <c r="B200">
        <v>20.6</v>
      </c>
      <c r="C200">
        <v>47.5</v>
      </c>
    </row>
    <row r="201" spans="1:3">
      <c r="A201" s="392">
        <v>44144.684027777781</v>
      </c>
      <c r="B201">
        <v>20.6</v>
      </c>
      <c r="C201">
        <v>47.5</v>
      </c>
    </row>
    <row r="202" spans="1:3">
      <c r="A202" s="392">
        <v>44144.6875</v>
      </c>
      <c r="B202">
        <v>20.6</v>
      </c>
      <c r="C202">
        <v>47.7</v>
      </c>
    </row>
    <row r="203" spans="1:3">
      <c r="A203" s="392">
        <v>44144.690972222219</v>
      </c>
      <c r="B203">
        <v>20.5</v>
      </c>
      <c r="C203">
        <v>47.8</v>
      </c>
    </row>
    <row r="204" spans="1:3">
      <c r="A204" s="392">
        <v>44144.694444444445</v>
      </c>
      <c r="B204">
        <v>20.6</v>
      </c>
      <c r="C204">
        <v>47.7</v>
      </c>
    </row>
    <row r="205" spans="1:3">
      <c r="A205" s="392">
        <v>44144.697916666664</v>
      </c>
      <c r="B205">
        <v>20.6</v>
      </c>
      <c r="C205">
        <v>47.7</v>
      </c>
    </row>
    <row r="206" spans="1:3">
      <c r="A206" s="392">
        <v>44144.701388888891</v>
      </c>
      <c r="B206">
        <v>20.6</v>
      </c>
      <c r="C206">
        <v>47.8</v>
      </c>
    </row>
    <row r="207" spans="1:3">
      <c r="A207" s="392">
        <v>44144.704861111109</v>
      </c>
      <c r="B207">
        <v>20.6</v>
      </c>
      <c r="C207">
        <v>47.9</v>
      </c>
    </row>
    <row r="208" spans="1:3">
      <c r="A208" s="392">
        <v>44144.708333333336</v>
      </c>
      <c r="B208">
        <v>20.6</v>
      </c>
      <c r="C208">
        <v>47.9</v>
      </c>
    </row>
    <row r="209" spans="1:3">
      <c r="A209" s="392">
        <v>44144.711805555555</v>
      </c>
      <c r="B209">
        <v>20.6</v>
      </c>
      <c r="C209">
        <v>48</v>
      </c>
    </row>
    <row r="210" spans="1:3">
      <c r="A210" s="392">
        <v>44144.715277777781</v>
      </c>
      <c r="B210">
        <v>20.6</v>
      </c>
      <c r="C210">
        <v>48</v>
      </c>
    </row>
    <row r="211" spans="1:3">
      <c r="A211" s="392">
        <v>44144.71875</v>
      </c>
      <c r="B211">
        <v>20.6</v>
      </c>
      <c r="C211">
        <v>47.9</v>
      </c>
    </row>
    <row r="212" spans="1:3">
      <c r="A212" s="392">
        <v>44144.722222222219</v>
      </c>
      <c r="B212">
        <v>20.6</v>
      </c>
      <c r="C212">
        <v>47.9</v>
      </c>
    </row>
    <row r="213" spans="1:3">
      <c r="A213" s="392">
        <v>44144.725694444445</v>
      </c>
      <c r="B213">
        <v>20.6</v>
      </c>
      <c r="C213">
        <v>47.9</v>
      </c>
    </row>
    <row r="214" spans="1:3">
      <c r="A214" s="392">
        <v>44144.729166666664</v>
      </c>
      <c r="B214">
        <v>20.7</v>
      </c>
      <c r="C214">
        <v>48</v>
      </c>
    </row>
    <row r="215" spans="1:3">
      <c r="A215" s="392">
        <v>44144.732638888891</v>
      </c>
      <c r="B215">
        <v>20.6</v>
      </c>
      <c r="C215">
        <v>48</v>
      </c>
    </row>
    <row r="216" spans="1:3">
      <c r="A216" s="392">
        <v>44144.736111111109</v>
      </c>
      <c r="B216">
        <v>20.6</v>
      </c>
      <c r="C216">
        <v>48</v>
      </c>
    </row>
    <row r="217" spans="1:3">
      <c r="A217" s="392">
        <v>44144.739583333336</v>
      </c>
      <c r="B217">
        <v>20.6</v>
      </c>
      <c r="C217">
        <v>47.8</v>
      </c>
    </row>
    <row r="218" spans="1:3">
      <c r="A218" s="392">
        <v>44144.743055555555</v>
      </c>
      <c r="B218">
        <v>20.6</v>
      </c>
      <c r="C218">
        <v>47.8</v>
      </c>
    </row>
    <row r="219" spans="1:3">
      <c r="A219" s="392">
        <v>44144.746527777781</v>
      </c>
      <c r="B219">
        <v>20.6</v>
      </c>
      <c r="C219">
        <v>47.7</v>
      </c>
    </row>
    <row r="220" spans="1:3">
      <c r="A220" s="392">
        <v>44144.75</v>
      </c>
      <c r="B220">
        <v>20.6</v>
      </c>
      <c r="C220">
        <v>47.7</v>
      </c>
    </row>
    <row r="221" spans="1:3">
      <c r="A221" s="392">
        <v>44144.753472222219</v>
      </c>
      <c r="B221">
        <v>20.6</v>
      </c>
      <c r="C221">
        <v>47.5</v>
      </c>
    </row>
    <row r="222" spans="1:3">
      <c r="A222" s="392">
        <v>44144.756944444445</v>
      </c>
      <c r="B222">
        <v>20.6</v>
      </c>
      <c r="C222">
        <v>47.7</v>
      </c>
    </row>
    <row r="223" spans="1:3">
      <c r="A223" s="392">
        <v>44144.760416666664</v>
      </c>
      <c r="B223">
        <v>20.6</v>
      </c>
      <c r="C223">
        <v>47.6</v>
      </c>
    </row>
    <row r="224" spans="1:3">
      <c r="A224" s="392">
        <v>44144.763888888891</v>
      </c>
      <c r="B224">
        <v>20.6</v>
      </c>
      <c r="C224">
        <v>47.6</v>
      </c>
    </row>
    <row r="225" spans="1:3">
      <c r="A225" s="392">
        <v>44144.767361111109</v>
      </c>
      <c r="B225">
        <v>20.6</v>
      </c>
      <c r="C225">
        <v>47.6</v>
      </c>
    </row>
    <row r="226" spans="1:3">
      <c r="A226" s="392">
        <v>44144.770833333336</v>
      </c>
      <c r="B226">
        <v>20.6</v>
      </c>
      <c r="C226">
        <v>47.6</v>
      </c>
    </row>
    <row r="227" spans="1:3">
      <c r="A227" s="392">
        <v>44144.774305555555</v>
      </c>
      <c r="B227">
        <v>20.6</v>
      </c>
      <c r="C227">
        <v>47.5</v>
      </c>
    </row>
    <row r="228" spans="1:3">
      <c r="A228" s="392">
        <v>44144.777777777781</v>
      </c>
      <c r="B228">
        <v>20.6</v>
      </c>
      <c r="C228">
        <v>47.5</v>
      </c>
    </row>
    <row r="229" spans="1:3">
      <c r="A229" s="392">
        <v>44144.78125</v>
      </c>
      <c r="B229">
        <v>20.6</v>
      </c>
      <c r="C229">
        <v>47.6</v>
      </c>
    </row>
    <row r="230" spans="1:3">
      <c r="A230" s="392">
        <v>44144.784722222219</v>
      </c>
      <c r="B230">
        <v>20.6</v>
      </c>
      <c r="C230">
        <v>47.6</v>
      </c>
    </row>
    <row r="231" spans="1:3">
      <c r="A231" s="392">
        <v>44144.788194444445</v>
      </c>
      <c r="B231">
        <v>20.6</v>
      </c>
      <c r="C231">
        <v>47.6</v>
      </c>
    </row>
    <row r="232" spans="1:3">
      <c r="A232" s="392">
        <v>44144.791666666664</v>
      </c>
      <c r="B232">
        <v>20.6</v>
      </c>
      <c r="C232">
        <v>47.7</v>
      </c>
    </row>
    <row r="233" spans="1:3">
      <c r="A233" s="392">
        <v>44144.795138888891</v>
      </c>
      <c r="B233">
        <v>20.6</v>
      </c>
      <c r="C233">
        <v>47.7</v>
      </c>
    </row>
    <row r="234" spans="1:3">
      <c r="A234" s="392">
        <v>44144.798611111109</v>
      </c>
      <c r="B234">
        <v>20.6</v>
      </c>
      <c r="C234">
        <v>47.6</v>
      </c>
    </row>
    <row r="235" spans="1:3">
      <c r="A235" s="392">
        <v>44144.802083333336</v>
      </c>
      <c r="B235">
        <v>20.6</v>
      </c>
      <c r="C235">
        <v>47.7</v>
      </c>
    </row>
    <row r="236" spans="1:3">
      <c r="A236" s="392">
        <v>44144.805555555555</v>
      </c>
      <c r="B236">
        <v>20.6</v>
      </c>
      <c r="C236">
        <v>47.8</v>
      </c>
    </row>
    <row r="237" spans="1:3">
      <c r="A237" s="392">
        <v>44144.809027777781</v>
      </c>
      <c r="B237">
        <v>20.6</v>
      </c>
      <c r="C237">
        <v>47.7</v>
      </c>
    </row>
    <row r="238" spans="1:3">
      <c r="A238" s="392">
        <v>44144.8125</v>
      </c>
      <c r="B238">
        <v>20.6</v>
      </c>
      <c r="C238">
        <v>47.7</v>
      </c>
    </row>
    <row r="239" spans="1:3">
      <c r="A239" s="392">
        <v>44144.815972222219</v>
      </c>
      <c r="B239">
        <v>20.6</v>
      </c>
      <c r="C239">
        <v>47.7</v>
      </c>
    </row>
    <row r="240" spans="1:3">
      <c r="A240" s="392">
        <v>44144.819444444445</v>
      </c>
      <c r="B240">
        <v>20.6</v>
      </c>
      <c r="C240">
        <v>47.7</v>
      </c>
    </row>
    <row r="241" spans="1:3">
      <c r="A241" s="392">
        <v>44144.822916666664</v>
      </c>
      <c r="B241">
        <v>20.7</v>
      </c>
      <c r="C241">
        <v>47.6</v>
      </c>
    </row>
    <row r="242" spans="1:3">
      <c r="A242" s="392">
        <v>44144.826388888891</v>
      </c>
      <c r="B242">
        <v>20.6</v>
      </c>
      <c r="C242">
        <v>47.7</v>
      </c>
    </row>
    <row r="243" spans="1:3">
      <c r="A243" s="392">
        <v>44144.829861111109</v>
      </c>
      <c r="B243">
        <v>20.6</v>
      </c>
      <c r="C243">
        <v>47.7</v>
      </c>
    </row>
    <row r="244" spans="1:3">
      <c r="A244" s="392">
        <v>44144.833333333336</v>
      </c>
      <c r="B244">
        <v>20.6</v>
      </c>
      <c r="C244">
        <v>47.7</v>
      </c>
    </row>
    <row r="245" spans="1:3">
      <c r="A245" s="392">
        <v>44144.836805555555</v>
      </c>
      <c r="B245">
        <v>20.6</v>
      </c>
      <c r="C245">
        <v>47.5</v>
      </c>
    </row>
    <row r="246" spans="1:3">
      <c r="A246" s="392">
        <v>44144.840277777781</v>
      </c>
      <c r="B246">
        <v>20.6</v>
      </c>
      <c r="C246">
        <v>47.6</v>
      </c>
    </row>
    <row r="247" spans="1:3">
      <c r="A247" s="392">
        <v>44144.84375</v>
      </c>
      <c r="B247">
        <v>20.6</v>
      </c>
      <c r="C247">
        <v>47.7</v>
      </c>
    </row>
    <row r="248" spans="1:3">
      <c r="A248" s="392">
        <v>44144.847222222219</v>
      </c>
      <c r="B248">
        <v>20.6</v>
      </c>
      <c r="C248">
        <v>47.6</v>
      </c>
    </row>
    <row r="249" spans="1:3">
      <c r="A249" s="392">
        <v>44144.850694444445</v>
      </c>
      <c r="B249">
        <v>20.6</v>
      </c>
      <c r="C249">
        <v>47.6</v>
      </c>
    </row>
    <row r="250" spans="1:3">
      <c r="A250" s="392">
        <v>44144.854166666664</v>
      </c>
      <c r="B250">
        <v>20.6</v>
      </c>
      <c r="C250">
        <v>47.6</v>
      </c>
    </row>
    <row r="251" spans="1:3">
      <c r="A251" s="392">
        <v>44144.857638888891</v>
      </c>
      <c r="B251">
        <v>20.6</v>
      </c>
      <c r="C251">
        <v>47.5</v>
      </c>
    </row>
    <row r="252" spans="1:3">
      <c r="A252" s="392">
        <v>44144.861111111109</v>
      </c>
      <c r="B252">
        <v>20.6</v>
      </c>
      <c r="C252">
        <v>47.4</v>
      </c>
    </row>
    <row r="253" spans="1:3">
      <c r="A253" s="392">
        <v>44144.864583333336</v>
      </c>
      <c r="B253">
        <v>20.6</v>
      </c>
      <c r="C253">
        <v>47.4</v>
      </c>
    </row>
    <row r="254" spans="1:3">
      <c r="A254" s="392">
        <v>44144.868055555555</v>
      </c>
      <c r="B254">
        <v>20.6</v>
      </c>
      <c r="C254">
        <v>47.4</v>
      </c>
    </row>
    <row r="255" spans="1:3">
      <c r="A255" s="392">
        <v>44144.871527777781</v>
      </c>
      <c r="B255">
        <v>20.6</v>
      </c>
      <c r="C255">
        <v>47.4</v>
      </c>
    </row>
    <row r="256" spans="1:3">
      <c r="A256" s="392">
        <v>44144.875</v>
      </c>
      <c r="B256">
        <v>20.6</v>
      </c>
      <c r="C256">
        <v>47.4</v>
      </c>
    </row>
    <row r="257" spans="1:3">
      <c r="A257" s="392">
        <v>44144.878472222219</v>
      </c>
      <c r="B257">
        <v>20.6</v>
      </c>
      <c r="C257">
        <v>47.5</v>
      </c>
    </row>
    <row r="258" spans="1:3">
      <c r="A258" s="392">
        <v>44144.881944444445</v>
      </c>
      <c r="B258">
        <v>20.6</v>
      </c>
      <c r="C258">
        <v>47.5</v>
      </c>
    </row>
    <row r="259" spans="1:3">
      <c r="A259" s="392">
        <v>44144.885416666664</v>
      </c>
      <c r="B259">
        <v>20.6</v>
      </c>
      <c r="C259">
        <v>47.6</v>
      </c>
    </row>
    <row r="260" spans="1:3">
      <c r="A260" s="392">
        <v>44144.888888888891</v>
      </c>
      <c r="B260">
        <v>20.6</v>
      </c>
      <c r="C260">
        <v>47.5</v>
      </c>
    </row>
    <row r="261" spans="1:3">
      <c r="A261" s="392">
        <v>44144.892361111109</v>
      </c>
      <c r="B261">
        <v>20.7</v>
      </c>
      <c r="C261">
        <v>47.5</v>
      </c>
    </row>
    <row r="262" spans="1:3">
      <c r="A262" s="392">
        <v>44144.895833333336</v>
      </c>
      <c r="B262">
        <v>20.6</v>
      </c>
      <c r="C262">
        <v>47.7</v>
      </c>
    </row>
    <row r="263" spans="1:3">
      <c r="A263" s="392">
        <v>44144.899305555555</v>
      </c>
      <c r="B263">
        <v>20.6</v>
      </c>
      <c r="C263">
        <v>47.6</v>
      </c>
    </row>
    <row r="264" spans="1:3">
      <c r="A264" s="392">
        <v>44144.902777777781</v>
      </c>
      <c r="B264">
        <v>20.6</v>
      </c>
      <c r="C264">
        <v>47.7</v>
      </c>
    </row>
    <row r="265" spans="1:3">
      <c r="A265" s="392">
        <v>44144.90625</v>
      </c>
      <c r="B265">
        <v>20.6</v>
      </c>
      <c r="C265">
        <v>47.8</v>
      </c>
    </row>
    <row r="266" spans="1:3">
      <c r="A266" s="392">
        <v>44144.909722222219</v>
      </c>
      <c r="B266">
        <v>20.6</v>
      </c>
      <c r="C266">
        <v>47.7</v>
      </c>
    </row>
    <row r="267" spans="1:3">
      <c r="A267" s="392">
        <v>44144.913194444445</v>
      </c>
      <c r="B267">
        <v>20.6</v>
      </c>
      <c r="C267">
        <v>47.7</v>
      </c>
    </row>
    <row r="268" spans="1:3">
      <c r="A268" s="392">
        <v>44144.916666666664</v>
      </c>
      <c r="B268">
        <v>20.7</v>
      </c>
      <c r="C268">
        <v>47.7</v>
      </c>
    </row>
    <row r="269" spans="1:3">
      <c r="A269" s="392">
        <v>44144.920138888891</v>
      </c>
      <c r="B269">
        <v>20.6</v>
      </c>
      <c r="C269">
        <v>47.8</v>
      </c>
    </row>
    <row r="270" spans="1:3">
      <c r="A270" s="392">
        <v>44144.923611111109</v>
      </c>
      <c r="B270">
        <v>20.6</v>
      </c>
      <c r="C270">
        <v>47.8</v>
      </c>
    </row>
    <row r="271" spans="1:3">
      <c r="A271" s="392">
        <v>44144.927083333336</v>
      </c>
      <c r="B271">
        <v>20.6</v>
      </c>
      <c r="C271">
        <v>47.8</v>
      </c>
    </row>
    <row r="272" spans="1:3">
      <c r="A272" s="392">
        <v>44144.930555555555</v>
      </c>
      <c r="B272">
        <v>20.6</v>
      </c>
      <c r="C272">
        <v>47.9</v>
      </c>
    </row>
    <row r="273" spans="1:3">
      <c r="A273" s="392">
        <v>44144.934027777781</v>
      </c>
      <c r="B273">
        <v>20.6</v>
      </c>
      <c r="C273">
        <v>47.9</v>
      </c>
    </row>
    <row r="274" spans="1:3">
      <c r="A274" s="392">
        <v>44144.9375</v>
      </c>
      <c r="B274">
        <v>20.6</v>
      </c>
      <c r="C274">
        <v>47.9</v>
      </c>
    </row>
    <row r="275" spans="1:3">
      <c r="A275" s="392">
        <v>44144.940972222219</v>
      </c>
      <c r="B275">
        <v>20.6</v>
      </c>
      <c r="C275">
        <v>47.9</v>
      </c>
    </row>
    <row r="276" spans="1:3">
      <c r="A276" s="392">
        <v>44144.944444444445</v>
      </c>
      <c r="B276">
        <v>20.6</v>
      </c>
      <c r="C276">
        <v>47.9</v>
      </c>
    </row>
    <row r="277" spans="1:3">
      <c r="A277" s="392">
        <v>44144.947916666664</v>
      </c>
      <c r="B277">
        <v>20.6</v>
      </c>
      <c r="C277">
        <v>47.9</v>
      </c>
    </row>
    <row r="278" spans="1:3">
      <c r="A278" s="392">
        <v>44144.951388888891</v>
      </c>
      <c r="B278">
        <v>20.7</v>
      </c>
      <c r="C278">
        <v>47.9</v>
      </c>
    </row>
    <row r="279" spans="1:3">
      <c r="A279" s="392">
        <v>44144.954861111109</v>
      </c>
      <c r="B279">
        <v>20.6</v>
      </c>
      <c r="C279">
        <v>48</v>
      </c>
    </row>
    <row r="280" spans="1:3">
      <c r="A280" s="392">
        <v>44144.958333333336</v>
      </c>
      <c r="B280">
        <v>20.6</v>
      </c>
      <c r="C280">
        <v>48</v>
      </c>
    </row>
    <row r="281" spans="1:3">
      <c r="A281" s="392">
        <v>44144.961805555555</v>
      </c>
      <c r="B281">
        <v>20.7</v>
      </c>
      <c r="C281">
        <v>47.9</v>
      </c>
    </row>
    <row r="282" spans="1:3">
      <c r="A282" s="392">
        <v>44144.965277777781</v>
      </c>
      <c r="B282">
        <v>20.6</v>
      </c>
      <c r="C282">
        <v>47.9</v>
      </c>
    </row>
    <row r="283" spans="1:3">
      <c r="A283" s="392">
        <v>44144.96875</v>
      </c>
      <c r="B283">
        <v>20.6</v>
      </c>
      <c r="C283">
        <v>47.9</v>
      </c>
    </row>
    <row r="284" spans="1:3">
      <c r="A284" s="392">
        <v>44144.972222222219</v>
      </c>
      <c r="B284">
        <v>20.6</v>
      </c>
      <c r="C284">
        <v>48</v>
      </c>
    </row>
    <row r="285" spans="1:3">
      <c r="A285" s="392">
        <v>44144.975694444445</v>
      </c>
      <c r="B285">
        <v>20.7</v>
      </c>
      <c r="C285">
        <v>48</v>
      </c>
    </row>
    <row r="286" spans="1:3">
      <c r="A286" s="392">
        <v>44144.979166666664</v>
      </c>
      <c r="B286">
        <v>20.6</v>
      </c>
      <c r="C286">
        <v>48</v>
      </c>
    </row>
    <row r="287" spans="1:3">
      <c r="A287" s="392">
        <v>44144.982638888891</v>
      </c>
      <c r="B287">
        <v>20.7</v>
      </c>
      <c r="C287">
        <v>48</v>
      </c>
    </row>
    <row r="288" spans="1:3">
      <c r="A288" s="392">
        <v>44144.986111111109</v>
      </c>
      <c r="B288">
        <v>20.7</v>
      </c>
      <c r="C288">
        <v>48</v>
      </c>
    </row>
    <row r="289" spans="1:3">
      <c r="A289" s="392">
        <v>44144.989583333336</v>
      </c>
      <c r="B289">
        <v>20.6</v>
      </c>
      <c r="C289">
        <v>48.1</v>
      </c>
    </row>
    <row r="290" spans="1:3">
      <c r="A290" s="392">
        <v>44144.993055555555</v>
      </c>
      <c r="B290">
        <v>20.7</v>
      </c>
      <c r="C290">
        <v>48.1</v>
      </c>
    </row>
    <row r="291" spans="1:3">
      <c r="A291" s="392">
        <v>44144.996527777781</v>
      </c>
      <c r="B291">
        <v>20.6</v>
      </c>
      <c r="C291">
        <v>48.2</v>
      </c>
    </row>
    <row r="292" spans="1:3">
      <c r="A292" s="392">
        <v>44145</v>
      </c>
      <c r="B292">
        <v>20.6</v>
      </c>
      <c r="C292">
        <v>48.1</v>
      </c>
    </row>
    <row r="293" spans="1:3">
      <c r="A293" s="392">
        <v>44145.003472222219</v>
      </c>
      <c r="B293">
        <v>20.7</v>
      </c>
      <c r="C293">
        <v>48.2</v>
      </c>
    </row>
    <row r="294" spans="1:3">
      <c r="A294" s="392">
        <v>44145.006944444445</v>
      </c>
      <c r="B294">
        <v>20.7</v>
      </c>
      <c r="C294">
        <v>48.2</v>
      </c>
    </row>
    <row r="295" spans="1:3">
      <c r="A295" s="392">
        <v>44145.010416666664</v>
      </c>
      <c r="B295">
        <v>20.6</v>
      </c>
      <c r="C295">
        <v>48.3</v>
      </c>
    </row>
    <row r="296" spans="1:3">
      <c r="A296" s="392">
        <v>44145.013888888891</v>
      </c>
      <c r="B296">
        <v>20.7</v>
      </c>
      <c r="C296">
        <v>48.2</v>
      </c>
    </row>
    <row r="297" spans="1:3">
      <c r="A297" s="392">
        <v>44145.017361111109</v>
      </c>
      <c r="B297">
        <v>20.7</v>
      </c>
      <c r="C297">
        <v>48.2</v>
      </c>
    </row>
    <row r="298" spans="1:3">
      <c r="A298" s="392">
        <v>44145.020833333336</v>
      </c>
      <c r="B298">
        <v>20.7</v>
      </c>
      <c r="C298">
        <v>48.2</v>
      </c>
    </row>
    <row r="299" spans="1:3">
      <c r="A299" s="392">
        <v>44145.024305555555</v>
      </c>
      <c r="B299">
        <v>20.7</v>
      </c>
      <c r="C299">
        <v>48.3</v>
      </c>
    </row>
    <row r="300" spans="1:3">
      <c r="A300" s="392">
        <v>44145.027777777781</v>
      </c>
      <c r="B300">
        <v>20.6</v>
      </c>
      <c r="C300">
        <v>48.3</v>
      </c>
    </row>
    <row r="301" spans="1:3">
      <c r="A301" s="392">
        <v>44145.03125</v>
      </c>
      <c r="B301">
        <v>20.6</v>
      </c>
      <c r="C301">
        <v>48.4</v>
      </c>
    </row>
    <row r="302" spans="1:3">
      <c r="A302" s="392">
        <v>44145.034722222219</v>
      </c>
      <c r="B302">
        <v>20.7</v>
      </c>
      <c r="C302">
        <v>48.3</v>
      </c>
    </row>
    <row r="303" spans="1:3">
      <c r="A303" s="392">
        <v>44145.038194444445</v>
      </c>
      <c r="B303">
        <v>20.6</v>
      </c>
      <c r="C303">
        <v>48.4</v>
      </c>
    </row>
    <row r="304" spans="1:3">
      <c r="A304" s="392">
        <v>44145.041666666664</v>
      </c>
      <c r="B304">
        <v>20.6</v>
      </c>
      <c r="C304">
        <v>48.4</v>
      </c>
    </row>
    <row r="305" spans="1:3">
      <c r="A305" s="392">
        <v>44145.045138888891</v>
      </c>
      <c r="B305">
        <v>20.6</v>
      </c>
      <c r="C305">
        <v>48.4</v>
      </c>
    </row>
    <row r="306" spans="1:3">
      <c r="A306" s="392">
        <v>44145.048611111109</v>
      </c>
      <c r="B306">
        <v>20.6</v>
      </c>
      <c r="C306">
        <v>48.4</v>
      </c>
    </row>
    <row r="307" spans="1:3">
      <c r="A307" s="392">
        <v>44145.052083333336</v>
      </c>
      <c r="B307">
        <v>20.7</v>
      </c>
      <c r="C307">
        <v>48.4</v>
      </c>
    </row>
    <row r="308" spans="1:3">
      <c r="A308" s="392">
        <v>44145.055555555555</v>
      </c>
      <c r="B308">
        <v>20.6</v>
      </c>
      <c r="C308">
        <v>48.5</v>
      </c>
    </row>
    <row r="309" spans="1:3">
      <c r="A309" s="392">
        <v>44145.059027777781</v>
      </c>
      <c r="B309">
        <v>20.6</v>
      </c>
      <c r="C309">
        <v>48.5</v>
      </c>
    </row>
    <row r="310" spans="1:3">
      <c r="A310" s="392">
        <v>44145.0625</v>
      </c>
      <c r="B310">
        <v>20.7</v>
      </c>
      <c r="C310">
        <v>48.3</v>
      </c>
    </row>
    <row r="311" spans="1:3">
      <c r="A311" s="392">
        <v>44145.065972222219</v>
      </c>
      <c r="B311">
        <v>20.6</v>
      </c>
      <c r="C311">
        <v>48.4</v>
      </c>
    </row>
    <row r="312" spans="1:3">
      <c r="A312" s="392">
        <v>44145.069444444445</v>
      </c>
      <c r="B312">
        <v>20.6</v>
      </c>
      <c r="C312">
        <v>48.4</v>
      </c>
    </row>
    <row r="313" spans="1:3">
      <c r="A313" s="392">
        <v>44145.072916666664</v>
      </c>
      <c r="B313">
        <v>20.6</v>
      </c>
      <c r="C313">
        <v>48.4</v>
      </c>
    </row>
    <row r="314" spans="1:3">
      <c r="A314" s="392">
        <v>44145.076388888891</v>
      </c>
      <c r="B314">
        <v>20.7</v>
      </c>
      <c r="C314">
        <v>48.4</v>
      </c>
    </row>
    <row r="315" spans="1:3">
      <c r="A315" s="392">
        <v>44145.079861111109</v>
      </c>
      <c r="B315">
        <v>20.6</v>
      </c>
      <c r="C315">
        <v>48.4</v>
      </c>
    </row>
    <row r="316" spans="1:3">
      <c r="A316" s="392">
        <v>44145.083333333336</v>
      </c>
      <c r="B316">
        <v>20.6</v>
      </c>
      <c r="C316">
        <v>48.4</v>
      </c>
    </row>
    <row r="317" spans="1:3">
      <c r="A317" s="392">
        <v>44145.086805555555</v>
      </c>
      <c r="B317">
        <v>20.6</v>
      </c>
      <c r="C317">
        <v>48.4</v>
      </c>
    </row>
    <row r="318" spans="1:3">
      <c r="A318" s="392">
        <v>44145.090277777781</v>
      </c>
      <c r="B318">
        <v>20.6</v>
      </c>
      <c r="C318">
        <v>48.4</v>
      </c>
    </row>
    <row r="319" spans="1:3">
      <c r="A319" s="392">
        <v>44145.09375</v>
      </c>
      <c r="B319">
        <v>20.6</v>
      </c>
      <c r="C319">
        <v>48.4</v>
      </c>
    </row>
    <row r="320" spans="1:3">
      <c r="A320" s="392">
        <v>44145.097222222219</v>
      </c>
      <c r="B320">
        <v>20.6</v>
      </c>
      <c r="C320">
        <v>48.5</v>
      </c>
    </row>
    <row r="321" spans="1:3">
      <c r="A321" s="392">
        <v>44145.100694444445</v>
      </c>
      <c r="B321">
        <v>20.6</v>
      </c>
      <c r="C321">
        <v>48.5</v>
      </c>
    </row>
    <row r="322" spans="1:3">
      <c r="A322" s="392">
        <v>44145.104166666664</v>
      </c>
      <c r="B322">
        <v>20.6</v>
      </c>
      <c r="C322">
        <v>48.5</v>
      </c>
    </row>
    <row r="323" spans="1:3">
      <c r="A323" s="392">
        <v>44145.107638888891</v>
      </c>
      <c r="B323">
        <v>20.7</v>
      </c>
      <c r="C323">
        <v>48.4</v>
      </c>
    </row>
    <row r="324" spans="1:3">
      <c r="A324" s="392">
        <v>44145.111111111109</v>
      </c>
      <c r="B324">
        <v>20.7</v>
      </c>
      <c r="C324">
        <v>48.4</v>
      </c>
    </row>
    <row r="325" spans="1:3">
      <c r="A325" s="392">
        <v>44145.114583333336</v>
      </c>
      <c r="B325">
        <v>20.6</v>
      </c>
      <c r="C325">
        <v>48.5</v>
      </c>
    </row>
    <row r="326" spans="1:3">
      <c r="A326" s="392">
        <v>44145.118055555555</v>
      </c>
      <c r="B326">
        <v>20.6</v>
      </c>
      <c r="C326">
        <v>48.4</v>
      </c>
    </row>
    <row r="327" spans="1:3">
      <c r="A327" s="392">
        <v>44145.121527777781</v>
      </c>
      <c r="B327">
        <v>20.6</v>
      </c>
      <c r="C327">
        <v>48.5</v>
      </c>
    </row>
    <row r="328" spans="1:3">
      <c r="A328" s="392">
        <v>44145.125</v>
      </c>
      <c r="B328">
        <v>20.6</v>
      </c>
      <c r="C328">
        <v>48.5</v>
      </c>
    </row>
    <row r="329" spans="1:3">
      <c r="A329" s="392">
        <v>44145.128472222219</v>
      </c>
      <c r="B329">
        <v>20.6</v>
      </c>
      <c r="C329">
        <v>48.5</v>
      </c>
    </row>
    <row r="330" spans="1:3">
      <c r="A330" s="392">
        <v>44145.131944444445</v>
      </c>
      <c r="B330">
        <v>20.6</v>
      </c>
      <c r="C330">
        <v>48.6</v>
      </c>
    </row>
    <row r="331" spans="1:3">
      <c r="A331" s="392">
        <v>44145.135416666664</v>
      </c>
      <c r="B331">
        <v>20.6</v>
      </c>
      <c r="C331">
        <v>48.5</v>
      </c>
    </row>
    <row r="332" spans="1:3">
      <c r="A332" s="392">
        <v>44145.138888888891</v>
      </c>
      <c r="B332">
        <v>20.6</v>
      </c>
      <c r="C332">
        <v>48.6</v>
      </c>
    </row>
    <row r="333" spans="1:3">
      <c r="A333" s="392">
        <v>44145.142361111109</v>
      </c>
      <c r="B333">
        <v>20.6</v>
      </c>
      <c r="C333">
        <v>48.6</v>
      </c>
    </row>
    <row r="334" spans="1:3">
      <c r="A334" s="392">
        <v>44145.145833333336</v>
      </c>
      <c r="B334">
        <v>20.6</v>
      </c>
      <c r="C334">
        <v>48.6</v>
      </c>
    </row>
    <row r="335" spans="1:3">
      <c r="A335" s="392">
        <v>44145.149305555555</v>
      </c>
      <c r="B335">
        <v>20.6</v>
      </c>
      <c r="C335">
        <v>48.7</v>
      </c>
    </row>
    <row r="336" spans="1:3">
      <c r="A336" s="392">
        <v>44145.152777777781</v>
      </c>
      <c r="B336">
        <v>20.6</v>
      </c>
      <c r="C336">
        <v>48.6</v>
      </c>
    </row>
    <row r="337" spans="1:3">
      <c r="A337" s="392">
        <v>44145.15625</v>
      </c>
      <c r="B337">
        <v>20.6</v>
      </c>
      <c r="C337">
        <v>48.7</v>
      </c>
    </row>
    <row r="338" spans="1:3">
      <c r="A338" s="392">
        <v>44145.159722222219</v>
      </c>
      <c r="B338">
        <v>20.6</v>
      </c>
      <c r="C338">
        <v>48.8</v>
      </c>
    </row>
    <row r="339" spans="1:3">
      <c r="A339" s="392">
        <v>44145.163194444445</v>
      </c>
      <c r="B339">
        <v>20.6</v>
      </c>
      <c r="C339">
        <v>48.8</v>
      </c>
    </row>
    <row r="340" spans="1:3">
      <c r="A340" s="392">
        <v>44145.166666666664</v>
      </c>
      <c r="B340">
        <v>20.6</v>
      </c>
      <c r="C340">
        <v>48.8</v>
      </c>
    </row>
    <row r="341" spans="1:3">
      <c r="A341" s="392">
        <v>44145.170138888891</v>
      </c>
      <c r="B341">
        <v>20.6</v>
      </c>
      <c r="C341">
        <v>48.8</v>
      </c>
    </row>
    <row r="342" spans="1:3">
      <c r="A342" s="392">
        <v>44145.173611111109</v>
      </c>
      <c r="B342">
        <v>20.6</v>
      </c>
      <c r="C342">
        <v>48.9</v>
      </c>
    </row>
    <row r="343" spans="1:3">
      <c r="A343" s="392">
        <v>44145.177083333336</v>
      </c>
      <c r="B343">
        <v>20.6</v>
      </c>
      <c r="C343">
        <v>48.9</v>
      </c>
    </row>
    <row r="344" spans="1:3">
      <c r="A344" s="392">
        <v>44145.180555555555</v>
      </c>
      <c r="B344">
        <v>20.7</v>
      </c>
      <c r="C344">
        <v>48.8</v>
      </c>
    </row>
    <row r="345" spans="1:3">
      <c r="A345" s="392">
        <v>44145.184027777781</v>
      </c>
      <c r="B345">
        <v>20.6</v>
      </c>
      <c r="C345">
        <v>48.8</v>
      </c>
    </row>
    <row r="346" spans="1:3">
      <c r="A346" s="392">
        <v>44145.1875</v>
      </c>
      <c r="B346">
        <v>20.6</v>
      </c>
      <c r="C346">
        <v>48.8</v>
      </c>
    </row>
    <row r="347" spans="1:3">
      <c r="A347" s="392">
        <v>44145.190972222219</v>
      </c>
      <c r="B347">
        <v>20.6</v>
      </c>
      <c r="C347">
        <v>48.9</v>
      </c>
    </row>
    <row r="348" spans="1:3">
      <c r="A348" s="392">
        <v>44145.194444444445</v>
      </c>
      <c r="B348">
        <v>20.6</v>
      </c>
      <c r="C348">
        <v>48.8</v>
      </c>
    </row>
    <row r="349" spans="1:3">
      <c r="A349" s="392">
        <v>44145.197916666664</v>
      </c>
      <c r="B349">
        <v>20.6</v>
      </c>
      <c r="C349">
        <v>48.8</v>
      </c>
    </row>
    <row r="350" spans="1:3">
      <c r="A350" s="392">
        <v>44145.201388888891</v>
      </c>
      <c r="B350">
        <v>20.6</v>
      </c>
      <c r="C350">
        <v>48.9</v>
      </c>
    </row>
    <row r="351" spans="1:3">
      <c r="A351" s="392">
        <v>44145.204861111109</v>
      </c>
      <c r="B351">
        <v>20.6</v>
      </c>
      <c r="C351">
        <v>48.9</v>
      </c>
    </row>
    <row r="352" spans="1:3">
      <c r="A352" s="392">
        <v>44145.208333333336</v>
      </c>
      <c r="B352">
        <v>20.6</v>
      </c>
      <c r="C352">
        <v>48.9</v>
      </c>
    </row>
    <row r="353" spans="1:3">
      <c r="A353" s="392">
        <v>44145.211805555555</v>
      </c>
      <c r="B353">
        <v>20.6</v>
      </c>
      <c r="C353">
        <v>48.9</v>
      </c>
    </row>
    <row r="354" spans="1:3">
      <c r="A354" s="392">
        <v>44145.215277777781</v>
      </c>
      <c r="B354">
        <v>20.6</v>
      </c>
      <c r="C354">
        <v>48.9</v>
      </c>
    </row>
    <row r="355" spans="1:3">
      <c r="A355" s="392">
        <v>44145.21875</v>
      </c>
      <c r="B355">
        <v>20.6</v>
      </c>
      <c r="C355">
        <v>48.8</v>
      </c>
    </row>
    <row r="356" spans="1:3">
      <c r="A356" s="392">
        <v>44145.222222222219</v>
      </c>
      <c r="B356">
        <v>20.6</v>
      </c>
      <c r="C356">
        <v>48.8</v>
      </c>
    </row>
    <row r="357" spans="1:3">
      <c r="A357" s="392">
        <v>44145.225694444445</v>
      </c>
      <c r="B357">
        <v>20.6</v>
      </c>
      <c r="C357">
        <v>48.8</v>
      </c>
    </row>
    <row r="358" spans="1:3">
      <c r="A358" s="392">
        <v>44145.229166666664</v>
      </c>
      <c r="B358">
        <v>20.6</v>
      </c>
      <c r="C358">
        <v>48.8</v>
      </c>
    </row>
    <row r="359" spans="1:3">
      <c r="A359" s="392">
        <v>44145.232638888891</v>
      </c>
      <c r="B359">
        <v>20.6</v>
      </c>
      <c r="C359">
        <v>48.8</v>
      </c>
    </row>
    <row r="360" spans="1:3">
      <c r="A360" s="392">
        <v>44145.236111111109</v>
      </c>
      <c r="B360">
        <v>20.6</v>
      </c>
      <c r="C360">
        <v>48.8</v>
      </c>
    </row>
    <row r="361" spans="1:3">
      <c r="A361" s="392">
        <v>44145.239583333336</v>
      </c>
      <c r="B361">
        <v>20.6</v>
      </c>
      <c r="C361">
        <v>48.9</v>
      </c>
    </row>
    <row r="362" spans="1:3">
      <c r="A362" s="392">
        <v>44145.243055555555</v>
      </c>
      <c r="B362">
        <v>20.6</v>
      </c>
      <c r="C362">
        <v>48.8</v>
      </c>
    </row>
    <row r="363" spans="1:3">
      <c r="A363" s="392">
        <v>44145.246527777781</v>
      </c>
      <c r="B363">
        <v>20.6</v>
      </c>
      <c r="C363">
        <v>48.9</v>
      </c>
    </row>
    <row r="364" spans="1:3">
      <c r="A364" s="392">
        <v>44145.25</v>
      </c>
      <c r="B364">
        <v>20.6</v>
      </c>
      <c r="C364">
        <v>48.8</v>
      </c>
    </row>
    <row r="365" spans="1:3">
      <c r="A365" s="392">
        <v>44145.253472222219</v>
      </c>
      <c r="B365">
        <v>20.7</v>
      </c>
      <c r="C365">
        <v>48.8</v>
      </c>
    </row>
    <row r="366" spans="1:3">
      <c r="A366" s="392">
        <v>44145.256944444445</v>
      </c>
      <c r="B366">
        <v>20.7</v>
      </c>
      <c r="C366">
        <v>48.7</v>
      </c>
    </row>
    <row r="367" spans="1:3">
      <c r="A367" s="392">
        <v>44145.260416666664</v>
      </c>
      <c r="B367">
        <v>20.6</v>
      </c>
      <c r="C367">
        <v>48.8</v>
      </c>
    </row>
    <row r="368" spans="1:3">
      <c r="A368" s="392">
        <v>44145.263888888891</v>
      </c>
      <c r="B368">
        <v>20.6</v>
      </c>
      <c r="C368">
        <v>48.9</v>
      </c>
    </row>
    <row r="369" spans="1:3">
      <c r="A369" s="392">
        <v>44145.267361111109</v>
      </c>
      <c r="B369">
        <v>20.6</v>
      </c>
      <c r="C369">
        <v>48.8</v>
      </c>
    </row>
    <row r="370" spans="1:3">
      <c r="A370" s="392">
        <v>44145.270833333336</v>
      </c>
      <c r="B370">
        <v>20.6</v>
      </c>
      <c r="C370">
        <v>48.8</v>
      </c>
    </row>
    <row r="371" spans="1:3">
      <c r="A371" s="392">
        <v>44145.274305555555</v>
      </c>
      <c r="B371">
        <v>20.6</v>
      </c>
      <c r="C371">
        <v>48.8</v>
      </c>
    </row>
    <row r="372" spans="1:3">
      <c r="A372" s="392">
        <v>44145.277777777781</v>
      </c>
      <c r="B372">
        <v>20.6</v>
      </c>
      <c r="C372">
        <v>48.9</v>
      </c>
    </row>
    <row r="373" spans="1:3">
      <c r="A373" s="392">
        <v>44145.28125</v>
      </c>
      <c r="B373">
        <v>20.6</v>
      </c>
      <c r="C373">
        <v>48.9</v>
      </c>
    </row>
    <row r="374" spans="1:3">
      <c r="A374" s="392">
        <v>44145.284722222219</v>
      </c>
      <c r="B374">
        <v>20.6</v>
      </c>
      <c r="C374">
        <v>48.8</v>
      </c>
    </row>
    <row r="375" spans="1:3">
      <c r="A375" s="392">
        <v>44145.288194444445</v>
      </c>
      <c r="B375">
        <v>20.6</v>
      </c>
      <c r="C375">
        <v>48.8</v>
      </c>
    </row>
    <row r="376" spans="1:3">
      <c r="A376" s="392">
        <v>44145.291666666664</v>
      </c>
      <c r="B376">
        <v>20.7</v>
      </c>
      <c r="C376">
        <v>48.7</v>
      </c>
    </row>
    <row r="377" spans="1:3">
      <c r="A377" s="392">
        <v>44145.295138888891</v>
      </c>
      <c r="B377">
        <v>20.6</v>
      </c>
      <c r="C377">
        <v>48.7</v>
      </c>
    </row>
    <row r="378" spans="1:3">
      <c r="A378" s="392">
        <v>44145.298611111109</v>
      </c>
      <c r="B378">
        <v>20.6</v>
      </c>
      <c r="C378">
        <v>48.8</v>
      </c>
    </row>
    <row r="379" spans="1:3">
      <c r="A379" s="392">
        <v>44145.302083333336</v>
      </c>
      <c r="B379">
        <v>20.6</v>
      </c>
      <c r="C379">
        <v>48.8</v>
      </c>
    </row>
    <row r="380" spans="1:3">
      <c r="A380" s="392">
        <v>44145.305555555555</v>
      </c>
      <c r="B380">
        <v>20.6</v>
      </c>
      <c r="C380">
        <v>48.7</v>
      </c>
    </row>
    <row r="381" spans="1:3">
      <c r="A381" s="392">
        <v>44145.309027777781</v>
      </c>
      <c r="B381">
        <v>20.6</v>
      </c>
      <c r="C381">
        <v>48.8</v>
      </c>
    </row>
    <row r="382" spans="1:3">
      <c r="A382" s="392">
        <v>44145.3125</v>
      </c>
      <c r="B382">
        <v>20.6</v>
      </c>
      <c r="C382">
        <v>48.8</v>
      </c>
    </row>
    <row r="383" spans="1:3">
      <c r="A383" s="392">
        <v>44145.315972222219</v>
      </c>
      <c r="B383">
        <v>20.6</v>
      </c>
      <c r="C383">
        <v>48.8</v>
      </c>
    </row>
    <row r="384" spans="1:3">
      <c r="A384" s="392">
        <v>44145.319444444445</v>
      </c>
      <c r="B384">
        <v>20.6</v>
      </c>
      <c r="C384">
        <v>48.8</v>
      </c>
    </row>
    <row r="385" spans="1:3">
      <c r="A385" s="392">
        <v>44145.322916666664</v>
      </c>
      <c r="B385">
        <v>20.6</v>
      </c>
      <c r="C385">
        <v>48.7</v>
      </c>
    </row>
    <row r="386" spans="1:3">
      <c r="A386" s="392">
        <v>44145.326388888891</v>
      </c>
      <c r="B386">
        <v>20.6</v>
      </c>
      <c r="C386">
        <v>48.7</v>
      </c>
    </row>
    <row r="387" spans="1:3">
      <c r="A387" s="392">
        <v>44145.329861111109</v>
      </c>
      <c r="B387">
        <v>20.6</v>
      </c>
      <c r="C387">
        <v>48.7</v>
      </c>
    </row>
    <row r="388" spans="1:3">
      <c r="A388" s="392">
        <v>44145.333333333336</v>
      </c>
      <c r="B388">
        <v>20.7</v>
      </c>
      <c r="C388">
        <v>48.6</v>
      </c>
    </row>
    <row r="389" spans="1:3">
      <c r="A389" s="392">
        <v>44145.336805555555</v>
      </c>
      <c r="B389">
        <v>20.6</v>
      </c>
      <c r="C389">
        <v>48.6</v>
      </c>
    </row>
    <row r="390" spans="1:3">
      <c r="A390" s="392">
        <v>44145.340277777781</v>
      </c>
      <c r="B390">
        <v>20.6</v>
      </c>
      <c r="C390">
        <v>48.7</v>
      </c>
    </row>
    <row r="391" spans="1:3">
      <c r="A391" s="392">
        <v>44145.34375</v>
      </c>
      <c r="B391">
        <v>20.6</v>
      </c>
      <c r="C391">
        <v>48.7</v>
      </c>
    </row>
    <row r="392" spans="1:3">
      <c r="A392" s="392">
        <v>44145.347222222219</v>
      </c>
      <c r="B392">
        <v>20.6</v>
      </c>
      <c r="C392">
        <v>48.6</v>
      </c>
    </row>
    <row r="393" spans="1:3">
      <c r="A393" s="392">
        <v>44145.350694444445</v>
      </c>
      <c r="B393">
        <v>20.6</v>
      </c>
      <c r="C393">
        <v>48.6</v>
      </c>
    </row>
    <row r="394" spans="1:3">
      <c r="A394" s="392">
        <v>44145.354166666664</v>
      </c>
      <c r="B394">
        <v>20.6</v>
      </c>
      <c r="C394">
        <v>48.7</v>
      </c>
    </row>
    <row r="395" spans="1:3">
      <c r="A395" s="392">
        <v>44145.357638888891</v>
      </c>
      <c r="B395">
        <v>20.7</v>
      </c>
      <c r="C395">
        <v>48.6</v>
      </c>
    </row>
    <row r="396" spans="1:3">
      <c r="A396" s="392">
        <v>44145.361111111109</v>
      </c>
      <c r="B396">
        <v>20.7</v>
      </c>
      <c r="C396">
        <v>48.6</v>
      </c>
    </row>
    <row r="397" spans="1:3">
      <c r="A397" s="392">
        <v>44145.364583333336</v>
      </c>
      <c r="B397">
        <v>20.6</v>
      </c>
      <c r="C397">
        <v>48.7</v>
      </c>
    </row>
    <row r="398" spans="1:3">
      <c r="A398" s="392">
        <v>44145.368055555555</v>
      </c>
      <c r="B398">
        <v>20.6</v>
      </c>
      <c r="C398">
        <v>48.7</v>
      </c>
    </row>
    <row r="399" spans="1:3">
      <c r="A399" s="392">
        <v>44145.371527777781</v>
      </c>
      <c r="B399">
        <v>20.6</v>
      </c>
      <c r="C399">
        <v>48.7</v>
      </c>
    </row>
    <row r="400" spans="1:3">
      <c r="A400" s="392">
        <v>44145.375</v>
      </c>
      <c r="B400">
        <v>20.6</v>
      </c>
      <c r="C400">
        <v>48.6</v>
      </c>
    </row>
    <row r="401" spans="1:3">
      <c r="A401" s="392">
        <v>44145.378472222219</v>
      </c>
      <c r="B401">
        <v>20.6</v>
      </c>
      <c r="C401">
        <v>48.7</v>
      </c>
    </row>
    <row r="402" spans="1:3">
      <c r="A402" s="392">
        <v>44145.381944444445</v>
      </c>
      <c r="B402">
        <v>20.6</v>
      </c>
      <c r="C402">
        <v>48.7</v>
      </c>
    </row>
    <row r="403" spans="1:3">
      <c r="A403" s="392">
        <v>44145.385416666664</v>
      </c>
      <c r="B403">
        <v>20.6</v>
      </c>
      <c r="C403">
        <v>48.7</v>
      </c>
    </row>
    <row r="404" spans="1:3">
      <c r="A404" s="392">
        <v>44145.388888888891</v>
      </c>
      <c r="B404">
        <v>20.6</v>
      </c>
      <c r="C404">
        <v>48.7</v>
      </c>
    </row>
    <row r="405" spans="1:3">
      <c r="A405" s="392">
        <v>44145.392361111109</v>
      </c>
      <c r="B405">
        <v>20.6</v>
      </c>
      <c r="C405">
        <v>48.7</v>
      </c>
    </row>
    <row r="406" spans="1:3">
      <c r="A406" s="392">
        <v>44145.395833333336</v>
      </c>
      <c r="B406">
        <v>20.6</v>
      </c>
      <c r="C406">
        <v>48.8</v>
      </c>
    </row>
    <row r="407" spans="1:3">
      <c r="A407" s="392">
        <v>44145.399305555555</v>
      </c>
      <c r="B407">
        <v>20.6</v>
      </c>
      <c r="C407">
        <v>48.7</v>
      </c>
    </row>
    <row r="408" spans="1:3">
      <c r="A408" s="392">
        <v>44145.402777777781</v>
      </c>
      <c r="B408">
        <v>20.6</v>
      </c>
      <c r="C408">
        <v>48.8</v>
      </c>
    </row>
    <row r="409" spans="1:3">
      <c r="A409" s="392">
        <v>44145.40625</v>
      </c>
      <c r="B409">
        <v>20.6</v>
      </c>
      <c r="C409">
        <v>48.9</v>
      </c>
    </row>
    <row r="410" spans="1:3">
      <c r="A410" s="392">
        <v>44145.409722222219</v>
      </c>
      <c r="B410">
        <v>20.7</v>
      </c>
      <c r="C410">
        <v>48.8</v>
      </c>
    </row>
    <row r="411" spans="1:3">
      <c r="A411" s="392">
        <v>44145.413194444445</v>
      </c>
      <c r="B411">
        <v>20.6</v>
      </c>
      <c r="C411">
        <v>48.9</v>
      </c>
    </row>
    <row r="412" spans="1:3">
      <c r="A412" s="392">
        <v>44145.416666666664</v>
      </c>
      <c r="B412">
        <v>20.6</v>
      </c>
      <c r="C412">
        <v>48.9</v>
      </c>
    </row>
    <row r="413" spans="1:3">
      <c r="A413" s="392">
        <v>44145.420138888891</v>
      </c>
      <c r="B413">
        <v>20.6</v>
      </c>
      <c r="C413">
        <v>49.1</v>
      </c>
    </row>
    <row r="414" spans="1:3">
      <c r="A414" s="392">
        <v>44145.423611111109</v>
      </c>
      <c r="B414">
        <v>20.6</v>
      </c>
      <c r="C414">
        <v>49.1</v>
      </c>
    </row>
    <row r="415" spans="1:3">
      <c r="A415" s="392">
        <v>44145.427083333336</v>
      </c>
      <c r="B415">
        <v>20.6</v>
      </c>
      <c r="C415">
        <v>49</v>
      </c>
    </row>
    <row r="416" spans="1:3">
      <c r="A416" s="392">
        <v>44145.430555555555</v>
      </c>
      <c r="B416">
        <v>20.6</v>
      </c>
      <c r="C416">
        <v>49.1</v>
      </c>
    </row>
    <row r="417" spans="1:3">
      <c r="A417" s="392">
        <v>44145.434027777781</v>
      </c>
      <c r="B417">
        <v>20.6</v>
      </c>
      <c r="C417">
        <v>49.1</v>
      </c>
    </row>
    <row r="418" spans="1:3">
      <c r="A418" s="392">
        <v>44145.4375</v>
      </c>
      <c r="B418">
        <v>20.6</v>
      </c>
      <c r="C418">
        <v>49.1</v>
      </c>
    </row>
    <row r="419" spans="1:3">
      <c r="A419" s="392">
        <v>44145.440972222219</v>
      </c>
      <c r="B419">
        <v>20.6</v>
      </c>
      <c r="C419">
        <v>49.1</v>
      </c>
    </row>
    <row r="420" spans="1:3">
      <c r="A420" s="392">
        <v>44145.444444444445</v>
      </c>
      <c r="B420">
        <v>20.7</v>
      </c>
      <c r="C420">
        <v>49.1</v>
      </c>
    </row>
    <row r="421" spans="1:3">
      <c r="A421" s="392">
        <v>44145.447916666664</v>
      </c>
      <c r="B421">
        <v>20.6</v>
      </c>
      <c r="C421">
        <v>49.2</v>
      </c>
    </row>
    <row r="422" spans="1:3">
      <c r="A422" s="392">
        <v>44145.451388888891</v>
      </c>
      <c r="B422">
        <v>20.6</v>
      </c>
      <c r="C422">
        <v>49.2</v>
      </c>
    </row>
    <row r="423" spans="1:3">
      <c r="A423" s="392">
        <v>44145.454861111109</v>
      </c>
      <c r="B423">
        <v>20.6</v>
      </c>
      <c r="C423">
        <v>49.2</v>
      </c>
    </row>
    <row r="424" spans="1:3">
      <c r="A424" s="392">
        <v>44145.458333333336</v>
      </c>
      <c r="B424">
        <v>20.6</v>
      </c>
      <c r="C424">
        <v>49.2</v>
      </c>
    </row>
    <row r="425" spans="1:3">
      <c r="A425" s="392">
        <v>44145.461805555555</v>
      </c>
      <c r="B425">
        <v>20.6</v>
      </c>
      <c r="C425">
        <v>49.1</v>
      </c>
    </row>
    <row r="426" spans="1:3">
      <c r="A426" s="392">
        <v>44145.465277777781</v>
      </c>
      <c r="B426">
        <v>20.7</v>
      </c>
      <c r="C426">
        <v>49.1</v>
      </c>
    </row>
    <row r="427" spans="1:3">
      <c r="A427" s="392">
        <v>44145.46875</v>
      </c>
      <c r="B427">
        <v>20.6</v>
      </c>
      <c r="C427">
        <v>49.1</v>
      </c>
    </row>
    <row r="428" spans="1:3">
      <c r="A428" s="392">
        <v>44145.472222222219</v>
      </c>
      <c r="B428">
        <v>20.7</v>
      </c>
      <c r="C428">
        <v>49.1</v>
      </c>
    </row>
    <row r="429" spans="1:3">
      <c r="A429" s="392">
        <v>44145.475694444445</v>
      </c>
      <c r="B429">
        <v>20.6</v>
      </c>
      <c r="C429">
        <v>49.1</v>
      </c>
    </row>
    <row r="430" spans="1:3">
      <c r="A430" s="392">
        <v>44145.479166666664</v>
      </c>
      <c r="B430">
        <v>20.6</v>
      </c>
      <c r="C430">
        <v>49.1</v>
      </c>
    </row>
    <row r="431" spans="1:3">
      <c r="A431" s="392">
        <v>44145.482638888891</v>
      </c>
      <c r="B431">
        <v>20.6</v>
      </c>
      <c r="C431">
        <v>49</v>
      </c>
    </row>
    <row r="432" spans="1:3">
      <c r="A432" s="392">
        <v>44145.486111111109</v>
      </c>
      <c r="B432">
        <v>20.6</v>
      </c>
      <c r="C432">
        <v>49</v>
      </c>
    </row>
    <row r="433" spans="1:3">
      <c r="A433" s="392">
        <v>44145.489583333336</v>
      </c>
      <c r="B433">
        <v>20.6</v>
      </c>
      <c r="C433">
        <v>49</v>
      </c>
    </row>
    <row r="434" spans="1:3">
      <c r="A434" s="392">
        <v>44145.493055555555</v>
      </c>
      <c r="B434">
        <v>20.6</v>
      </c>
      <c r="C434">
        <v>49</v>
      </c>
    </row>
    <row r="435" spans="1:3">
      <c r="A435" s="392">
        <v>44145.496527777781</v>
      </c>
      <c r="B435">
        <v>20.6</v>
      </c>
      <c r="C435">
        <v>48.9</v>
      </c>
    </row>
    <row r="436" spans="1:3">
      <c r="A436" s="392">
        <v>44145.5</v>
      </c>
      <c r="B436">
        <v>20.7</v>
      </c>
      <c r="C436">
        <v>48.9</v>
      </c>
    </row>
    <row r="437" spans="1:3">
      <c r="A437" s="392">
        <v>44145.503472222219</v>
      </c>
      <c r="B437">
        <v>20.6</v>
      </c>
      <c r="C437">
        <v>48.9</v>
      </c>
    </row>
    <row r="438" spans="1:3">
      <c r="A438" s="392">
        <v>44145.506944444445</v>
      </c>
      <c r="B438">
        <v>20.7</v>
      </c>
      <c r="C438">
        <v>48.8</v>
      </c>
    </row>
    <row r="439" spans="1:3">
      <c r="A439" s="392">
        <v>44145.510416666664</v>
      </c>
      <c r="B439">
        <v>20.6</v>
      </c>
      <c r="C439">
        <v>48.9</v>
      </c>
    </row>
    <row r="440" spans="1:3">
      <c r="A440" s="392">
        <v>44145.513888888891</v>
      </c>
      <c r="B440">
        <v>20.6</v>
      </c>
      <c r="C440">
        <v>48.8</v>
      </c>
    </row>
    <row r="441" spans="1:3">
      <c r="A441" s="392">
        <v>44145.517361111109</v>
      </c>
      <c r="B441">
        <v>20.6</v>
      </c>
      <c r="C441">
        <v>48.8</v>
      </c>
    </row>
    <row r="442" spans="1:3">
      <c r="A442" s="392">
        <v>44145.520833333336</v>
      </c>
      <c r="B442">
        <v>20.6</v>
      </c>
      <c r="C442">
        <v>48.8</v>
      </c>
    </row>
    <row r="443" spans="1:3">
      <c r="A443" s="392">
        <v>44145.524305555555</v>
      </c>
      <c r="B443">
        <v>20.7</v>
      </c>
      <c r="C443">
        <v>48.7</v>
      </c>
    </row>
    <row r="444" spans="1:3">
      <c r="A444" s="392">
        <v>44145.527777777781</v>
      </c>
      <c r="B444">
        <v>20.7</v>
      </c>
      <c r="C444">
        <v>48.7</v>
      </c>
    </row>
    <row r="445" spans="1:3">
      <c r="A445" s="392">
        <v>44145.53125</v>
      </c>
      <c r="B445">
        <v>20.7</v>
      </c>
      <c r="C445">
        <v>49</v>
      </c>
    </row>
    <row r="446" spans="1:3">
      <c r="A446" s="392">
        <v>44145.534722222219</v>
      </c>
      <c r="B446">
        <v>20.7</v>
      </c>
      <c r="C446">
        <v>49.1</v>
      </c>
    </row>
    <row r="447" spans="1:3">
      <c r="A447" s="392">
        <v>44145.538194444445</v>
      </c>
      <c r="B447">
        <v>20.7</v>
      </c>
      <c r="C447">
        <v>49.3</v>
      </c>
    </row>
    <row r="448" spans="1:3">
      <c r="A448" s="392">
        <v>44145.541666666664</v>
      </c>
      <c r="B448">
        <v>20.7</v>
      </c>
      <c r="C448">
        <v>49.3</v>
      </c>
    </row>
    <row r="449" spans="1:3">
      <c r="A449" s="392">
        <v>44145.545138888891</v>
      </c>
      <c r="B449">
        <v>20.8</v>
      </c>
      <c r="C449">
        <v>49.2</v>
      </c>
    </row>
    <row r="450" spans="1:3">
      <c r="A450" s="392">
        <v>44145.548611111109</v>
      </c>
      <c r="B450">
        <v>20.7</v>
      </c>
      <c r="C450">
        <v>49.5</v>
      </c>
    </row>
    <row r="451" spans="1:3">
      <c r="A451" s="392">
        <v>44145.552083333336</v>
      </c>
      <c r="B451">
        <v>20.6</v>
      </c>
      <c r="C451">
        <v>49.7</v>
      </c>
    </row>
    <row r="452" spans="1:3">
      <c r="A452" s="392">
        <v>44145.555555555555</v>
      </c>
      <c r="B452">
        <v>20.6</v>
      </c>
      <c r="C452">
        <v>49.6</v>
      </c>
    </row>
    <row r="453" spans="1:3">
      <c r="A453" s="392">
        <v>44145.559027777781</v>
      </c>
      <c r="B453">
        <v>20.6</v>
      </c>
      <c r="C453">
        <v>49.6</v>
      </c>
    </row>
    <row r="454" spans="1:3">
      <c r="A454" s="392">
        <v>44145.5625</v>
      </c>
      <c r="B454">
        <v>20.6</v>
      </c>
      <c r="C454">
        <v>49.3</v>
      </c>
    </row>
    <row r="455" spans="1:3">
      <c r="A455" s="392">
        <v>44145.565972222219</v>
      </c>
      <c r="B455">
        <v>20.7</v>
      </c>
      <c r="C455">
        <v>49.1</v>
      </c>
    </row>
    <row r="456" spans="1:3">
      <c r="A456" s="392">
        <v>44145.569444444445</v>
      </c>
      <c r="B456">
        <v>20.7</v>
      </c>
      <c r="C456">
        <v>49</v>
      </c>
    </row>
    <row r="457" spans="1:3">
      <c r="A457" s="392">
        <v>44145.572916666664</v>
      </c>
      <c r="B457">
        <v>20.6</v>
      </c>
      <c r="C457">
        <v>49.1</v>
      </c>
    </row>
    <row r="458" spans="1:3">
      <c r="A458" s="392">
        <v>44145.576388888891</v>
      </c>
      <c r="B458">
        <v>20.7</v>
      </c>
      <c r="C458">
        <v>49.1</v>
      </c>
    </row>
    <row r="459" spans="1:3">
      <c r="A459" s="392">
        <v>44145.579861111109</v>
      </c>
      <c r="B459">
        <v>20.7</v>
      </c>
      <c r="C459">
        <v>49</v>
      </c>
    </row>
    <row r="460" spans="1:3">
      <c r="A460" s="392">
        <v>44145.583333333336</v>
      </c>
      <c r="B460">
        <v>20.7</v>
      </c>
      <c r="C460">
        <v>48.9</v>
      </c>
    </row>
    <row r="461" spans="1:3">
      <c r="A461" s="392">
        <v>44145.586805555555</v>
      </c>
      <c r="B461">
        <v>20.6</v>
      </c>
      <c r="C461">
        <v>49.1</v>
      </c>
    </row>
    <row r="462" spans="1:3">
      <c r="A462" s="392">
        <v>44145.590277777781</v>
      </c>
      <c r="B462">
        <v>20.7</v>
      </c>
      <c r="C462">
        <v>49.1</v>
      </c>
    </row>
    <row r="463" spans="1:3">
      <c r="A463" s="392">
        <v>44145.59375</v>
      </c>
      <c r="B463">
        <v>20.6</v>
      </c>
      <c r="C463">
        <v>49.2</v>
      </c>
    </row>
    <row r="464" spans="1:3">
      <c r="A464" s="392">
        <v>44145.597222222219</v>
      </c>
      <c r="B464">
        <v>20.7</v>
      </c>
      <c r="C464">
        <v>49.1</v>
      </c>
    </row>
    <row r="465" spans="1:3">
      <c r="A465" s="392">
        <v>44145.600694444445</v>
      </c>
      <c r="B465">
        <v>20.6</v>
      </c>
      <c r="C465">
        <v>49.3</v>
      </c>
    </row>
    <row r="466" spans="1:3">
      <c r="A466" s="392">
        <v>44145.604166666664</v>
      </c>
      <c r="B466">
        <v>20.6</v>
      </c>
      <c r="C466">
        <v>49.2</v>
      </c>
    </row>
    <row r="467" spans="1:3">
      <c r="A467" s="392">
        <v>44145.607638888891</v>
      </c>
      <c r="B467">
        <v>20.6</v>
      </c>
      <c r="C467">
        <v>49.2</v>
      </c>
    </row>
    <row r="468" spans="1:3">
      <c r="A468" s="392">
        <v>44145.611111111109</v>
      </c>
      <c r="B468">
        <v>20.6</v>
      </c>
      <c r="C468">
        <v>49.2</v>
      </c>
    </row>
    <row r="469" spans="1:3">
      <c r="A469" s="392">
        <v>44145.614583333336</v>
      </c>
      <c r="B469">
        <v>20.7</v>
      </c>
      <c r="C469">
        <v>49.1</v>
      </c>
    </row>
    <row r="470" spans="1:3">
      <c r="A470" s="392">
        <v>44145.618055555555</v>
      </c>
      <c r="B470">
        <v>20.7</v>
      </c>
      <c r="C470">
        <v>49</v>
      </c>
    </row>
    <row r="471" spans="1:3">
      <c r="A471" s="392">
        <v>44145.621527777781</v>
      </c>
      <c r="B471">
        <v>20.7</v>
      </c>
      <c r="C471">
        <v>49.2</v>
      </c>
    </row>
    <row r="472" spans="1:3">
      <c r="A472" s="392">
        <v>44145.625</v>
      </c>
      <c r="B472">
        <v>20.7</v>
      </c>
      <c r="C472">
        <v>49.2</v>
      </c>
    </row>
    <row r="473" spans="1:3">
      <c r="A473" s="392">
        <v>44145.628472222219</v>
      </c>
      <c r="B473">
        <v>20.6</v>
      </c>
      <c r="C473">
        <v>49.2</v>
      </c>
    </row>
    <row r="474" spans="1:3">
      <c r="A474" s="392">
        <v>44145.631944444445</v>
      </c>
      <c r="B474">
        <v>20.6</v>
      </c>
      <c r="C474">
        <v>49.3</v>
      </c>
    </row>
    <row r="475" spans="1:3">
      <c r="A475" s="392">
        <v>44145.635416666664</v>
      </c>
      <c r="B475">
        <v>20.6</v>
      </c>
      <c r="C475">
        <v>49.2</v>
      </c>
    </row>
    <row r="476" spans="1:3">
      <c r="A476" s="392">
        <v>44145.638888888891</v>
      </c>
      <c r="B476">
        <v>20.6</v>
      </c>
      <c r="C476">
        <v>49.2</v>
      </c>
    </row>
    <row r="477" spans="1:3">
      <c r="A477" s="392">
        <v>44145.642361111109</v>
      </c>
      <c r="B477">
        <v>20.6</v>
      </c>
      <c r="C477">
        <v>49.2</v>
      </c>
    </row>
    <row r="478" spans="1:3">
      <c r="A478" s="392">
        <v>44145.645833333336</v>
      </c>
      <c r="B478">
        <v>20.6</v>
      </c>
      <c r="C478">
        <v>49.1</v>
      </c>
    </row>
    <row r="479" spans="1:3">
      <c r="A479" s="392">
        <v>44145.649305555555</v>
      </c>
      <c r="B479">
        <v>20.6</v>
      </c>
      <c r="C479">
        <v>49.1</v>
      </c>
    </row>
    <row r="480" spans="1:3">
      <c r="A480" s="392">
        <v>44145.652777777781</v>
      </c>
      <c r="B480">
        <v>20.7</v>
      </c>
      <c r="C480">
        <v>49.2</v>
      </c>
    </row>
    <row r="481" spans="1:3">
      <c r="A481" s="392">
        <v>44145.65625</v>
      </c>
      <c r="B481">
        <v>20.6</v>
      </c>
      <c r="C481">
        <v>49.2</v>
      </c>
    </row>
    <row r="482" spans="1:3">
      <c r="A482" s="392">
        <v>44145.659722222219</v>
      </c>
      <c r="B482">
        <v>20.6</v>
      </c>
      <c r="C482">
        <v>49.3</v>
      </c>
    </row>
    <row r="483" spans="1:3">
      <c r="A483" s="392">
        <v>44145.663194444445</v>
      </c>
      <c r="B483">
        <v>20.6</v>
      </c>
      <c r="C483">
        <v>49.3</v>
      </c>
    </row>
    <row r="484" spans="1:3">
      <c r="A484" s="392">
        <v>44145.666666666664</v>
      </c>
      <c r="B484">
        <v>20.7</v>
      </c>
      <c r="C484">
        <v>49.3</v>
      </c>
    </row>
    <row r="485" spans="1:3">
      <c r="A485" s="392">
        <v>44145.670138888891</v>
      </c>
      <c r="B485">
        <v>20.6</v>
      </c>
      <c r="C485">
        <v>49.6</v>
      </c>
    </row>
    <row r="486" spans="1:3">
      <c r="A486" s="392">
        <v>44145.673611111109</v>
      </c>
      <c r="B486">
        <v>20.6</v>
      </c>
      <c r="C486">
        <v>49.4</v>
      </c>
    </row>
    <row r="487" spans="1:3">
      <c r="A487" s="392">
        <v>44145.677083333336</v>
      </c>
      <c r="B487">
        <v>20.7</v>
      </c>
      <c r="C487">
        <v>49.4</v>
      </c>
    </row>
    <row r="488" spans="1:3">
      <c r="A488" s="392">
        <v>44145.680555555555</v>
      </c>
      <c r="B488">
        <v>20.6</v>
      </c>
      <c r="C488">
        <v>49.5</v>
      </c>
    </row>
    <row r="489" spans="1:3">
      <c r="A489" s="392">
        <v>44145.684027777781</v>
      </c>
      <c r="B489">
        <v>20.7</v>
      </c>
      <c r="C489">
        <v>49.3</v>
      </c>
    </row>
    <row r="490" spans="1:3">
      <c r="A490" s="392">
        <v>44145.6875</v>
      </c>
      <c r="B490">
        <v>20.7</v>
      </c>
      <c r="C490">
        <v>49.4</v>
      </c>
    </row>
    <row r="491" spans="1:3">
      <c r="A491" s="392">
        <v>44145.690972222219</v>
      </c>
      <c r="B491">
        <v>20.7</v>
      </c>
      <c r="C491">
        <v>49.3</v>
      </c>
    </row>
    <row r="492" spans="1:3">
      <c r="A492" s="392">
        <v>44145.694444444445</v>
      </c>
      <c r="B492">
        <v>20.7</v>
      </c>
      <c r="C492">
        <v>49.2</v>
      </c>
    </row>
    <row r="493" spans="1:3">
      <c r="A493" s="392">
        <v>44145.697916666664</v>
      </c>
      <c r="B493">
        <v>20.6</v>
      </c>
      <c r="C493">
        <v>49.4</v>
      </c>
    </row>
    <row r="494" spans="1:3">
      <c r="A494" s="392">
        <v>44145.701388888891</v>
      </c>
      <c r="B494">
        <v>20.7</v>
      </c>
      <c r="C494">
        <v>49.3</v>
      </c>
    </row>
    <row r="495" spans="1:3">
      <c r="A495" s="392">
        <v>44145.704861111109</v>
      </c>
      <c r="B495">
        <v>20.7</v>
      </c>
      <c r="C495">
        <v>49.5</v>
      </c>
    </row>
    <row r="496" spans="1:3">
      <c r="A496" s="392">
        <v>44145.708333333336</v>
      </c>
      <c r="B496">
        <v>20.6</v>
      </c>
      <c r="C496">
        <v>49.6</v>
      </c>
    </row>
    <row r="497" spans="1:3">
      <c r="A497" s="392">
        <v>44145.711805555555</v>
      </c>
      <c r="B497">
        <v>20.6</v>
      </c>
      <c r="C497">
        <v>49.6</v>
      </c>
    </row>
    <row r="498" spans="1:3">
      <c r="A498" s="392">
        <v>44145.715277777781</v>
      </c>
      <c r="B498">
        <v>20.6</v>
      </c>
      <c r="C498">
        <v>49.5</v>
      </c>
    </row>
    <row r="499" spans="1:3">
      <c r="A499" s="392">
        <v>44145.71875</v>
      </c>
      <c r="B499">
        <v>20.6</v>
      </c>
      <c r="C499">
        <v>49.4</v>
      </c>
    </row>
    <row r="500" spans="1:3">
      <c r="A500" s="392">
        <v>44145.722222222219</v>
      </c>
      <c r="B500">
        <v>20.6</v>
      </c>
      <c r="C500">
        <v>49.5</v>
      </c>
    </row>
    <row r="501" spans="1:3">
      <c r="A501" s="392">
        <v>44145.725694444445</v>
      </c>
      <c r="B501">
        <v>20.6</v>
      </c>
      <c r="C501">
        <v>49.6</v>
      </c>
    </row>
    <row r="502" spans="1:3">
      <c r="A502" s="392">
        <v>44145.729166666664</v>
      </c>
      <c r="B502">
        <v>20.6</v>
      </c>
      <c r="C502">
        <v>49.5</v>
      </c>
    </row>
    <row r="503" spans="1:3">
      <c r="A503" s="392">
        <v>44145.732638888891</v>
      </c>
      <c r="B503">
        <v>20.6</v>
      </c>
      <c r="C503">
        <v>49.5</v>
      </c>
    </row>
    <row r="504" spans="1:3">
      <c r="A504" s="392">
        <v>44145.736111111109</v>
      </c>
      <c r="B504">
        <v>20.6</v>
      </c>
      <c r="C504">
        <v>49.4</v>
      </c>
    </row>
    <row r="505" spans="1:3">
      <c r="A505" s="392">
        <v>44145.739583333336</v>
      </c>
      <c r="B505">
        <v>20.6</v>
      </c>
      <c r="C505">
        <v>49.5</v>
      </c>
    </row>
    <row r="506" spans="1:3">
      <c r="A506" s="392">
        <v>44145.743055555555</v>
      </c>
      <c r="B506">
        <v>20.6</v>
      </c>
      <c r="C506">
        <v>49.4</v>
      </c>
    </row>
    <row r="507" spans="1:3">
      <c r="A507" s="392">
        <v>44145.746527777781</v>
      </c>
      <c r="B507">
        <v>20.6</v>
      </c>
      <c r="C507">
        <v>49.2</v>
      </c>
    </row>
    <row r="508" spans="1:3">
      <c r="A508" s="392">
        <v>44145.75</v>
      </c>
      <c r="B508">
        <v>20.6</v>
      </c>
      <c r="C508">
        <v>49.2</v>
      </c>
    </row>
    <row r="509" spans="1:3">
      <c r="A509" s="392">
        <v>44145.753472222219</v>
      </c>
      <c r="B509">
        <v>20.6</v>
      </c>
      <c r="C509">
        <v>49.1</v>
      </c>
    </row>
    <row r="510" spans="1:3">
      <c r="A510" s="392">
        <v>44145.756944444445</v>
      </c>
      <c r="B510">
        <v>20.6</v>
      </c>
      <c r="C510">
        <v>49</v>
      </c>
    </row>
    <row r="511" spans="1:3">
      <c r="A511" s="392">
        <v>44145.760416666664</v>
      </c>
      <c r="B511">
        <v>20.6</v>
      </c>
      <c r="C511">
        <v>49</v>
      </c>
    </row>
    <row r="512" spans="1:3">
      <c r="A512" s="392">
        <v>44145.763888888891</v>
      </c>
      <c r="B512">
        <v>20.6</v>
      </c>
      <c r="C512">
        <v>48.9</v>
      </c>
    </row>
    <row r="513" spans="1:3">
      <c r="A513" s="392">
        <v>44145.767361111109</v>
      </c>
      <c r="B513">
        <v>20.6</v>
      </c>
      <c r="C513">
        <v>49</v>
      </c>
    </row>
    <row r="514" spans="1:3">
      <c r="A514" s="392">
        <v>44145.770833333336</v>
      </c>
      <c r="B514">
        <v>20.6</v>
      </c>
      <c r="C514">
        <v>48.9</v>
      </c>
    </row>
    <row r="515" spans="1:3">
      <c r="A515" s="392">
        <v>44145.774305555555</v>
      </c>
      <c r="B515">
        <v>20.6</v>
      </c>
      <c r="C515">
        <v>48.9</v>
      </c>
    </row>
    <row r="516" spans="1:3">
      <c r="A516" s="392">
        <v>44145.777777777781</v>
      </c>
      <c r="B516">
        <v>20.6</v>
      </c>
      <c r="C516">
        <v>48.9</v>
      </c>
    </row>
    <row r="517" spans="1:3">
      <c r="A517" s="392">
        <v>44145.78125</v>
      </c>
      <c r="B517">
        <v>20.6</v>
      </c>
      <c r="C517">
        <v>48.7</v>
      </c>
    </row>
    <row r="518" spans="1:3">
      <c r="A518" s="392">
        <v>44145.784722222219</v>
      </c>
      <c r="B518">
        <v>20.6</v>
      </c>
      <c r="C518">
        <v>48.7</v>
      </c>
    </row>
    <row r="519" spans="1:3">
      <c r="A519" s="392">
        <v>44145.788194444445</v>
      </c>
      <c r="B519">
        <v>20.6</v>
      </c>
      <c r="C519">
        <v>48.7</v>
      </c>
    </row>
    <row r="520" spans="1:3">
      <c r="A520" s="392">
        <v>44145.791666666664</v>
      </c>
      <c r="B520">
        <v>20.6</v>
      </c>
      <c r="C520">
        <v>48.6</v>
      </c>
    </row>
    <row r="521" spans="1:3">
      <c r="A521" s="392">
        <v>44145.795138888891</v>
      </c>
      <c r="B521">
        <v>20.6</v>
      </c>
      <c r="C521">
        <v>48.7</v>
      </c>
    </row>
    <row r="522" spans="1:3">
      <c r="A522" s="392">
        <v>44145.798611111109</v>
      </c>
      <c r="B522">
        <v>20.6</v>
      </c>
      <c r="C522">
        <v>48.7</v>
      </c>
    </row>
    <row r="523" spans="1:3">
      <c r="A523" s="392">
        <v>44145.802083333336</v>
      </c>
      <c r="B523">
        <v>20.5</v>
      </c>
      <c r="C523">
        <v>48.8</v>
      </c>
    </row>
    <row r="524" spans="1:3">
      <c r="A524" s="392">
        <v>44145.805555555555</v>
      </c>
      <c r="B524">
        <v>20.6</v>
      </c>
      <c r="C524">
        <v>48.8</v>
      </c>
    </row>
    <row r="525" spans="1:3">
      <c r="A525" s="392">
        <v>44145.809027777781</v>
      </c>
      <c r="B525">
        <v>20.6</v>
      </c>
      <c r="C525">
        <v>48.6</v>
      </c>
    </row>
    <row r="526" spans="1:3">
      <c r="A526" s="392">
        <v>44145.8125</v>
      </c>
      <c r="B526">
        <v>20.6</v>
      </c>
      <c r="C526">
        <v>48.6</v>
      </c>
    </row>
    <row r="527" spans="1:3">
      <c r="A527" s="392">
        <v>44145.815972222219</v>
      </c>
      <c r="B527">
        <v>20.6</v>
      </c>
      <c r="C527">
        <v>48.6</v>
      </c>
    </row>
    <row r="528" spans="1:3">
      <c r="A528" s="392">
        <v>44145.819444444445</v>
      </c>
      <c r="B528">
        <v>20.6</v>
      </c>
      <c r="C528">
        <v>48.5</v>
      </c>
    </row>
    <row r="529" spans="1:3">
      <c r="A529" s="392">
        <v>44145.822916666664</v>
      </c>
      <c r="B529">
        <v>20.6</v>
      </c>
      <c r="C529">
        <v>48.6</v>
      </c>
    </row>
    <row r="530" spans="1:3">
      <c r="A530" s="392">
        <v>44145.826388888891</v>
      </c>
      <c r="B530">
        <v>20.6</v>
      </c>
      <c r="C530">
        <v>48.7</v>
      </c>
    </row>
    <row r="531" spans="1:3">
      <c r="A531" s="392">
        <v>44145.829861111109</v>
      </c>
      <c r="B531">
        <v>20.6</v>
      </c>
      <c r="C531">
        <v>48.6</v>
      </c>
    </row>
    <row r="532" spans="1:3">
      <c r="A532" s="392">
        <v>44145.833333333336</v>
      </c>
      <c r="B532">
        <v>20.6</v>
      </c>
      <c r="C532">
        <v>48.5</v>
      </c>
    </row>
    <row r="533" spans="1:3">
      <c r="A533" s="392">
        <v>44145.836805555555</v>
      </c>
      <c r="B533">
        <v>20.6</v>
      </c>
      <c r="C533">
        <v>48.5</v>
      </c>
    </row>
    <row r="534" spans="1:3">
      <c r="A534" s="392">
        <v>44145.840277777781</v>
      </c>
      <c r="B534">
        <v>20.6</v>
      </c>
      <c r="C534">
        <v>48.5</v>
      </c>
    </row>
    <row r="535" spans="1:3">
      <c r="A535" s="392">
        <v>44145.84375</v>
      </c>
      <c r="B535">
        <v>20.6</v>
      </c>
      <c r="C535">
        <v>48.5</v>
      </c>
    </row>
    <row r="536" spans="1:3">
      <c r="A536" s="392">
        <v>44145.847222222219</v>
      </c>
      <c r="B536">
        <v>20.6</v>
      </c>
      <c r="C536">
        <v>48.5</v>
      </c>
    </row>
    <row r="537" spans="1:3">
      <c r="A537" s="392">
        <v>44145.850694444445</v>
      </c>
      <c r="B537">
        <v>20.6</v>
      </c>
      <c r="C537">
        <v>48.5</v>
      </c>
    </row>
    <row r="538" spans="1:3">
      <c r="A538" s="392">
        <v>44145.854166666664</v>
      </c>
      <c r="B538">
        <v>20.6</v>
      </c>
      <c r="C538">
        <v>48.6</v>
      </c>
    </row>
    <row r="539" spans="1:3">
      <c r="A539" s="392">
        <v>44145.857638888891</v>
      </c>
      <c r="B539">
        <v>20.6</v>
      </c>
      <c r="C539">
        <v>48.6</v>
      </c>
    </row>
    <row r="540" spans="1:3">
      <c r="A540" s="392">
        <v>44145.861111111109</v>
      </c>
      <c r="B540">
        <v>20.6</v>
      </c>
      <c r="C540">
        <v>48.5</v>
      </c>
    </row>
    <row r="541" spans="1:3">
      <c r="A541" s="392">
        <v>44145.864583333336</v>
      </c>
      <c r="B541">
        <v>20.6</v>
      </c>
      <c r="C541">
        <v>48.4</v>
      </c>
    </row>
    <row r="542" spans="1:3">
      <c r="A542" s="392">
        <v>44145.868055555555</v>
      </c>
      <c r="B542">
        <v>20.6</v>
      </c>
      <c r="C542">
        <v>48.5</v>
      </c>
    </row>
    <row r="543" spans="1:3">
      <c r="A543" s="392">
        <v>44145.871527777781</v>
      </c>
      <c r="B543">
        <v>20.6</v>
      </c>
      <c r="C543">
        <v>48.4</v>
      </c>
    </row>
    <row r="544" spans="1:3">
      <c r="A544" s="392">
        <v>44145.875</v>
      </c>
      <c r="B544">
        <v>20.6</v>
      </c>
      <c r="C544">
        <v>48.4</v>
      </c>
    </row>
    <row r="545" spans="1:3">
      <c r="A545" s="392">
        <v>44145.878472222219</v>
      </c>
      <c r="B545">
        <v>20.6</v>
      </c>
      <c r="C545">
        <v>48.5</v>
      </c>
    </row>
    <row r="546" spans="1:3">
      <c r="A546" s="392">
        <v>44145.881944444445</v>
      </c>
      <c r="B546">
        <v>20.6</v>
      </c>
      <c r="C546">
        <v>48.5</v>
      </c>
    </row>
    <row r="547" spans="1:3">
      <c r="A547" s="392">
        <v>44145.885416666664</v>
      </c>
      <c r="B547">
        <v>20.6</v>
      </c>
      <c r="C547">
        <v>48.5</v>
      </c>
    </row>
    <row r="548" spans="1:3">
      <c r="A548" s="392">
        <v>44145.888888888891</v>
      </c>
      <c r="B548">
        <v>20.6</v>
      </c>
      <c r="C548">
        <v>48.5</v>
      </c>
    </row>
    <row r="549" spans="1:3">
      <c r="A549" s="392">
        <v>44145.892361111109</v>
      </c>
      <c r="B549">
        <v>20.6</v>
      </c>
      <c r="C549">
        <v>48.5</v>
      </c>
    </row>
    <row r="550" spans="1:3">
      <c r="A550" s="392">
        <v>44145.895833333336</v>
      </c>
      <c r="B550">
        <v>20.6</v>
      </c>
      <c r="C550">
        <v>48.4</v>
      </c>
    </row>
    <row r="551" spans="1:3">
      <c r="A551" s="392">
        <v>44145.899305555555</v>
      </c>
      <c r="B551">
        <v>20.6</v>
      </c>
      <c r="C551">
        <v>48.4</v>
      </c>
    </row>
    <row r="552" spans="1:3">
      <c r="A552" s="392">
        <v>44145.902777777781</v>
      </c>
      <c r="B552">
        <v>20.6</v>
      </c>
      <c r="C552">
        <v>48.4</v>
      </c>
    </row>
    <row r="553" spans="1:3">
      <c r="A553" s="392">
        <v>44145.90625</v>
      </c>
      <c r="B553">
        <v>20.6</v>
      </c>
      <c r="C553">
        <v>48.5</v>
      </c>
    </row>
    <row r="554" spans="1:3">
      <c r="A554" s="392">
        <v>44145.909722222219</v>
      </c>
      <c r="B554">
        <v>20.6</v>
      </c>
      <c r="C554">
        <v>48.4</v>
      </c>
    </row>
    <row r="555" spans="1:3">
      <c r="A555" s="392">
        <v>44145.913194444445</v>
      </c>
      <c r="B555">
        <v>20.6</v>
      </c>
      <c r="C555">
        <v>48.4</v>
      </c>
    </row>
    <row r="556" spans="1:3">
      <c r="A556" s="392">
        <v>44145.916666666664</v>
      </c>
      <c r="B556">
        <v>20.6</v>
      </c>
      <c r="C556">
        <v>48.4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D1BF-2D4B-46CF-B08E-27A446FC5397}">
  <dimension ref="A1:N28"/>
  <sheetViews>
    <sheetView showGridLines="0" tabSelected="1" workbookViewId="0">
      <selection activeCell="Y17" sqref="Y17"/>
    </sheetView>
  </sheetViews>
  <sheetFormatPr defaultRowHeight="12.75"/>
  <cols>
    <col min="3" max="3" width="6.7109375" customWidth="1"/>
    <col min="4" max="5" width="10.7109375" customWidth="1"/>
    <col min="6" max="6" width="8.7109375" customWidth="1"/>
    <col min="7" max="8" width="10.7109375" customWidth="1"/>
    <col min="9" max="9" width="8.7109375" customWidth="1"/>
  </cols>
  <sheetData>
    <row r="1" spans="1:14">
      <c r="N1" s="78"/>
    </row>
    <row r="2" spans="1:14">
      <c r="N2" s="78"/>
    </row>
    <row r="3" spans="1:14" ht="38.25">
      <c r="C3" s="374" t="s">
        <v>144</v>
      </c>
      <c r="D3" s="374" t="s">
        <v>370</v>
      </c>
      <c r="E3" s="374" t="s">
        <v>371</v>
      </c>
      <c r="F3" s="374" t="s">
        <v>367</v>
      </c>
      <c r="G3" s="374" t="s">
        <v>369</v>
      </c>
      <c r="H3" s="374" t="s">
        <v>368</v>
      </c>
      <c r="I3" s="374" t="s">
        <v>367</v>
      </c>
      <c r="N3" s="78"/>
    </row>
    <row r="4" spans="1:14">
      <c r="A4" t="s">
        <v>34</v>
      </c>
      <c r="C4" s="143">
        <v>1</v>
      </c>
      <c r="D4" s="377">
        <f t="shared" ref="D4:D13" si="0">VLOOKUP(A4, inductor1,32,FALSE)</f>
        <v>994.01681968295009</v>
      </c>
      <c r="E4" s="377">
        <f t="shared" ref="E4:E13" si="1">VLOOKUP(A4,inductor1,33,FALSE)</f>
        <v>6.3212537943479835E-2</v>
      </c>
      <c r="F4" s="375">
        <f t="shared" ref="F4:F13" si="2">VLOOKUP(A4,inductor1,34,FALSE)</f>
        <v>1.988966074789402</v>
      </c>
      <c r="G4" s="382">
        <f t="shared" ref="G4:G13" si="3">VLOOKUP(A4,inductor1,28,FALSE)</f>
        <v>5.68601177492092</v>
      </c>
      <c r="H4" s="382">
        <f t="shared" ref="H4:H13" si="4">VLOOKUP(A4,inductor1,29,FALSE)</f>
        <v>3.3718965085672653E-2</v>
      </c>
      <c r="I4" s="375">
        <f t="shared" ref="I4:I13" si="5">VLOOKUP(A4,inductor1,30,FALSE)</f>
        <v>2.08343460112531</v>
      </c>
      <c r="N4" s="78"/>
    </row>
    <row r="5" spans="1:14">
      <c r="A5" t="s">
        <v>35</v>
      </c>
      <c r="C5" s="143">
        <v>2</v>
      </c>
      <c r="D5" s="380">
        <f t="shared" si="0"/>
        <v>1980.5212842130809</v>
      </c>
      <c r="E5" s="380">
        <f t="shared" si="1"/>
        <v>9.8534666896604756E-2</v>
      </c>
      <c r="F5" s="375">
        <f t="shared" si="2"/>
        <v>2.0003046386368011</v>
      </c>
      <c r="G5" s="382">
        <f t="shared" si="3"/>
        <v>8.3744971612129753</v>
      </c>
      <c r="H5" s="382">
        <f t="shared" si="4"/>
        <v>4.9590542893043661E-2</v>
      </c>
      <c r="I5" s="375">
        <f t="shared" si="5"/>
        <v>2.0844998268059021</v>
      </c>
      <c r="N5" s="78"/>
    </row>
    <row r="6" spans="1:14">
      <c r="A6" t="s">
        <v>36</v>
      </c>
      <c r="C6" s="143">
        <v>3</v>
      </c>
      <c r="D6" s="380">
        <f t="shared" si="0"/>
        <v>2969.4166427695618</v>
      </c>
      <c r="E6" s="380">
        <f t="shared" si="1"/>
        <v>0.13829150761095629</v>
      </c>
      <c r="F6" s="375">
        <f t="shared" si="2"/>
        <v>2.010169515041158</v>
      </c>
      <c r="G6" s="382">
        <f t="shared" si="3"/>
        <v>10.65326474493345</v>
      </c>
      <c r="H6" s="382">
        <f t="shared" si="4"/>
        <v>6.3053901278092198E-2</v>
      </c>
      <c r="I6" s="375">
        <f t="shared" si="5"/>
        <v>2.0848438583220079</v>
      </c>
      <c r="N6" s="78"/>
    </row>
    <row r="7" spans="1:14">
      <c r="A7" t="s">
        <v>37</v>
      </c>
      <c r="C7" s="143">
        <v>4</v>
      </c>
      <c r="D7" s="380">
        <f t="shared" si="0"/>
        <v>3949.1493088906282</v>
      </c>
      <c r="E7" s="380">
        <f t="shared" si="1"/>
        <v>0.17901486866776378</v>
      </c>
      <c r="F7" s="375">
        <f t="shared" si="2"/>
        <v>2.0157101721327422</v>
      </c>
      <c r="G7" s="382">
        <f t="shared" si="3"/>
        <v>12.638105842186681</v>
      </c>
      <c r="H7" s="382">
        <f t="shared" si="4"/>
        <v>7.4789449082862863E-2</v>
      </c>
      <c r="I7" s="375">
        <f t="shared" si="5"/>
        <v>2.0849886670162432</v>
      </c>
      <c r="N7" s="78"/>
    </row>
    <row r="8" spans="1:14">
      <c r="A8" t="s">
        <v>38</v>
      </c>
      <c r="C8" s="143">
        <v>5</v>
      </c>
      <c r="D8" s="380">
        <f t="shared" si="0"/>
        <v>4933.13443743475</v>
      </c>
      <c r="E8" s="380">
        <f t="shared" si="1"/>
        <v>0.22044425967197429</v>
      </c>
      <c r="F8" s="375">
        <f t="shared" si="2"/>
        <v>2.019069475039879</v>
      </c>
      <c r="G8" s="382">
        <f t="shared" si="3"/>
        <v>14.407734745796329</v>
      </c>
      <c r="H8" s="382">
        <f t="shared" si="4"/>
        <v>8.5247953063210424E-2</v>
      </c>
      <c r="I8" s="375">
        <f t="shared" si="5"/>
        <v>2.08507527367559</v>
      </c>
      <c r="N8" s="78"/>
    </row>
    <row r="9" spans="1:14">
      <c r="A9" t="s">
        <v>39</v>
      </c>
      <c r="C9" s="143">
        <v>6</v>
      </c>
      <c r="D9" s="380">
        <f t="shared" si="0"/>
        <v>5915.8773354081222</v>
      </c>
      <c r="E9" s="380">
        <f t="shared" si="1"/>
        <v>0.26214210239541241</v>
      </c>
      <c r="F9" s="375">
        <f t="shared" si="2"/>
        <v>2.0212070379172729</v>
      </c>
      <c r="G9" s="376">
        <f t="shared" si="3"/>
        <v>16.09352308802535</v>
      </c>
      <c r="H9" s="376">
        <f t="shared" si="4"/>
        <v>9.5220986774527033E-2</v>
      </c>
      <c r="I9" s="375">
        <f t="shared" si="5"/>
        <v>2.085115084871771</v>
      </c>
      <c r="N9" s="78"/>
    </row>
    <row r="10" spans="1:14">
      <c r="A10" t="s">
        <v>40</v>
      </c>
      <c r="C10" s="143">
        <v>7</v>
      </c>
      <c r="D10" s="380">
        <f t="shared" si="0"/>
        <v>6892.9800496687412</v>
      </c>
      <c r="E10" s="380">
        <f t="shared" si="1"/>
        <v>0.30379823407733697</v>
      </c>
      <c r="F10" s="375">
        <f t="shared" si="2"/>
        <v>2.022640790532277</v>
      </c>
      <c r="G10" s="376">
        <f t="shared" si="3"/>
        <v>17.73695689594307</v>
      </c>
      <c r="H10" s="376">
        <f t="shared" si="4"/>
        <v>0.10494020952145559</v>
      </c>
      <c r="I10" s="375">
        <f t="shared" si="5"/>
        <v>2.085146043611084</v>
      </c>
      <c r="N10" s="78"/>
    </row>
    <row r="11" spans="1:14">
      <c r="A11" t="s">
        <v>41</v>
      </c>
      <c r="C11" s="143">
        <v>8</v>
      </c>
      <c r="D11" s="380">
        <f t="shared" si="0"/>
        <v>7865.6402694594153</v>
      </c>
      <c r="E11" s="380">
        <f t="shared" si="1"/>
        <v>0.34533603943197122</v>
      </c>
      <c r="F11" s="375">
        <f t="shared" si="2"/>
        <v>2.0236935467261419</v>
      </c>
      <c r="G11" s="376">
        <f t="shared" si="3"/>
        <v>19.252523199529762</v>
      </c>
      <c r="H11" s="376">
        <f t="shared" si="4"/>
        <v>0.1139101160682761</v>
      </c>
      <c r="I11" s="375">
        <f t="shared" si="5"/>
        <v>2.0851554112409292</v>
      </c>
      <c r="N11" s="78"/>
    </row>
    <row r="12" spans="1:14">
      <c r="A12" t="s">
        <v>42</v>
      </c>
      <c r="C12" s="143">
        <v>9</v>
      </c>
      <c r="D12" s="380">
        <f t="shared" si="0"/>
        <v>8835.4630461998695</v>
      </c>
      <c r="E12" s="380">
        <f t="shared" si="1"/>
        <v>0.3868176692643267</v>
      </c>
      <c r="F12" s="375">
        <f t="shared" si="2"/>
        <v>2.0244870402683031</v>
      </c>
      <c r="G12" s="376">
        <f t="shared" si="3"/>
        <v>20.712765839979809</v>
      </c>
      <c r="H12" s="376">
        <f t="shared" si="4"/>
        <v>0.1225417546724499</v>
      </c>
      <c r="I12" s="375">
        <f t="shared" si="5"/>
        <v>2.085173993463791</v>
      </c>
      <c r="N12" s="78"/>
    </row>
    <row r="13" spans="1:14">
      <c r="A13" t="s">
        <v>43</v>
      </c>
      <c r="C13" s="143">
        <v>10</v>
      </c>
      <c r="D13" s="380">
        <f t="shared" si="0"/>
        <v>9806.5858944700067</v>
      </c>
      <c r="E13" s="380">
        <f t="shared" si="1"/>
        <v>0.42841385677505878</v>
      </c>
      <c r="F13" s="375">
        <f t="shared" si="2"/>
        <v>2.0251003487482429</v>
      </c>
      <c r="G13" s="376">
        <f t="shared" si="3"/>
        <v>22.215060692605501</v>
      </c>
      <c r="H13" s="376">
        <f t="shared" si="4"/>
        <v>0.13132694062678729</v>
      </c>
      <c r="I13" s="375">
        <f t="shared" si="5"/>
        <v>2.0852746854712212</v>
      </c>
      <c r="N13" s="78"/>
    </row>
    <row r="14" spans="1:14">
      <c r="C14" s="143"/>
      <c r="D14" s="378"/>
      <c r="E14" s="377"/>
      <c r="F14" s="375"/>
      <c r="G14" s="376"/>
      <c r="H14" s="376"/>
      <c r="I14" s="375"/>
      <c r="N14" s="78"/>
    </row>
    <row r="15" spans="1:14">
      <c r="C15" s="143"/>
      <c r="D15" s="378"/>
      <c r="E15" s="377"/>
      <c r="F15" s="375"/>
      <c r="G15" s="376"/>
      <c r="H15" s="376"/>
      <c r="I15" s="375"/>
      <c r="N15" s="78"/>
    </row>
    <row r="16" spans="1:14">
      <c r="C16" s="143"/>
      <c r="D16" s="378"/>
      <c r="E16" s="377"/>
      <c r="F16" s="375"/>
      <c r="G16" s="376"/>
      <c r="H16" s="376"/>
      <c r="I16" s="375"/>
      <c r="N16" s="78"/>
    </row>
    <row r="17" spans="1:14">
      <c r="N17" s="78"/>
    </row>
    <row r="18" spans="1:14" ht="38.25">
      <c r="C18" s="374" t="s">
        <v>144</v>
      </c>
      <c r="D18" s="374" t="s">
        <v>370</v>
      </c>
      <c r="E18" s="374" t="s">
        <v>371</v>
      </c>
      <c r="F18" s="374" t="s">
        <v>367</v>
      </c>
      <c r="G18" s="374" t="s">
        <v>369</v>
      </c>
      <c r="H18" s="374" t="s">
        <v>368</v>
      </c>
      <c r="I18" s="374" t="s">
        <v>367</v>
      </c>
      <c r="N18" s="78"/>
    </row>
    <row r="19" spans="1:14">
      <c r="A19" t="s">
        <v>45</v>
      </c>
      <c r="C19" s="143">
        <v>1</v>
      </c>
      <c r="D19" s="381">
        <f t="shared" ref="D19:D28" si="6">VLOOKUP(A19, inductor1,32,FALSE)</f>
        <v>99.141707182395152</v>
      </c>
      <c r="E19" s="381">
        <f t="shared" ref="E19:E28" si="7">VLOOKUP(A19,inductor1,33,FALSE)</f>
        <v>7.2135113813399107E-3</v>
      </c>
      <c r="F19" s="375">
        <f t="shared" ref="F19:F28" si="8">VLOOKUP(A19,inductor1,34,FALSE)</f>
        <v>1.997657557397754</v>
      </c>
      <c r="G19" s="379">
        <f t="shared" ref="G19:G28" si="9">VLOOKUP(A19,inductor1,28,FALSE)</f>
        <v>1.165597564479266</v>
      </c>
      <c r="H19" s="379">
        <f t="shared" ref="H19:H28" si="10">VLOOKUP(A19,inductor1,29,FALSE)</f>
        <v>6.8951135109526678E-3</v>
      </c>
      <c r="I19" s="375">
        <f t="shared" ref="I19:I28" si="11">VLOOKUP(A19,inductor1,30,FALSE)</f>
        <v>2.0850484851781181</v>
      </c>
      <c r="N19" s="78"/>
    </row>
    <row r="20" spans="1:14">
      <c r="A20" t="s">
        <v>46</v>
      </c>
      <c r="C20" s="143">
        <v>2</v>
      </c>
      <c r="D20" s="377">
        <f t="shared" si="6"/>
        <v>199.00052433831831</v>
      </c>
      <c r="E20" s="377">
        <f t="shared" si="7"/>
        <v>1.11644392449385E-2</v>
      </c>
      <c r="F20" s="375">
        <f t="shared" si="8"/>
        <v>2.002804983453184</v>
      </c>
      <c r="G20" s="379">
        <f t="shared" si="9"/>
        <v>1.738176858421052</v>
      </c>
      <c r="H20" s="379">
        <f t="shared" si="10"/>
        <v>1.0278923366988419E-2</v>
      </c>
      <c r="I20" s="375">
        <f t="shared" si="11"/>
        <v>2.0853100731824559</v>
      </c>
      <c r="N20" s="78"/>
    </row>
    <row r="21" spans="1:14">
      <c r="A21" t="s">
        <v>47</v>
      </c>
      <c r="C21" s="143">
        <v>3</v>
      </c>
      <c r="D21" s="377">
        <f t="shared" si="6"/>
        <v>298.24917436069489</v>
      </c>
      <c r="E21" s="377">
        <f t="shared" si="7"/>
        <v>1.5327593796820691E-2</v>
      </c>
      <c r="F21" s="375">
        <f t="shared" si="8"/>
        <v>2.0065864442930721</v>
      </c>
      <c r="G21" s="379">
        <f t="shared" si="9"/>
        <v>2.20507943285509</v>
      </c>
      <c r="H21" s="379">
        <f t="shared" si="10"/>
        <v>1.3039230984667249E-2</v>
      </c>
      <c r="I21" s="375">
        <f t="shared" si="11"/>
        <v>2.085383461903509</v>
      </c>
      <c r="N21" s="78"/>
    </row>
    <row r="22" spans="1:14">
      <c r="A22" t="s">
        <v>48</v>
      </c>
      <c r="C22" s="143">
        <v>4</v>
      </c>
      <c r="D22" s="377">
        <f t="shared" si="6"/>
        <v>396.52358179154248</v>
      </c>
      <c r="E22" s="377">
        <f t="shared" si="7"/>
        <v>1.9806958848825062E-2</v>
      </c>
      <c r="F22" s="375">
        <f t="shared" si="8"/>
        <v>2.009449846405277</v>
      </c>
      <c r="G22" s="379">
        <f t="shared" si="9"/>
        <v>2.7900002030166511</v>
      </c>
      <c r="H22" s="379">
        <f t="shared" si="10"/>
        <v>1.6497716817181061E-2</v>
      </c>
      <c r="I22" s="375">
        <f t="shared" si="11"/>
        <v>2.0854271768813679</v>
      </c>
      <c r="N22" s="78"/>
    </row>
    <row r="23" spans="1:14">
      <c r="A23" t="s">
        <v>49</v>
      </c>
      <c r="C23" s="143">
        <v>5</v>
      </c>
      <c r="D23" s="377">
        <f t="shared" si="6"/>
        <v>494.4726844883379</v>
      </c>
      <c r="E23" s="377">
        <f t="shared" si="7"/>
        <v>0.36437502005131617</v>
      </c>
      <c r="F23" s="375">
        <f t="shared" si="8"/>
        <v>2.224972110923106</v>
      </c>
      <c r="G23" s="379">
        <f t="shared" si="9"/>
        <v>3.1729804859140089</v>
      </c>
      <c r="H23" s="379">
        <f t="shared" si="10"/>
        <v>1.899651737571835E-2</v>
      </c>
      <c r="I23" s="375">
        <f t="shared" si="11"/>
        <v>2.0774059265958238</v>
      </c>
      <c r="N23" s="78"/>
    </row>
    <row r="24" spans="1:14">
      <c r="A24" t="s">
        <v>50</v>
      </c>
      <c r="C24" s="143">
        <v>6</v>
      </c>
      <c r="D24" s="377">
        <f t="shared" si="6"/>
        <v>593.51196350646933</v>
      </c>
      <c r="E24" s="377">
        <f t="shared" si="7"/>
        <v>2.8287184129686931E-2</v>
      </c>
      <c r="F24" s="375">
        <f t="shared" si="8"/>
        <v>2.0123828103306369</v>
      </c>
      <c r="G24" s="379">
        <f t="shared" si="9"/>
        <v>3.5351490872197648</v>
      </c>
      <c r="H24" s="379">
        <f t="shared" si="10"/>
        <v>2.0900121606257871E-2</v>
      </c>
      <c r="I24" s="375">
        <f t="shared" si="11"/>
        <v>2.0854718432650761</v>
      </c>
      <c r="N24" s="78"/>
    </row>
    <row r="25" spans="1:14">
      <c r="A25" t="s">
        <v>51</v>
      </c>
      <c r="C25" s="143">
        <v>7</v>
      </c>
      <c r="D25" s="377">
        <f t="shared" si="6"/>
        <v>691.34253506520588</v>
      </c>
      <c r="E25" s="377">
        <f t="shared" si="7"/>
        <v>3.2542981818679866E-2</v>
      </c>
      <c r="F25" s="375">
        <f t="shared" si="8"/>
        <v>2.0134916700482628</v>
      </c>
      <c r="G25" s="379">
        <f t="shared" si="9"/>
        <v>3.8929483431081251</v>
      </c>
      <c r="H25" s="379">
        <f t="shared" si="10"/>
        <v>2.3014161720599721E-2</v>
      </c>
      <c r="I25" s="375">
        <f t="shared" si="11"/>
        <v>2.0854840937733918</v>
      </c>
      <c r="N25" s="78"/>
    </row>
    <row r="26" spans="1:14">
      <c r="A26" t="s">
        <v>52</v>
      </c>
      <c r="C26" s="143">
        <v>8</v>
      </c>
      <c r="D26" s="377">
        <f t="shared" si="6"/>
        <v>789.1311369653564</v>
      </c>
      <c r="E26" s="377">
        <f t="shared" si="7"/>
        <v>3.674993018030371E-2</v>
      </c>
      <c r="F26" s="375">
        <f t="shared" si="8"/>
        <v>2.0145314839794111</v>
      </c>
      <c r="G26" s="379">
        <f t="shared" si="9"/>
        <v>4.1965469255980388</v>
      </c>
      <c r="H26" s="379">
        <f t="shared" si="10"/>
        <v>2.4807693496296929E-2</v>
      </c>
      <c r="I26" s="375">
        <f t="shared" si="11"/>
        <v>2.085492355303519</v>
      </c>
      <c r="N26" s="78"/>
    </row>
    <row r="27" spans="1:14">
      <c r="A27" t="s">
        <v>53</v>
      </c>
      <c r="C27" s="143">
        <v>9</v>
      </c>
      <c r="D27" s="377">
        <f t="shared" si="6"/>
        <v>887.36269332046766</v>
      </c>
      <c r="E27" s="377">
        <f t="shared" si="7"/>
        <v>4.1013267447577322E-2</v>
      </c>
      <c r="F27" s="375">
        <f t="shared" si="8"/>
        <v>2.015381791628192</v>
      </c>
      <c r="G27" s="379">
        <f t="shared" si="9"/>
        <v>4.514552458846584</v>
      </c>
      <c r="H27" s="379">
        <f t="shared" si="10"/>
        <v>2.6687501726403232E-2</v>
      </c>
      <c r="I27" s="375">
        <f t="shared" si="11"/>
        <v>2.0854944472490771</v>
      </c>
      <c r="N27" s="78"/>
    </row>
    <row r="28" spans="1:14">
      <c r="A28" t="s">
        <v>54</v>
      </c>
      <c r="C28" s="143">
        <v>10</v>
      </c>
      <c r="D28" s="377">
        <f t="shared" si="6"/>
        <v>984.79408222912127</v>
      </c>
      <c r="E28" s="377">
        <f t="shared" si="7"/>
        <v>4.5246907875903374E-2</v>
      </c>
      <c r="F28" s="375">
        <f t="shared" si="8"/>
        <v>2.016109853709128</v>
      </c>
      <c r="G28" s="379">
        <f t="shared" si="9"/>
        <v>4.8226476107007592</v>
      </c>
      <c r="H28" s="379">
        <f t="shared" si="10"/>
        <v>2.8508751132540242E-2</v>
      </c>
      <c r="I28" s="375">
        <f t="shared" si="11"/>
        <v>2.0854956124087289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W127"/>
  <sheetViews>
    <sheetView topLeftCell="A7" workbookViewId="0">
      <selection activeCell="F11" sqref="F11:F30"/>
    </sheetView>
  </sheetViews>
  <sheetFormatPr defaultRowHeight="12.75"/>
  <cols>
    <col min="1" max="1" width="18.140625" style="3" customWidth="1"/>
    <col min="2" max="2" width="13.28515625" customWidth="1"/>
    <col min="5" max="5" width="12.42578125" bestFit="1" customWidth="1"/>
    <col min="6" max="6" width="12.140625" customWidth="1"/>
    <col min="7" max="7" width="11.7109375" customWidth="1"/>
    <col min="8" max="8" width="9.85546875" customWidth="1"/>
    <col min="9" max="9" width="11.140625" customWidth="1"/>
    <col min="10" max="12" width="13.5703125" customWidth="1"/>
    <col min="13" max="13" width="10.7109375" customWidth="1"/>
    <col min="14" max="14" width="11" customWidth="1"/>
    <col min="15" max="15" width="12.28515625" customWidth="1"/>
    <col min="16" max="16" width="10.28515625" customWidth="1"/>
    <col min="17" max="17" width="11" customWidth="1"/>
    <col min="18" max="18" width="10.28515625" customWidth="1"/>
    <col min="19" max="19" width="11.28515625" customWidth="1"/>
  </cols>
  <sheetData>
    <row r="1" spans="1:23" ht="15.75">
      <c r="A1" s="89" t="s">
        <v>62</v>
      </c>
      <c r="B1" s="88">
        <v>41921</v>
      </c>
    </row>
    <row r="2" spans="1:23" ht="15.75">
      <c r="A2" s="89" t="s">
        <v>146</v>
      </c>
      <c r="B2" s="158" t="s">
        <v>188</v>
      </c>
    </row>
    <row r="3" spans="1:23" ht="15.75">
      <c r="A3" s="89" t="s">
        <v>147</v>
      </c>
      <c r="B3" s="90">
        <v>96040221</v>
      </c>
    </row>
    <row r="4" spans="1:23" ht="15.75">
      <c r="A4" s="89" t="s">
        <v>148</v>
      </c>
      <c r="B4" s="158" t="s">
        <v>189</v>
      </c>
    </row>
    <row r="5" spans="1:23">
      <c r="A5" s="91" t="s">
        <v>151</v>
      </c>
      <c r="B5" s="92" t="s">
        <v>150</v>
      </c>
    </row>
    <row r="6" spans="1:23">
      <c r="B6" s="87"/>
    </row>
    <row r="7" spans="1:23" ht="15.75">
      <c r="A7" s="79" t="s">
        <v>27</v>
      </c>
    </row>
    <row r="8" spans="1:23" ht="13.5" thickBot="1">
      <c r="A8" s="74"/>
      <c r="N8" s="2"/>
      <c r="V8" s="77"/>
    </row>
    <row r="9" spans="1:23" ht="13.5" thickTop="1">
      <c r="A9" s="58" t="s">
        <v>28</v>
      </c>
      <c r="B9" s="62" t="s">
        <v>11</v>
      </c>
      <c r="C9" s="63" t="s">
        <v>29</v>
      </c>
      <c r="D9" s="159" t="s">
        <v>5</v>
      </c>
      <c r="E9" s="159" t="s">
        <v>6</v>
      </c>
      <c r="F9" s="64" t="s">
        <v>142</v>
      </c>
      <c r="G9" s="64"/>
      <c r="H9" s="65" t="s">
        <v>143</v>
      </c>
      <c r="I9" s="65"/>
      <c r="J9" t="s">
        <v>194</v>
      </c>
      <c r="K9" t="s">
        <v>179</v>
      </c>
      <c r="L9" t="s">
        <v>180</v>
      </c>
    </row>
    <row r="10" spans="1:23">
      <c r="A10" s="59"/>
      <c r="B10" s="62"/>
      <c r="C10" s="63"/>
      <c r="D10" s="160"/>
      <c r="E10" s="160"/>
      <c r="F10" s="76"/>
      <c r="G10" s="68"/>
      <c r="H10" s="75"/>
      <c r="I10" s="70"/>
      <c r="J10" s="3"/>
      <c r="K10" s="3"/>
      <c r="L10" s="3">
        <v>-0.03</v>
      </c>
      <c r="M10" t="s">
        <v>297</v>
      </c>
    </row>
    <row r="11" spans="1:23">
      <c r="A11" s="60" t="s">
        <v>31</v>
      </c>
      <c r="B11" s="73" t="s">
        <v>32</v>
      </c>
      <c r="C11" s="73" t="s">
        <v>101</v>
      </c>
      <c r="D11" s="160">
        <v>-1</v>
      </c>
      <c r="E11" s="160">
        <v>-10</v>
      </c>
      <c r="F11" s="76">
        <f>(alpha-VLOOKUP(Range,zeros,2,FALSE))*(1+VLOOKUP(Range,corrections,2,FALSE)*0.000001)*VLOOKUP(Range,multiplier,2,FALSE)</f>
        <v>0</v>
      </c>
      <c r="G11" s="68" t="str">
        <f t="shared" ref="G11:G41" si="0">VLOOKUP(Range,multiplier,3,FALSE)</f>
        <v>milliH</v>
      </c>
      <c r="H11" s="75">
        <f t="shared" ref="H11:H41" si="1">(beta-VLOOKUP(Range,zeros,3,FALSE))*(1+VLOOKUP(Range,corrections,3,FALSE)*0.000001)*VLOOKUP(Range,multiplier,5,FALSE)</f>
        <v>0</v>
      </c>
      <c r="I11" s="70" t="str">
        <f>VLOOKUP(Range,multiplier,6,FALSE)</f>
        <v>ohm</v>
      </c>
      <c r="J11" s="3">
        <v>1.59212</v>
      </c>
      <c r="K11" s="66">
        <v>19.43</v>
      </c>
      <c r="M11" s="98"/>
      <c r="N11" s="114"/>
    </row>
    <row r="12" spans="1:23">
      <c r="A12" s="59" t="s">
        <v>31</v>
      </c>
      <c r="B12" s="62" t="s">
        <v>34</v>
      </c>
      <c r="C12" s="63" t="s">
        <v>101</v>
      </c>
      <c r="D12" s="161">
        <v>99399</v>
      </c>
      <c r="E12" s="161">
        <f>569109-10</f>
        <v>569099</v>
      </c>
      <c r="F12" s="76">
        <f>(alpha-VLOOKUP(Range,zeros,2,FALSE))*(1+VLOOKUP(Range,corrections,2,FALSE)*0.000001)*VLOOKUP(Range,multiplier,2,FALSE)</f>
        <v>0.99419949581877542</v>
      </c>
      <c r="G12" s="68" t="str">
        <f t="shared" si="0"/>
        <v>milliH</v>
      </c>
      <c r="H12" s="75">
        <f t="shared" si="1"/>
        <v>5.6914914979891744</v>
      </c>
      <c r="I12" s="70" t="str">
        <f>VLOOKUP(Range,multiplier,6,FALSE)</f>
        <v>ohm</v>
      </c>
      <c r="J12" s="3">
        <v>1.59222</v>
      </c>
      <c r="K12" s="66">
        <v>19.440000000000001</v>
      </c>
      <c r="L12">
        <f>K12+L$10</f>
        <v>19.41</v>
      </c>
      <c r="M12" s="98"/>
      <c r="N12" s="114"/>
      <c r="O12" s="115"/>
      <c r="Q12" s="116"/>
      <c r="R12" s="116"/>
      <c r="S12" s="118"/>
      <c r="T12" s="117"/>
      <c r="V12" s="119"/>
      <c r="W12" s="119"/>
    </row>
    <row r="13" spans="1:23">
      <c r="A13" s="59" t="s">
        <v>31</v>
      </c>
      <c r="B13" s="62" t="s">
        <v>35</v>
      </c>
      <c r="C13" s="63" t="s">
        <v>101</v>
      </c>
      <c r="D13" s="161">
        <v>198037</v>
      </c>
      <c r="E13" s="161">
        <v>838177</v>
      </c>
      <c r="F13" s="76">
        <f t="shared" ref="F13:F57" si="2">(alpha-VLOOKUP(Range,zeros,2,FALSE))*(1+VLOOKUP(Range,corrections,2,FALSE)*0.000001)*VLOOKUP(Range,multiplier,2,FALSE)</f>
        <v>1.9807774623034067</v>
      </c>
      <c r="G13" s="64" t="str">
        <f t="shared" si="0"/>
        <v>milliH</v>
      </c>
      <c r="H13" s="75">
        <f t="shared" si="1"/>
        <v>8.3824613285417247</v>
      </c>
      <c r="I13" s="162" t="str">
        <f t="shared" ref="I13:I57" si="3">VLOOKUP(Range,multiplier,6,FALSE)</f>
        <v>ohm</v>
      </c>
      <c r="J13" s="3">
        <v>1.5923099999999999</v>
      </c>
      <c r="K13" s="66">
        <v>19.420000000000002</v>
      </c>
      <c r="L13">
        <f t="shared" ref="L13:L32" si="4">K13+L$10</f>
        <v>19.39</v>
      </c>
      <c r="M13" s="98"/>
      <c r="N13" s="114"/>
      <c r="O13" s="115"/>
      <c r="Q13" s="116"/>
      <c r="R13" s="116"/>
      <c r="S13" s="118"/>
      <c r="T13" s="117"/>
    </row>
    <row r="14" spans="1:23">
      <c r="A14" s="59" t="s">
        <v>31</v>
      </c>
      <c r="B14" s="62" t="s">
        <v>36</v>
      </c>
      <c r="C14" s="63" t="s">
        <v>101</v>
      </c>
      <c r="D14" s="161">
        <v>296910</v>
      </c>
      <c r="E14" s="161">
        <v>1066102</v>
      </c>
      <c r="F14" s="76">
        <f>(alpha-VLOOKUP(Range,zeros,2,FALSE))*(1+VLOOKUP(Range,corrections,2,FALSE)*0.000001)*VLOOKUP(Range,multiplier,2,FALSE)</f>
        <v>2.9697059004330826</v>
      </c>
      <c r="G14" s="64" t="str">
        <f t="shared" si="0"/>
        <v>milliH</v>
      </c>
      <c r="H14" s="75">
        <f t="shared" si="1"/>
        <v>10.661872126260937</v>
      </c>
      <c r="I14" s="162" t="str">
        <f>VLOOKUP(Range,multiplier,6,FALSE)</f>
        <v>ohm</v>
      </c>
      <c r="J14" s="3">
        <v>1.5924100000000001</v>
      </c>
      <c r="K14" s="66">
        <v>19.46</v>
      </c>
      <c r="L14">
        <f t="shared" si="4"/>
        <v>19.43</v>
      </c>
      <c r="M14" s="98"/>
      <c r="N14" s="114"/>
      <c r="O14" s="115"/>
      <c r="Q14" s="116"/>
      <c r="R14" s="116"/>
      <c r="S14" s="118"/>
      <c r="T14" s="117"/>
    </row>
    <row r="15" spans="1:23">
      <c r="A15" s="59" t="s">
        <v>31</v>
      </c>
      <c r="B15" s="62" t="s">
        <v>37</v>
      </c>
      <c r="C15" s="63" t="s">
        <v>101</v>
      </c>
      <c r="D15" s="161">
        <v>394862</v>
      </c>
      <c r="E15" s="161">
        <v>1264597</v>
      </c>
      <c r="F15" s="76">
        <f t="shared" si="2"/>
        <v>3.9494224901155843</v>
      </c>
      <c r="G15" s="64" t="str">
        <f t="shared" si="0"/>
        <v>milliH</v>
      </c>
      <c r="H15" s="75">
        <f t="shared" si="1"/>
        <v>12.646962161550064</v>
      </c>
      <c r="I15" s="162" t="str">
        <f t="shared" si="3"/>
        <v>ohm</v>
      </c>
      <c r="J15" s="3">
        <v>1.5925100000000001</v>
      </c>
      <c r="K15" s="66">
        <v>19.510000000000002</v>
      </c>
      <c r="L15">
        <f t="shared" si="4"/>
        <v>19.48</v>
      </c>
      <c r="M15" s="98"/>
      <c r="N15" s="114"/>
      <c r="O15" s="115"/>
      <c r="Q15" s="116"/>
      <c r="R15" s="116"/>
      <c r="S15" s="118"/>
      <c r="T15" s="117"/>
      <c r="V15" s="119"/>
      <c r="W15" s="119"/>
    </row>
    <row r="16" spans="1:23">
      <c r="A16" s="59" t="s">
        <v>31</v>
      </c>
      <c r="B16" s="62" t="s">
        <v>38</v>
      </c>
      <c r="C16" s="63" t="s">
        <v>101</v>
      </c>
      <c r="D16" s="161">
        <v>493235</v>
      </c>
      <c r="E16" s="161">
        <v>1441386</v>
      </c>
      <c r="F16" s="76">
        <f t="shared" si="2"/>
        <v>4.9333499247451664</v>
      </c>
      <c r="G16" s="64" t="str">
        <f t="shared" si="0"/>
        <v>milliH</v>
      </c>
      <c r="H16" s="75">
        <f t="shared" si="1"/>
        <v>14.414976883576967</v>
      </c>
      <c r="I16" s="162" t="str">
        <f t="shared" si="3"/>
        <v>ohm</v>
      </c>
      <c r="J16" s="3">
        <v>1.5926</v>
      </c>
      <c r="K16" s="66">
        <v>19.52</v>
      </c>
      <c r="L16">
        <f t="shared" si="4"/>
        <v>19.489999999999998</v>
      </c>
      <c r="M16" s="98"/>
      <c r="N16" s="114"/>
      <c r="O16" s="115"/>
      <c r="Q16" s="116"/>
      <c r="R16" s="116"/>
      <c r="S16" s="118"/>
      <c r="T16" s="117"/>
    </row>
    <row r="17" spans="1:23">
      <c r="A17" s="59" t="s">
        <v>31</v>
      </c>
      <c r="B17" s="62" t="s">
        <v>39</v>
      </c>
      <c r="C17" s="63" t="s">
        <v>101</v>
      </c>
      <c r="D17" s="161">
        <v>591477</v>
      </c>
      <c r="E17" s="161">
        <f>1610922-1000</f>
        <v>1609922</v>
      </c>
      <c r="F17" s="76">
        <f>(alpha-VLOOKUP(Range,zeros,2,FALSE))*(1+VLOOKUP(Range,corrections,2,FALSE)*0.000001)*VLOOKUP(Range,multiplier,2,FALSE)</f>
        <v>5.9159670964577229</v>
      </c>
      <c r="G17" s="64" t="str">
        <f t="shared" si="0"/>
        <v>milliH</v>
      </c>
      <c r="H17" s="75">
        <f t="shared" si="1"/>
        <v>16.100455783234331</v>
      </c>
      <c r="I17" s="162" t="str">
        <f>VLOOKUP(Range,multiplier,6,FALSE)</f>
        <v>ohm</v>
      </c>
      <c r="J17" s="3">
        <v>1.5926800000000001</v>
      </c>
      <c r="K17" s="66">
        <v>19.489999999999998</v>
      </c>
      <c r="L17">
        <f t="shared" si="4"/>
        <v>19.459999999999997</v>
      </c>
      <c r="M17" s="98"/>
      <c r="N17" s="114"/>
      <c r="O17" s="115"/>
      <c r="Q17" s="116"/>
      <c r="R17" s="116"/>
      <c r="S17" s="118"/>
      <c r="T17" s="117"/>
    </row>
    <row r="18" spans="1:23">
      <c r="A18" s="59" t="s">
        <v>31</v>
      </c>
      <c r="B18" s="62" t="s">
        <v>40</v>
      </c>
      <c r="C18" s="63" t="s">
        <v>101</v>
      </c>
      <c r="D18" s="161">
        <v>689150</v>
      </c>
      <c r="E18" s="161">
        <v>1774172</v>
      </c>
      <c r="F18" s="76">
        <f>(alpha-VLOOKUP(Range,zeros,2,FALSE))*(1+VLOOKUP(Range,corrections,2,FALSE)*0.000001)*VLOOKUP(Range,multiplier,2,FALSE)</f>
        <v>6.8928931261871718</v>
      </c>
      <c r="G18" s="64" t="str">
        <f t="shared" si="0"/>
        <v>milliH</v>
      </c>
      <c r="H18" s="75">
        <f t="shared" si="1"/>
        <v>17.743071659182036</v>
      </c>
      <c r="I18" s="162" t="str">
        <f>VLOOKUP(Range,multiplier,6,FALSE)</f>
        <v>ohm</v>
      </c>
      <c r="J18" s="3">
        <v>1.5927500000000001</v>
      </c>
      <c r="K18" s="66">
        <v>19.46</v>
      </c>
      <c r="L18">
        <f t="shared" si="4"/>
        <v>19.43</v>
      </c>
      <c r="M18" s="98"/>
      <c r="N18" s="114"/>
      <c r="O18" s="115"/>
      <c r="Q18" s="116"/>
      <c r="R18" s="116"/>
      <c r="S18" s="118"/>
      <c r="T18" s="117"/>
      <c r="V18" s="119"/>
      <c r="W18" s="119"/>
    </row>
    <row r="19" spans="1:23">
      <c r="A19" s="59" t="s">
        <v>31</v>
      </c>
      <c r="B19" s="62" t="s">
        <v>41</v>
      </c>
      <c r="C19" s="63" t="s">
        <v>101</v>
      </c>
      <c r="D19" s="161">
        <v>786374</v>
      </c>
      <c r="E19" s="161">
        <v>1925612</v>
      </c>
      <c r="F19" s="76">
        <f t="shared" si="2"/>
        <v>7.8653282547735364</v>
      </c>
      <c r="G19" s="64" t="str">
        <f t="shared" si="0"/>
        <v>milliH</v>
      </c>
      <c r="H19" s="75">
        <f t="shared" si="1"/>
        <v>19.257578497864046</v>
      </c>
      <c r="I19" s="162" t="str">
        <f t="shared" si="3"/>
        <v>ohm</v>
      </c>
      <c r="J19" s="3">
        <v>1.5928500000000001</v>
      </c>
      <c r="K19" s="66">
        <v>19.420000000000002</v>
      </c>
      <c r="L19">
        <f t="shared" si="4"/>
        <v>19.39</v>
      </c>
      <c r="M19" s="98"/>
      <c r="N19" s="114"/>
      <c r="O19" s="115"/>
      <c r="Q19" s="116"/>
      <c r="R19" s="116"/>
      <c r="S19" s="118"/>
      <c r="T19" s="117"/>
    </row>
    <row r="20" spans="1:23" ht="12.2" customHeight="1">
      <c r="A20" s="59" t="s">
        <v>31</v>
      </c>
      <c r="B20" s="62" t="s">
        <v>42</v>
      </c>
      <c r="C20" s="63" t="s">
        <v>101</v>
      </c>
      <c r="D20" s="161">
        <v>883275</v>
      </c>
      <c r="E20" s="161">
        <f>2071150-1</f>
        <v>2071149</v>
      </c>
      <c r="F20" s="76">
        <f t="shared" si="2"/>
        <v>8.8345327350988399</v>
      </c>
      <c r="G20" s="64" t="str">
        <f t="shared" si="0"/>
        <v>milliH</v>
      </c>
      <c r="H20" s="75">
        <f t="shared" si="1"/>
        <v>20.713051172066791</v>
      </c>
      <c r="I20" s="162" t="str">
        <f t="shared" si="3"/>
        <v>ohm</v>
      </c>
      <c r="J20" s="3">
        <v>1.5929199999999999</v>
      </c>
      <c r="K20" s="66">
        <v>19.41</v>
      </c>
      <c r="L20">
        <f t="shared" si="4"/>
        <v>19.38</v>
      </c>
      <c r="M20" s="98"/>
      <c r="N20" s="114"/>
      <c r="O20" s="115"/>
      <c r="Q20" s="116"/>
      <c r="R20" s="116"/>
      <c r="S20" s="118"/>
      <c r="T20" s="117"/>
    </row>
    <row r="21" spans="1:23">
      <c r="A21" s="59" t="s">
        <v>31</v>
      </c>
      <c r="B21" s="62" t="s">
        <v>43</v>
      </c>
      <c r="C21" s="63" t="s">
        <v>101</v>
      </c>
      <c r="D21" s="161">
        <v>980309</v>
      </c>
      <c r="E21" s="161">
        <v>2218833</v>
      </c>
      <c r="F21" s="76">
        <f>(alpha-VLOOKUP(Range,zeros,2,FALSE))*(1+VLOOKUP(Range,corrections,2,FALSE)*0.000001)*VLOOKUP(Range,multiplier,2,FALSE)</f>
        <v>9.8050674823551685</v>
      </c>
      <c r="G21" s="68" t="str">
        <f t="shared" si="0"/>
        <v>milliH</v>
      </c>
      <c r="H21" s="75">
        <f t="shared" si="1"/>
        <v>22.189995360946309</v>
      </c>
      <c r="I21" s="70" t="str">
        <f t="shared" si="3"/>
        <v>ohm</v>
      </c>
      <c r="J21" s="3">
        <v>1.5912900000000001</v>
      </c>
      <c r="K21" s="66">
        <v>19.440000000000001</v>
      </c>
      <c r="L21">
        <f t="shared" si="4"/>
        <v>19.41</v>
      </c>
      <c r="M21" s="98"/>
      <c r="N21" s="114"/>
      <c r="O21" s="115"/>
      <c r="Q21" s="116"/>
      <c r="R21" s="116"/>
      <c r="S21" s="118"/>
      <c r="T21" s="117"/>
      <c r="V21" s="119"/>
      <c r="W21" s="119"/>
    </row>
    <row r="22" spans="1:23">
      <c r="A22" s="59" t="s">
        <v>44</v>
      </c>
      <c r="B22" s="62" t="s">
        <v>45</v>
      </c>
      <c r="C22" s="63" t="s">
        <v>100</v>
      </c>
      <c r="D22" s="161">
        <v>99137</v>
      </c>
      <c r="E22" s="161">
        <v>1166002</v>
      </c>
      <c r="F22" s="76">
        <f>(alpha-VLOOKUP(Range,zeros,2,FALSE))*(1+VLOOKUP(Range,corrections,2,FALSE)*0.000001)*VLOOKUP(Range,multiplier,2,FALSE)</f>
        <v>99.1588971991726</v>
      </c>
      <c r="G22" s="68" t="str">
        <f t="shared" si="0"/>
        <v>microH</v>
      </c>
      <c r="H22" s="75">
        <f t="shared" si="1"/>
        <v>1.1660992607762031</v>
      </c>
      <c r="I22" s="70" t="str">
        <f t="shared" si="3"/>
        <v>ohm</v>
      </c>
      <c r="J22" s="3">
        <v>1.5917300000000001</v>
      </c>
      <c r="K22" s="66">
        <v>19.670000000000002</v>
      </c>
      <c r="L22">
        <f t="shared" si="4"/>
        <v>19.64</v>
      </c>
      <c r="M22" s="114"/>
      <c r="N22" s="115"/>
      <c r="O22" s="115"/>
      <c r="Q22" s="116"/>
      <c r="R22" s="116"/>
      <c r="S22" s="118"/>
      <c r="T22" s="117"/>
      <c r="V22" s="119"/>
      <c r="W22" s="119"/>
    </row>
    <row r="23" spans="1:23">
      <c r="A23" s="59" t="s">
        <v>44</v>
      </c>
      <c r="B23" s="62" t="s">
        <v>46</v>
      </c>
      <c r="C23" s="63" t="s">
        <v>100</v>
      </c>
      <c r="D23" s="161">
        <f>199001-10</f>
        <v>198991</v>
      </c>
      <c r="E23" s="161">
        <v>1738805</v>
      </c>
      <c r="F23" s="76">
        <f t="shared" si="2"/>
        <v>199.03293789885871</v>
      </c>
      <c r="G23" s="64" t="str">
        <f t="shared" si="0"/>
        <v>microH</v>
      </c>
      <c r="H23" s="75">
        <f t="shared" si="1"/>
        <v>1.7389426711813616</v>
      </c>
      <c r="I23" s="162" t="str">
        <f t="shared" si="3"/>
        <v>ohm</v>
      </c>
      <c r="J23" s="3">
        <v>1.59179</v>
      </c>
      <c r="K23" s="66">
        <v>19.649999999999999</v>
      </c>
      <c r="L23">
        <f t="shared" si="4"/>
        <v>19.619999999999997</v>
      </c>
      <c r="M23" s="114"/>
      <c r="N23" s="115"/>
      <c r="O23" s="115"/>
      <c r="Q23" s="116"/>
      <c r="R23" s="116"/>
      <c r="S23" s="118"/>
      <c r="T23" s="117"/>
    </row>
    <row r="24" spans="1:23">
      <c r="A24" s="59" t="s">
        <v>44</v>
      </c>
      <c r="B24" s="62" t="s">
        <v>47</v>
      </c>
      <c r="C24" s="63" t="s">
        <v>100</v>
      </c>
      <c r="D24" s="161">
        <v>298239</v>
      </c>
      <c r="E24" s="161">
        <v>2205906</v>
      </c>
      <c r="F24" s="76">
        <f t="shared" si="2"/>
        <v>298.30085697433333</v>
      </c>
      <c r="G24" s="64" t="str">
        <f t="shared" si="0"/>
        <v>microH</v>
      </c>
      <c r="H24" s="75">
        <f t="shared" si="1"/>
        <v>2.2060766244666268</v>
      </c>
      <c r="I24" s="162" t="str">
        <f t="shared" si="3"/>
        <v>ohm</v>
      </c>
      <c r="J24" s="3">
        <v>1.5918399999999999</v>
      </c>
      <c r="K24" s="66">
        <v>19.600000000000001</v>
      </c>
      <c r="L24">
        <f t="shared" si="4"/>
        <v>19.57</v>
      </c>
      <c r="M24" s="114"/>
      <c r="N24" s="115"/>
      <c r="O24" s="115"/>
      <c r="Q24" s="116"/>
      <c r="R24" s="116"/>
      <c r="S24" s="118"/>
      <c r="T24" s="117"/>
    </row>
    <row r="25" spans="1:23">
      <c r="A25" s="59" t="s">
        <v>44</v>
      </c>
      <c r="B25" s="62" t="s">
        <v>48</v>
      </c>
      <c r="C25" s="63" t="s">
        <v>100</v>
      </c>
      <c r="D25" s="161">
        <v>396505</v>
      </c>
      <c r="E25" s="161">
        <v>2790983</v>
      </c>
      <c r="F25" s="76">
        <f>(alpha-VLOOKUP(Range,zeros,2,FALSE))*(1+VLOOKUP(Range,corrections,2,FALSE)*0.000001)*VLOOKUP(Range,multiplier,2,FALSE)</f>
        <v>396.58657896238947</v>
      </c>
      <c r="G25" s="64" t="str">
        <f t="shared" si="0"/>
        <v>microH</v>
      </c>
      <c r="H25" s="75">
        <f t="shared" si="1"/>
        <v>2.7911949007843466</v>
      </c>
      <c r="I25" s="162" t="str">
        <f t="shared" si="3"/>
        <v>ohm</v>
      </c>
      <c r="J25" s="3">
        <v>1.5919099999999999</v>
      </c>
      <c r="K25" s="66">
        <v>19.559999999999999</v>
      </c>
      <c r="L25">
        <f t="shared" si="4"/>
        <v>19.529999999999998</v>
      </c>
      <c r="M25" s="114"/>
      <c r="N25" s="115"/>
      <c r="O25" s="115"/>
      <c r="Q25" s="116"/>
      <c r="R25" s="116"/>
      <c r="S25" s="118"/>
      <c r="T25" s="117"/>
      <c r="V25" s="119"/>
      <c r="W25" s="119"/>
    </row>
    <row r="26" spans="1:23">
      <c r="A26" s="59" t="s">
        <v>44</v>
      </c>
      <c r="B26" s="62" t="s">
        <v>49</v>
      </c>
      <c r="C26" s="63" t="s">
        <v>100</v>
      </c>
      <c r="D26" s="161">
        <v>494440</v>
      </c>
      <c r="E26" s="161">
        <v>3174124</v>
      </c>
      <c r="F26" s="76">
        <f>(alpha-VLOOKUP(Range,zeros,2,FALSE))*(1+VLOOKUP(Range,corrections,2,FALSE)*0.000001)*VLOOKUP(Range,multiplier,2,FALSE)</f>
        <v>494.54123451873937</v>
      </c>
      <c r="G26" s="64" t="str">
        <f t="shared" si="0"/>
        <v>microH</v>
      </c>
      <c r="H26" s="75">
        <f t="shared" si="1"/>
        <v>3.1743629308156889</v>
      </c>
      <c r="I26" s="162" t="str">
        <f t="shared" si="3"/>
        <v>ohm</v>
      </c>
      <c r="J26" s="3">
        <v>1.59199</v>
      </c>
      <c r="K26" s="66">
        <v>19.5</v>
      </c>
      <c r="L26">
        <f t="shared" si="4"/>
        <v>19.47</v>
      </c>
      <c r="M26" s="114"/>
      <c r="N26" s="115"/>
      <c r="O26" s="115"/>
      <c r="Q26" s="116"/>
      <c r="R26" s="116"/>
      <c r="S26" s="118"/>
      <c r="T26" s="117"/>
    </row>
    <row r="27" spans="1:23">
      <c r="A27" s="59" t="s">
        <v>44</v>
      </c>
      <c r="B27" s="62" t="s">
        <v>50</v>
      </c>
      <c r="C27" s="63" t="s">
        <v>100</v>
      </c>
      <c r="D27" s="161">
        <v>593475</v>
      </c>
      <c r="E27" s="161">
        <v>3537225</v>
      </c>
      <c r="F27" s="76">
        <f t="shared" si="2"/>
        <v>593.59611084510993</v>
      </c>
      <c r="G27" s="64" t="str">
        <f t="shared" si="0"/>
        <v>microH</v>
      </c>
      <c r="H27" s="75">
        <f t="shared" si="1"/>
        <v>3.5374895470546459</v>
      </c>
      <c r="I27" s="162" t="str">
        <f t="shared" si="3"/>
        <v>ohm</v>
      </c>
      <c r="J27" s="3">
        <v>1.5916399999999999</v>
      </c>
      <c r="K27" s="66">
        <v>19.66</v>
      </c>
      <c r="L27">
        <f t="shared" si="4"/>
        <v>19.63</v>
      </c>
      <c r="M27" s="114"/>
      <c r="N27" s="115"/>
      <c r="O27" s="115"/>
      <c r="Q27" s="116"/>
      <c r="R27" s="116"/>
      <c r="S27" s="118"/>
      <c r="T27" s="117"/>
    </row>
    <row r="28" spans="1:23">
      <c r="A28" s="59" t="s">
        <v>44</v>
      </c>
      <c r="B28" s="62" t="s">
        <v>51</v>
      </c>
      <c r="C28" s="63" t="s">
        <v>100</v>
      </c>
      <c r="D28" s="161">
        <v>691294</v>
      </c>
      <c r="E28" s="161">
        <f>3890800-1000</f>
        <v>3889800</v>
      </c>
      <c r="F28" s="76">
        <f t="shared" si="2"/>
        <v>691.43474312025762</v>
      </c>
      <c r="G28" s="64" t="str">
        <f t="shared" si="0"/>
        <v>microH</v>
      </c>
      <c r="H28" s="75">
        <f t="shared" si="1"/>
        <v>3.8900894206998582</v>
      </c>
      <c r="I28" s="162" t="str">
        <f t="shared" si="3"/>
        <v>ohm</v>
      </c>
      <c r="J28" s="3">
        <v>1.5922099999999999</v>
      </c>
      <c r="K28" s="66">
        <v>19.59</v>
      </c>
      <c r="L28">
        <f t="shared" si="4"/>
        <v>19.559999999999999</v>
      </c>
      <c r="M28" s="114"/>
      <c r="N28" s="115"/>
      <c r="O28" s="115"/>
      <c r="Q28" s="116"/>
      <c r="R28" s="116"/>
      <c r="S28" s="118"/>
      <c r="T28" s="117"/>
      <c r="V28" s="119"/>
      <c r="W28" s="119"/>
    </row>
    <row r="29" spans="1:23">
      <c r="A29" s="59" t="s">
        <v>44</v>
      </c>
      <c r="B29" s="62" t="s">
        <v>52</v>
      </c>
      <c r="C29" s="63" t="s">
        <v>100</v>
      </c>
      <c r="D29" s="161">
        <v>789069</v>
      </c>
      <c r="E29" s="161">
        <v>4192210</v>
      </c>
      <c r="F29" s="76">
        <f>(alpha-VLOOKUP(Range,zeros,2,FALSE))*(1+VLOOKUP(Range,corrections,2,FALSE)*0.000001)*VLOOKUP(Range,multiplier,2,FALSE)</f>
        <v>789.22936656460445</v>
      </c>
      <c r="G29" s="64" t="str">
        <f t="shared" si="0"/>
        <v>microH</v>
      </c>
      <c r="H29" s="75">
        <f t="shared" si="1"/>
        <v>4.1925207552784549</v>
      </c>
      <c r="I29" s="162" t="str">
        <f t="shared" si="3"/>
        <v>ohm</v>
      </c>
      <c r="J29" s="3">
        <v>1.5922799999999999</v>
      </c>
      <c r="K29" s="66">
        <v>19.579999999999998</v>
      </c>
      <c r="L29">
        <f t="shared" si="4"/>
        <v>19.549999999999997</v>
      </c>
      <c r="M29" s="114"/>
      <c r="N29" s="115"/>
      <c r="O29" s="115"/>
      <c r="Q29" s="116"/>
      <c r="R29" s="116"/>
      <c r="S29" s="118"/>
      <c r="T29" s="117"/>
    </row>
    <row r="30" spans="1:23">
      <c r="A30" s="59" t="s">
        <v>44</v>
      </c>
      <c r="B30" s="62" t="s">
        <v>53</v>
      </c>
      <c r="C30" s="63" t="s">
        <v>100</v>
      </c>
      <c r="D30" s="161">
        <v>887314</v>
      </c>
      <c r="E30" s="161">
        <v>4509200</v>
      </c>
      <c r="F30" s="76">
        <f>(alpha-VLOOKUP(Range,zeros,2,FALSE))*(1+VLOOKUP(Range,corrections,2,FALSE)*0.000001)*VLOOKUP(Range,multiplier,2,FALSE)</f>
        <v>887.49408433796009</v>
      </c>
      <c r="G30" s="64" t="str">
        <f t="shared" si="0"/>
        <v>microH</v>
      </c>
      <c r="H30" s="75">
        <f t="shared" si="1"/>
        <v>4.5095331184545051</v>
      </c>
      <c r="I30" s="162" t="str">
        <f t="shared" si="3"/>
        <v>ohm</v>
      </c>
      <c r="J30" s="3">
        <v>1.5923400000000001</v>
      </c>
      <c r="K30" s="66">
        <v>19.5</v>
      </c>
      <c r="L30">
        <f t="shared" si="4"/>
        <v>19.47</v>
      </c>
      <c r="M30" s="114"/>
      <c r="N30" s="115"/>
      <c r="O30" s="115"/>
      <c r="Q30" s="116"/>
      <c r="R30" s="116"/>
      <c r="S30" s="118"/>
      <c r="T30" s="117"/>
    </row>
    <row r="31" spans="1:23">
      <c r="A31" s="59" t="s">
        <v>44</v>
      </c>
      <c r="B31" s="62" t="s">
        <v>54</v>
      </c>
      <c r="C31" s="63" t="s">
        <v>100</v>
      </c>
      <c r="D31" s="161">
        <v>984751</v>
      </c>
      <c r="E31" s="161">
        <v>4815910</v>
      </c>
      <c r="F31" s="76">
        <f t="shared" si="2"/>
        <v>984.95063994570069</v>
      </c>
      <c r="G31" s="64" t="str">
        <f t="shared" si="0"/>
        <v>microH</v>
      </c>
      <c r="H31" s="75">
        <f t="shared" si="1"/>
        <v>4.8162647563917478</v>
      </c>
      <c r="I31" s="162" t="str">
        <f t="shared" si="3"/>
        <v>ohm</v>
      </c>
      <c r="J31" s="3">
        <v>1.5923799999999999</v>
      </c>
      <c r="K31" s="66">
        <v>19.420000000000002</v>
      </c>
      <c r="L31">
        <f t="shared" si="4"/>
        <v>19.39</v>
      </c>
      <c r="M31" s="114"/>
      <c r="N31" s="115"/>
      <c r="O31" s="115"/>
      <c r="Q31" s="116"/>
      <c r="R31" s="116"/>
      <c r="S31" s="118"/>
      <c r="T31" s="117"/>
      <c r="V31" s="119"/>
      <c r="W31" s="119"/>
    </row>
    <row r="32" spans="1:23">
      <c r="A32" s="59" t="s">
        <v>44</v>
      </c>
      <c r="B32" s="73" t="s">
        <v>55</v>
      </c>
      <c r="C32" s="73" t="s">
        <v>100</v>
      </c>
      <c r="D32" s="160">
        <f>8-10</f>
        <v>-2</v>
      </c>
      <c r="E32" s="160">
        <f>85-100</f>
        <v>-15</v>
      </c>
      <c r="F32" s="67">
        <f t="shared" si="2"/>
        <v>0</v>
      </c>
      <c r="G32" s="64" t="str">
        <f t="shared" si="0"/>
        <v>microH</v>
      </c>
      <c r="H32" s="75">
        <f t="shared" si="1"/>
        <v>0</v>
      </c>
      <c r="I32" s="104" t="str">
        <f t="shared" si="3"/>
        <v>ohm</v>
      </c>
      <c r="J32" s="3">
        <v>1.5916699999999999</v>
      </c>
      <c r="K32" s="66">
        <v>19.690000000000001</v>
      </c>
      <c r="L32">
        <f t="shared" si="4"/>
        <v>19.66</v>
      </c>
      <c r="M32" s="114"/>
      <c r="N32" s="115"/>
      <c r="O32" s="115"/>
      <c r="Q32" s="116"/>
      <c r="R32" s="116"/>
    </row>
    <row r="33" spans="1:14">
      <c r="A33" s="61" t="s">
        <v>0</v>
      </c>
      <c r="B33" s="62"/>
      <c r="C33" s="63"/>
      <c r="D33" s="160"/>
      <c r="E33" s="160"/>
      <c r="F33" s="67" t="e">
        <f>(alpha-VLOOKUP(Range,zeros,2,FALSE))*(1+VLOOKUP(Range,corrections,2,FALSE)*0.000001)*VLOOKUP(Range,multiplier,2,FALSE)</f>
        <v>#N/A</v>
      </c>
      <c r="G33" s="64" t="e">
        <f t="shared" si="0"/>
        <v>#N/A</v>
      </c>
      <c r="H33" s="75" t="e">
        <f t="shared" si="1"/>
        <v>#N/A</v>
      </c>
      <c r="I33" s="72" t="e">
        <f t="shared" si="3"/>
        <v>#N/A</v>
      </c>
      <c r="J33" s="3"/>
      <c r="K33" s="66"/>
      <c r="M33" s="82"/>
      <c r="N33" s="82"/>
    </row>
    <row r="34" spans="1:14">
      <c r="A34" s="61" t="s">
        <v>0</v>
      </c>
      <c r="B34" s="62"/>
      <c r="C34" s="63"/>
      <c r="D34" s="160"/>
      <c r="E34" s="160"/>
      <c r="F34" s="67" t="e">
        <f>(alpha-VLOOKUP(Range,zeros,2,FALSE))*(1+VLOOKUP(Range,corrections,2,FALSE)*0.000001)*VLOOKUP(Range,multiplier,2,FALSE)</f>
        <v>#N/A</v>
      </c>
      <c r="G34" s="64" t="e">
        <f t="shared" si="0"/>
        <v>#N/A</v>
      </c>
      <c r="H34" s="75" t="e">
        <f t="shared" si="1"/>
        <v>#N/A</v>
      </c>
      <c r="I34" s="72" t="e">
        <f t="shared" si="3"/>
        <v>#N/A</v>
      </c>
      <c r="J34" s="3"/>
      <c r="K34" s="66"/>
      <c r="M34" s="82"/>
      <c r="N34" s="82"/>
    </row>
    <row r="35" spans="1:14">
      <c r="A35" s="61" t="s">
        <v>0</v>
      </c>
      <c r="B35" s="62"/>
      <c r="C35" s="63"/>
      <c r="D35" s="160"/>
      <c r="E35" s="160"/>
      <c r="F35" s="67" t="e">
        <f t="shared" si="2"/>
        <v>#N/A</v>
      </c>
      <c r="G35" s="64" t="e">
        <f t="shared" si="0"/>
        <v>#N/A</v>
      </c>
      <c r="H35" s="75" t="e">
        <f t="shared" si="1"/>
        <v>#N/A</v>
      </c>
      <c r="I35" s="72" t="e">
        <f t="shared" si="3"/>
        <v>#N/A</v>
      </c>
      <c r="J35" s="3"/>
      <c r="K35" s="66"/>
      <c r="M35" s="82"/>
      <c r="N35" s="82"/>
    </row>
    <row r="36" spans="1:14">
      <c r="A36" s="61" t="s">
        <v>0</v>
      </c>
      <c r="B36" s="62"/>
      <c r="C36" s="63"/>
      <c r="D36" s="160"/>
      <c r="E36" s="160"/>
      <c r="F36" s="67" t="e">
        <f>(alpha-VLOOKUP(Range,zeros,2,FALSE))*(1+VLOOKUP(Range,corrections,2,FALSE)*0.000001)*VLOOKUP(Range,multiplier,2,FALSE)</f>
        <v>#N/A</v>
      </c>
      <c r="G36" s="64" t="e">
        <f t="shared" si="0"/>
        <v>#N/A</v>
      </c>
      <c r="H36" s="75" t="e">
        <f t="shared" si="1"/>
        <v>#N/A</v>
      </c>
      <c r="I36" s="72" t="e">
        <f t="shared" si="3"/>
        <v>#N/A</v>
      </c>
      <c r="J36" s="3"/>
      <c r="K36" s="66"/>
      <c r="M36" s="82"/>
      <c r="N36" s="82"/>
    </row>
    <row r="37" spans="1:14">
      <c r="A37" s="61" t="s">
        <v>0</v>
      </c>
      <c r="B37" s="62"/>
      <c r="C37" s="63"/>
      <c r="D37" s="160"/>
      <c r="E37" s="160"/>
      <c r="F37" s="67" t="e">
        <f>(alpha-VLOOKUP(Range,zeros,2,FALSE))*(1+VLOOKUP(Range,corrections,2,FALSE)*0.000001)*VLOOKUP(Range,multiplier,2,FALSE)</f>
        <v>#N/A</v>
      </c>
      <c r="G37" s="64" t="e">
        <f t="shared" si="0"/>
        <v>#N/A</v>
      </c>
      <c r="H37" s="75" t="e">
        <f t="shared" si="1"/>
        <v>#N/A</v>
      </c>
      <c r="I37" s="72" t="e">
        <f t="shared" si="3"/>
        <v>#N/A</v>
      </c>
      <c r="J37" s="3"/>
      <c r="K37" s="66"/>
      <c r="M37" s="82"/>
      <c r="N37" s="82"/>
    </row>
    <row r="38" spans="1:14">
      <c r="A38" s="61" t="s">
        <v>0</v>
      </c>
      <c r="B38" s="62"/>
      <c r="C38" s="63"/>
      <c r="D38" s="160"/>
      <c r="E38" s="160"/>
      <c r="F38" s="67" t="e">
        <f>(alpha-VLOOKUP(Range,zeros,2,FALSE))*(1+VLOOKUP(Range,corrections,2,FALSE)*0.000001)*VLOOKUP(Range,multiplier,2,FALSE)</f>
        <v>#N/A</v>
      </c>
      <c r="G38" s="64" t="e">
        <f t="shared" si="0"/>
        <v>#N/A</v>
      </c>
      <c r="H38" s="75" t="e">
        <f t="shared" si="1"/>
        <v>#N/A</v>
      </c>
      <c r="I38" s="72" t="e">
        <f t="shared" si="3"/>
        <v>#N/A</v>
      </c>
      <c r="J38" s="3"/>
      <c r="K38" s="66"/>
      <c r="M38" s="82"/>
      <c r="N38" s="82"/>
    </row>
    <row r="39" spans="1:14">
      <c r="A39" s="61" t="s">
        <v>0</v>
      </c>
      <c r="B39" s="62"/>
      <c r="C39" s="63"/>
      <c r="D39" s="160"/>
      <c r="E39" s="160"/>
      <c r="F39" s="67" t="e">
        <f t="shared" si="2"/>
        <v>#N/A</v>
      </c>
      <c r="G39" s="64" t="e">
        <f t="shared" si="0"/>
        <v>#N/A</v>
      </c>
      <c r="H39" s="75" t="e">
        <f t="shared" si="1"/>
        <v>#N/A</v>
      </c>
      <c r="I39" s="72" t="e">
        <f t="shared" si="3"/>
        <v>#N/A</v>
      </c>
      <c r="J39" s="3"/>
      <c r="K39" s="66"/>
      <c r="M39" s="82"/>
      <c r="N39" s="82"/>
    </row>
    <row r="40" spans="1:14">
      <c r="A40" s="61" t="s">
        <v>0</v>
      </c>
      <c r="B40" s="62"/>
      <c r="C40" s="63"/>
      <c r="D40" s="160"/>
      <c r="E40" s="160"/>
      <c r="F40" s="67" t="e">
        <f>(alpha-VLOOKUP(Range,zeros,2,FALSE))*(1+VLOOKUP(Range,corrections,2,FALSE)*0.000001)*VLOOKUP(Range,multiplier,2,FALSE)</f>
        <v>#N/A</v>
      </c>
      <c r="G40" s="64" t="e">
        <f t="shared" si="0"/>
        <v>#N/A</v>
      </c>
      <c r="H40" s="75" t="e">
        <f t="shared" si="1"/>
        <v>#N/A</v>
      </c>
      <c r="I40" s="72" t="e">
        <f t="shared" si="3"/>
        <v>#N/A</v>
      </c>
      <c r="J40" s="3"/>
      <c r="K40" s="66"/>
      <c r="M40" s="82"/>
      <c r="N40" s="82"/>
    </row>
    <row r="41" spans="1:14">
      <c r="A41" s="61" t="s">
        <v>0</v>
      </c>
      <c r="B41" s="62"/>
      <c r="C41" s="63"/>
      <c r="D41" s="160"/>
      <c r="E41" s="160"/>
      <c r="F41" s="67" t="e">
        <f>(alpha-VLOOKUP(Range,zeros,2,FALSE))*(1+VLOOKUP(Range,corrections,2,FALSE)*0.000001)*VLOOKUP(Range,multiplier,2,FALSE)</f>
        <v>#N/A</v>
      </c>
      <c r="G41" s="64" t="e">
        <f t="shared" si="0"/>
        <v>#N/A</v>
      </c>
      <c r="H41" s="75" t="e">
        <f t="shared" si="1"/>
        <v>#N/A</v>
      </c>
      <c r="I41" s="72" t="e">
        <f t="shared" si="3"/>
        <v>#N/A</v>
      </c>
      <c r="J41" s="3"/>
      <c r="K41" s="66"/>
      <c r="M41" s="82"/>
      <c r="N41" s="82"/>
    </row>
    <row r="42" spans="1:14">
      <c r="A42" s="61" t="s">
        <v>0</v>
      </c>
      <c r="B42" s="62"/>
      <c r="C42" s="63"/>
      <c r="D42" s="160"/>
      <c r="E42" s="160"/>
      <c r="F42" s="67" t="e">
        <f>(alpha-VLOOKUP(Range,zeros,2,FALSE))*(1+VLOOKUP(Range,corrections,2,FALSE)*0.000001)*VLOOKUP(Range,multiplier,2,FALSE)</f>
        <v>#N/A</v>
      </c>
      <c r="G42" s="64" t="e">
        <f t="shared" ref="G42:G88" si="5">VLOOKUP(Range,multiplier,3,FALSE)</f>
        <v>#N/A</v>
      </c>
      <c r="H42" s="75" t="e">
        <f t="shared" ref="H42:H88" si="6">(beta-VLOOKUP(Range,zeros,3,FALSE))*(1+VLOOKUP(Range,corrections,3,FALSE)*0.000001)*VLOOKUP(Range,multiplier,5,FALSE)</f>
        <v>#N/A</v>
      </c>
      <c r="I42" s="72" t="e">
        <f t="shared" si="3"/>
        <v>#N/A</v>
      </c>
      <c r="J42" s="3"/>
      <c r="K42" s="66"/>
      <c r="M42" s="82"/>
      <c r="N42" s="82"/>
    </row>
    <row r="43" spans="1:14">
      <c r="A43" s="61" t="s">
        <v>0</v>
      </c>
      <c r="B43" s="73"/>
      <c r="C43" s="73"/>
      <c r="D43" s="160"/>
      <c r="E43" s="160"/>
      <c r="F43" s="67" t="e">
        <f t="shared" si="2"/>
        <v>#N/A</v>
      </c>
      <c r="G43" s="64" t="e">
        <f t="shared" si="5"/>
        <v>#N/A</v>
      </c>
      <c r="H43" s="75" t="e">
        <f t="shared" si="6"/>
        <v>#N/A</v>
      </c>
      <c r="I43" s="72" t="e">
        <f t="shared" si="3"/>
        <v>#N/A</v>
      </c>
      <c r="J43" s="3"/>
      <c r="K43" s="66"/>
      <c r="M43" s="82"/>
      <c r="N43" s="82"/>
    </row>
    <row r="44" spans="1:14">
      <c r="A44" s="61" t="s">
        <v>58</v>
      </c>
      <c r="B44" s="73"/>
      <c r="C44" s="73"/>
      <c r="D44" s="160"/>
      <c r="E44" s="160"/>
      <c r="F44" s="67" t="e">
        <f t="shared" si="2"/>
        <v>#N/A</v>
      </c>
      <c r="G44" s="64" t="e">
        <f t="shared" si="5"/>
        <v>#N/A</v>
      </c>
      <c r="H44" s="75" t="e">
        <f t="shared" si="6"/>
        <v>#N/A</v>
      </c>
      <c r="I44" s="72" t="e">
        <f>VLOOKUP(Range,multiplier,6,FALSE)</f>
        <v>#N/A</v>
      </c>
      <c r="J44" s="3"/>
      <c r="K44" s="66"/>
      <c r="M44" s="82"/>
      <c r="N44" s="82"/>
    </row>
    <row r="45" spans="1:14">
      <c r="A45" s="61" t="s">
        <v>58</v>
      </c>
      <c r="B45" s="62"/>
      <c r="C45" s="63"/>
      <c r="D45" s="160"/>
      <c r="E45" s="160"/>
      <c r="F45" s="67" t="e">
        <f t="shared" si="2"/>
        <v>#N/A</v>
      </c>
      <c r="G45" s="64" t="e">
        <f t="shared" si="5"/>
        <v>#N/A</v>
      </c>
      <c r="H45" s="75" t="e">
        <f t="shared" si="6"/>
        <v>#N/A</v>
      </c>
      <c r="I45" s="72" t="e">
        <f>VLOOKUP(Range,multiplier,6,FALSE)</f>
        <v>#N/A</v>
      </c>
      <c r="J45" s="3"/>
      <c r="K45" s="66"/>
      <c r="M45" s="82"/>
      <c r="N45" s="82"/>
    </row>
    <row r="46" spans="1:14">
      <c r="A46" s="61" t="s">
        <v>58</v>
      </c>
      <c r="B46" s="62"/>
      <c r="C46" s="63"/>
      <c r="D46" s="160"/>
      <c r="E46" s="160"/>
      <c r="F46" s="67" t="e">
        <f t="shared" si="2"/>
        <v>#N/A</v>
      </c>
      <c r="G46" s="64" t="e">
        <f t="shared" si="5"/>
        <v>#N/A</v>
      </c>
      <c r="H46" s="75" t="e">
        <f t="shared" si="6"/>
        <v>#N/A</v>
      </c>
      <c r="I46" s="64" t="e">
        <f>VLOOKUP(Range,multiplier,6,FALSE)</f>
        <v>#N/A</v>
      </c>
      <c r="J46" s="3"/>
      <c r="K46" s="66"/>
      <c r="M46" s="82"/>
      <c r="N46" s="82"/>
    </row>
    <row r="47" spans="1:14">
      <c r="A47" s="61" t="s">
        <v>58</v>
      </c>
      <c r="B47" s="62"/>
      <c r="C47" s="63"/>
      <c r="D47" s="160"/>
      <c r="E47" s="160"/>
      <c r="F47" s="67" t="e">
        <f t="shared" si="2"/>
        <v>#N/A</v>
      </c>
      <c r="G47" s="64" t="e">
        <f t="shared" si="5"/>
        <v>#N/A</v>
      </c>
      <c r="H47" s="75" t="e">
        <f t="shared" si="6"/>
        <v>#N/A</v>
      </c>
      <c r="I47" s="72" t="e">
        <f t="shared" si="3"/>
        <v>#N/A</v>
      </c>
      <c r="J47" s="3"/>
      <c r="K47" s="66"/>
      <c r="M47" s="82"/>
      <c r="N47" s="82"/>
    </row>
    <row r="48" spans="1:14">
      <c r="A48" s="61" t="s">
        <v>58</v>
      </c>
      <c r="B48" s="62"/>
      <c r="C48" s="63"/>
      <c r="D48" s="160"/>
      <c r="E48" s="160"/>
      <c r="F48" s="67" t="e">
        <f t="shared" si="2"/>
        <v>#N/A</v>
      </c>
      <c r="G48" s="64" t="e">
        <f t="shared" si="5"/>
        <v>#N/A</v>
      </c>
      <c r="H48" s="75" t="e">
        <f t="shared" si="6"/>
        <v>#N/A</v>
      </c>
      <c r="I48" s="72" t="e">
        <f t="shared" ref="I48:I56" si="7">VLOOKUP(Range,multiplier,6,FALSE)</f>
        <v>#N/A</v>
      </c>
      <c r="J48" s="3"/>
      <c r="K48" s="66"/>
      <c r="M48" s="82"/>
      <c r="N48" s="82"/>
    </row>
    <row r="49" spans="1:20">
      <c r="A49" s="61" t="s">
        <v>58</v>
      </c>
      <c r="B49" s="62"/>
      <c r="C49" s="63"/>
      <c r="D49" s="160"/>
      <c r="E49" s="160"/>
      <c r="F49" s="67" t="e">
        <f t="shared" si="2"/>
        <v>#N/A</v>
      </c>
      <c r="G49" s="64" t="e">
        <f t="shared" si="5"/>
        <v>#N/A</v>
      </c>
      <c r="H49" s="75" t="e">
        <f t="shared" si="6"/>
        <v>#N/A</v>
      </c>
      <c r="I49" s="72" t="e">
        <f t="shared" si="7"/>
        <v>#N/A</v>
      </c>
      <c r="J49" s="3"/>
      <c r="K49" s="66"/>
      <c r="M49" s="82"/>
      <c r="N49" s="82"/>
    </row>
    <row r="50" spans="1:20">
      <c r="A50" s="61" t="s">
        <v>58</v>
      </c>
      <c r="B50" s="62"/>
      <c r="C50" s="63"/>
      <c r="D50" s="160"/>
      <c r="E50" s="160"/>
      <c r="F50" s="67" t="e">
        <f t="shared" si="2"/>
        <v>#N/A</v>
      </c>
      <c r="G50" s="64" t="e">
        <f t="shared" si="5"/>
        <v>#N/A</v>
      </c>
      <c r="H50" s="75" t="e">
        <f t="shared" si="6"/>
        <v>#N/A</v>
      </c>
      <c r="I50" s="64" t="e">
        <f t="shared" si="7"/>
        <v>#N/A</v>
      </c>
      <c r="J50" s="3"/>
      <c r="K50" s="66"/>
      <c r="M50" s="82"/>
      <c r="N50" s="82"/>
    </row>
    <row r="51" spans="1:20">
      <c r="A51" s="61" t="s">
        <v>58</v>
      </c>
      <c r="B51" s="62"/>
      <c r="C51" s="63"/>
      <c r="D51" s="160"/>
      <c r="E51" s="160"/>
      <c r="F51" s="67" t="e">
        <f t="shared" si="2"/>
        <v>#N/A</v>
      </c>
      <c r="G51" s="64" t="e">
        <f t="shared" si="5"/>
        <v>#N/A</v>
      </c>
      <c r="H51" s="69" t="e">
        <f t="shared" si="6"/>
        <v>#N/A</v>
      </c>
      <c r="I51" s="72" t="e">
        <f t="shared" si="7"/>
        <v>#N/A</v>
      </c>
      <c r="J51" s="3"/>
      <c r="K51" s="66"/>
      <c r="M51" s="82"/>
      <c r="N51" s="82"/>
    </row>
    <row r="52" spans="1:20">
      <c r="A52" s="61" t="s">
        <v>58</v>
      </c>
      <c r="B52" s="62"/>
      <c r="C52" s="63"/>
      <c r="D52" s="160"/>
      <c r="E52" s="160"/>
      <c r="F52" s="67" t="e">
        <f t="shared" si="2"/>
        <v>#N/A</v>
      </c>
      <c r="G52" s="64" t="e">
        <f t="shared" si="5"/>
        <v>#N/A</v>
      </c>
      <c r="H52" s="69" t="e">
        <f t="shared" si="6"/>
        <v>#N/A</v>
      </c>
      <c r="I52" s="72" t="e">
        <f t="shared" si="7"/>
        <v>#N/A</v>
      </c>
      <c r="J52" s="3"/>
      <c r="K52" s="66"/>
      <c r="M52" s="82"/>
      <c r="N52" s="82"/>
    </row>
    <row r="53" spans="1:20">
      <c r="A53" s="61" t="s">
        <v>58</v>
      </c>
      <c r="B53" s="62"/>
      <c r="C53" s="63"/>
      <c r="D53" s="160"/>
      <c r="E53" s="160"/>
      <c r="F53" s="67" t="e">
        <f t="shared" si="2"/>
        <v>#N/A</v>
      </c>
      <c r="G53" s="64" t="e">
        <f t="shared" si="5"/>
        <v>#N/A</v>
      </c>
      <c r="H53" s="69" t="e">
        <f t="shared" si="6"/>
        <v>#N/A</v>
      </c>
      <c r="I53" s="72" t="e">
        <f t="shared" si="7"/>
        <v>#N/A</v>
      </c>
      <c r="J53" s="3"/>
      <c r="K53" s="66"/>
      <c r="M53" s="82"/>
      <c r="N53" s="82"/>
    </row>
    <row r="54" spans="1:20">
      <c r="A54" s="61" t="s">
        <v>58</v>
      </c>
      <c r="B54" s="62"/>
      <c r="C54" s="63"/>
      <c r="D54" s="160"/>
      <c r="E54" s="160"/>
      <c r="F54" s="67" t="e">
        <f t="shared" si="2"/>
        <v>#N/A</v>
      </c>
      <c r="G54" s="64" t="e">
        <f t="shared" si="5"/>
        <v>#N/A</v>
      </c>
      <c r="H54" s="69" t="e">
        <f t="shared" si="6"/>
        <v>#N/A</v>
      </c>
      <c r="I54" s="72" t="e">
        <f t="shared" si="7"/>
        <v>#N/A</v>
      </c>
      <c r="J54" s="3"/>
      <c r="K54" s="66"/>
      <c r="M54" s="82"/>
      <c r="N54" s="82"/>
    </row>
    <row r="55" spans="1:20">
      <c r="A55" s="61"/>
      <c r="B55" s="73"/>
      <c r="C55" s="73"/>
      <c r="D55" s="160"/>
      <c r="E55" s="160"/>
      <c r="F55" s="67" t="e">
        <f t="shared" si="2"/>
        <v>#N/A</v>
      </c>
      <c r="G55" s="64" t="e">
        <f t="shared" si="5"/>
        <v>#N/A</v>
      </c>
      <c r="H55" s="69" t="e">
        <f t="shared" si="6"/>
        <v>#N/A</v>
      </c>
      <c r="I55" s="72" t="e">
        <f t="shared" si="7"/>
        <v>#N/A</v>
      </c>
      <c r="J55" s="3"/>
      <c r="K55" s="66"/>
    </row>
    <row r="56" spans="1:20">
      <c r="A56" s="61" t="s">
        <v>59</v>
      </c>
      <c r="B56" s="62"/>
      <c r="C56" s="63"/>
      <c r="D56" s="160"/>
      <c r="E56" s="160"/>
      <c r="F56" s="67" t="e">
        <f>(alpha-VLOOKUP(Range,zeros,2,FALSE))*(1+VLOOKUP(Range,corrections,2,FALSE)*0.000001)*VLOOKUP(Range,multiplier,2,FALSE)</f>
        <v>#N/A</v>
      </c>
      <c r="G56" s="64" t="e">
        <f t="shared" si="5"/>
        <v>#N/A</v>
      </c>
      <c r="H56" s="69" t="e">
        <f t="shared" si="6"/>
        <v>#N/A</v>
      </c>
      <c r="I56" s="72" t="e">
        <f t="shared" si="7"/>
        <v>#N/A</v>
      </c>
      <c r="J56" s="3"/>
      <c r="K56" s="66"/>
      <c r="M56" s="114"/>
      <c r="N56" s="115"/>
      <c r="O56" s="115"/>
      <c r="P56" s="115"/>
      <c r="Q56" s="116"/>
      <c r="R56" s="116"/>
      <c r="S56" s="118"/>
      <c r="T56" s="117"/>
    </row>
    <row r="57" spans="1:20">
      <c r="A57" s="61" t="s">
        <v>59</v>
      </c>
      <c r="B57" s="62"/>
      <c r="C57" s="63"/>
      <c r="D57" s="160"/>
      <c r="E57" s="160"/>
      <c r="F57" s="76" t="e">
        <f t="shared" si="2"/>
        <v>#N/A</v>
      </c>
      <c r="G57" s="64" t="e">
        <f t="shared" si="5"/>
        <v>#N/A</v>
      </c>
      <c r="H57" s="69" t="e">
        <f t="shared" si="6"/>
        <v>#N/A</v>
      </c>
      <c r="I57" s="72" t="e">
        <f t="shared" si="3"/>
        <v>#N/A</v>
      </c>
      <c r="J57" s="3"/>
      <c r="K57" s="66"/>
      <c r="M57" s="114"/>
      <c r="N57" s="115"/>
      <c r="O57" s="115"/>
      <c r="P57" s="115"/>
      <c r="Q57" s="116"/>
      <c r="R57" s="116"/>
      <c r="S57" s="118"/>
      <c r="T57" s="117"/>
    </row>
    <row r="58" spans="1:20">
      <c r="A58" s="61" t="s">
        <v>59</v>
      </c>
      <c r="B58" s="62"/>
      <c r="C58" s="63"/>
      <c r="D58" s="160"/>
      <c r="E58" s="160"/>
      <c r="F58" s="67" t="e">
        <f t="shared" ref="F58:F66" si="8">(alpha-VLOOKUP(Range,zeros,2,FALSE))*(1+VLOOKUP(Range,corrections,2,FALSE)*0.000001)*VLOOKUP(Range,multiplier,2,FALSE)</f>
        <v>#N/A</v>
      </c>
      <c r="G58" s="64" t="e">
        <f t="shared" si="5"/>
        <v>#N/A</v>
      </c>
      <c r="H58" s="69" t="e">
        <f t="shared" si="6"/>
        <v>#N/A</v>
      </c>
      <c r="I58" s="72" t="e">
        <f t="shared" ref="I58:I66" si="9">VLOOKUP(Range,multiplier,6,FALSE)</f>
        <v>#N/A</v>
      </c>
      <c r="J58" s="3"/>
      <c r="K58" s="66"/>
      <c r="M58" s="114"/>
      <c r="N58" s="115"/>
      <c r="O58" s="115"/>
      <c r="P58" s="115"/>
      <c r="Q58" s="116"/>
      <c r="R58" s="116"/>
      <c r="S58" s="118"/>
      <c r="T58" s="117"/>
    </row>
    <row r="59" spans="1:20">
      <c r="A59" s="61" t="s">
        <v>59</v>
      </c>
      <c r="B59" s="62"/>
      <c r="C59" s="63"/>
      <c r="D59" s="160"/>
      <c r="E59" s="160"/>
      <c r="F59" s="67" t="e">
        <f t="shared" si="8"/>
        <v>#N/A</v>
      </c>
      <c r="G59" s="64" t="e">
        <f t="shared" si="5"/>
        <v>#N/A</v>
      </c>
      <c r="H59" s="69" t="e">
        <f t="shared" si="6"/>
        <v>#N/A</v>
      </c>
      <c r="I59" s="72" t="e">
        <f t="shared" si="9"/>
        <v>#N/A</v>
      </c>
      <c r="J59" s="3"/>
      <c r="K59" s="66"/>
      <c r="M59" s="114"/>
      <c r="N59" s="115"/>
      <c r="O59" s="115"/>
      <c r="P59" s="115"/>
      <c r="Q59" s="116"/>
      <c r="R59" s="116"/>
      <c r="S59" s="118"/>
      <c r="T59" s="117"/>
    </row>
    <row r="60" spans="1:20">
      <c r="A60" s="61" t="s">
        <v>59</v>
      </c>
      <c r="B60" s="62"/>
      <c r="C60" s="63"/>
      <c r="D60" s="160"/>
      <c r="E60" s="160"/>
      <c r="F60" s="67" t="e">
        <f t="shared" si="8"/>
        <v>#N/A</v>
      </c>
      <c r="G60" s="64" t="e">
        <f t="shared" si="5"/>
        <v>#N/A</v>
      </c>
      <c r="H60" s="69" t="e">
        <f t="shared" si="6"/>
        <v>#N/A</v>
      </c>
      <c r="I60" s="72" t="e">
        <f t="shared" si="9"/>
        <v>#N/A</v>
      </c>
      <c r="J60" s="3"/>
      <c r="K60" s="66"/>
      <c r="M60" s="114"/>
      <c r="N60" s="115"/>
      <c r="O60" s="115"/>
      <c r="P60" s="115"/>
      <c r="Q60" s="116"/>
      <c r="R60" s="116"/>
      <c r="S60" s="118"/>
      <c r="T60" s="117"/>
    </row>
    <row r="61" spans="1:20">
      <c r="A61" s="61" t="s">
        <v>59</v>
      </c>
      <c r="B61" s="62"/>
      <c r="C61" s="63"/>
      <c r="D61" s="160"/>
      <c r="E61" s="160"/>
      <c r="F61" s="67" t="e">
        <f t="shared" si="8"/>
        <v>#N/A</v>
      </c>
      <c r="G61" s="64" t="e">
        <f t="shared" si="5"/>
        <v>#N/A</v>
      </c>
      <c r="H61" s="69" t="e">
        <f t="shared" si="6"/>
        <v>#N/A</v>
      </c>
      <c r="I61" s="72" t="e">
        <f t="shared" si="9"/>
        <v>#N/A</v>
      </c>
      <c r="J61" s="3"/>
      <c r="K61" s="66"/>
      <c r="M61" s="114"/>
      <c r="N61" s="115"/>
      <c r="O61" s="115"/>
      <c r="P61" s="115"/>
      <c r="Q61" s="116"/>
      <c r="R61" s="116"/>
      <c r="S61" s="118"/>
      <c r="T61" s="117"/>
    </row>
    <row r="62" spans="1:20">
      <c r="A62" s="61" t="s">
        <v>59</v>
      </c>
      <c r="B62" s="62"/>
      <c r="C62" s="63"/>
      <c r="D62" s="160"/>
      <c r="E62" s="160"/>
      <c r="F62" s="67" t="e">
        <f t="shared" si="8"/>
        <v>#N/A</v>
      </c>
      <c r="G62" s="64" t="e">
        <f t="shared" si="5"/>
        <v>#N/A</v>
      </c>
      <c r="H62" s="69" t="e">
        <f t="shared" si="6"/>
        <v>#N/A</v>
      </c>
      <c r="I62" s="72" t="e">
        <f t="shared" si="9"/>
        <v>#N/A</v>
      </c>
      <c r="J62" s="3"/>
      <c r="K62" s="66"/>
      <c r="M62" s="114"/>
      <c r="N62" s="115"/>
      <c r="O62" s="115"/>
      <c r="P62" s="115"/>
      <c r="Q62" s="116"/>
      <c r="R62" s="116"/>
      <c r="S62" s="118"/>
      <c r="T62" s="117"/>
    </row>
    <row r="63" spans="1:20">
      <c r="A63" s="61" t="s">
        <v>59</v>
      </c>
      <c r="B63" s="62"/>
      <c r="C63" s="63"/>
      <c r="D63" s="160"/>
      <c r="E63" s="160"/>
      <c r="F63" s="67" t="e">
        <f t="shared" si="8"/>
        <v>#N/A</v>
      </c>
      <c r="G63" s="64" t="e">
        <f t="shared" si="5"/>
        <v>#N/A</v>
      </c>
      <c r="H63" s="69" t="e">
        <f t="shared" si="6"/>
        <v>#N/A</v>
      </c>
      <c r="I63" s="72" t="e">
        <f t="shared" si="9"/>
        <v>#N/A</v>
      </c>
      <c r="J63" s="3"/>
      <c r="K63" s="66"/>
      <c r="M63" s="114"/>
      <c r="N63" s="115"/>
      <c r="O63" s="115"/>
      <c r="P63" s="115"/>
      <c r="Q63" s="116"/>
      <c r="R63" s="116"/>
      <c r="S63" s="118"/>
      <c r="T63" s="117"/>
    </row>
    <row r="64" spans="1:20">
      <c r="A64" s="61" t="s">
        <v>59</v>
      </c>
      <c r="B64" s="62"/>
      <c r="C64" s="63"/>
      <c r="D64" s="160"/>
      <c r="E64" s="160"/>
      <c r="F64" s="67" t="e">
        <f t="shared" si="8"/>
        <v>#N/A</v>
      </c>
      <c r="G64" s="64" t="e">
        <f t="shared" si="5"/>
        <v>#N/A</v>
      </c>
      <c r="H64" s="69" t="e">
        <f t="shared" si="6"/>
        <v>#N/A</v>
      </c>
      <c r="I64" s="72" t="e">
        <f t="shared" si="9"/>
        <v>#N/A</v>
      </c>
      <c r="J64" s="3"/>
      <c r="K64" s="66"/>
      <c r="M64" s="114"/>
      <c r="N64" s="115"/>
    </row>
    <row r="65" spans="1:20">
      <c r="A65" s="61" t="s">
        <v>59</v>
      </c>
      <c r="B65" s="62"/>
      <c r="C65" s="63"/>
      <c r="D65" s="160"/>
      <c r="E65" s="160"/>
      <c r="F65" s="67" t="e">
        <f t="shared" si="8"/>
        <v>#N/A</v>
      </c>
      <c r="G65" s="68" t="e">
        <f t="shared" si="5"/>
        <v>#N/A</v>
      </c>
      <c r="H65" s="69" t="e">
        <f t="shared" si="6"/>
        <v>#N/A</v>
      </c>
      <c r="I65" s="70" t="e">
        <f t="shared" si="9"/>
        <v>#N/A</v>
      </c>
      <c r="J65" s="3"/>
      <c r="K65" s="66"/>
      <c r="M65" s="114"/>
      <c r="N65" s="115"/>
    </row>
    <row r="66" spans="1:20">
      <c r="A66" s="61" t="s">
        <v>59</v>
      </c>
      <c r="B66" s="73"/>
      <c r="C66" s="73"/>
      <c r="D66" s="160"/>
      <c r="E66" s="160"/>
      <c r="F66" s="67" t="e">
        <f t="shared" si="8"/>
        <v>#N/A</v>
      </c>
      <c r="G66" s="68" t="e">
        <f t="shared" si="5"/>
        <v>#N/A</v>
      </c>
      <c r="H66" s="69" t="e">
        <f t="shared" si="6"/>
        <v>#N/A</v>
      </c>
      <c r="I66" s="70" t="e">
        <f t="shared" si="9"/>
        <v>#N/A</v>
      </c>
      <c r="J66" s="3"/>
      <c r="K66" s="66"/>
      <c r="M66" s="114"/>
      <c r="N66" s="115"/>
    </row>
    <row r="67" spans="1:20">
      <c r="A67" s="60" t="s">
        <v>177</v>
      </c>
      <c r="B67" s="73"/>
      <c r="C67" s="73"/>
      <c r="D67" s="160"/>
      <c r="E67" s="160"/>
      <c r="F67" s="76" t="e">
        <f>(alpha-VLOOKUP(Range,zeros,2,FALSE))*(1+VLOOKUP(Range,corrections,2,FALSE)*0.000001)*VLOOKUP(Range,multiplier,2,FALSE)</f>
        <v>#N/A</v>
      </c>
      <c r="G67" s="68" t="e">
        <f t="shared" si="5"/>
        <v>#N/A</v>
      </c>
      <c r="H67" s="75" t="e">
        <f t="shared" si="6"/>
        <v>#N/A</v>
      </c>
      <c r="I67" s="103" t="e">
        <f>VLOOKUP(Range,multiplier,6,FALSE)</f>
        <v>#N/A</v>
      </c>
      <c r="J67" s="3"/>
      <c r="K67" s="66"/>
    </row>
    <row r="68" spans="1:20">
      <c r="A68" s="59" t="s">
        <v>177</v>
      </c>
      <c r="B68" s="62"/>
      <c r="C68" s="63"/>
      <c r="D68" s="161"/>
      <c r="E68" s="161"/>
      <c r="F68" s="76" t="e">
        <f>(alpha-VLOOKUP(Range,zeros,2,FALSE))*(1+VLOOKUP(Range,corrections,2,FALSE)*0.000001)*VLOOKUP(Range,multiplier,2,FALSE)</f>
        <v>#N/A</v>
      </c>
      <c r="G68" s="64" t="e">
        <f t="shared" si="5"/>
        <v>#N/A</v>
      </c>
      <c r="H68" s="75" t="e">
        <f t="shared" si="6"/>
        <v>#N/A</v>
      </c>
      <c r="I68" s="104" t="e">
        <f>VLOOKUP(Range,multiplier,6,FALSE)</f>
        <v>#N/A</v>
      </c>
      <c r="J68" s="3"/>
      <c r="K68" s="66"/>
      <c r="M68" s="98"/>
      <c r="N68" s="98"/>
      <c r="O68" s="115"/>
      <c r="P68" s="115"/>
      <c r="Q68" s="116"/>
      <c r="R68" s="116"/>
      <c r="S68" s="118"/>
      <c r="T68" s="117"/>
    </row>
    <row r="69" spans="1:20">
      <c r="A69" s="59" t="s">
        <v>177</v>
      </c>
      <c r="B69" s="62"/>
      <c r="C69" s="63"/>
      <c r="D69" s="161"/>
      <c r="E69" s="161"/>
      <c r="F69" s="76" t="e">
        <f>(alpha-VLOOKUP(Range,zeros,2,FALSE))*(1+VLOOKUP(Range,corrections,2,FALSE)*0.000001)*VLOOKUP(Range,multiplier,2,FALSE)</f>
        <v>#N/A</v>
      </c>
      <c r="G69" s="64" t="e">
        <f t="shared" si="5"/>
        <v>#N/A</v>
      </c>
      <c r="H69" s="75" t="e">
        <f t="shared" si="6"/>
        <v>#N/A</v>
      </c>
      <c r="I69" s="104" t="e">
        <f t="shared" ref="I69:I88" si="10">VLOOKUP(Range,multiplier,6,FALSE)</f>
        <v>#N/A</v>
      </c>
      <c r="J69" s="3"/>
      <c r="K69" s="66"/>
      <c r="M69" s="98"/>
      <c r="N69" s="98"/>
      <c r="O69" s="115"/>
      <c r="P69" s="115"/>
      <c r="Q69" s="116"/>
      <c r="R69" s="116"/>
      <c r="S69" s="118"/>
      <c r="T69" s="117"/>
    </row>
    <row r="70" spans="1:20">
      <c r="A70" s="59" t="s">
        <v>177</v>
      </c>
      <c r="B70" s="62"/>
      <c r="C70" s="63"/>
      <c r="D70" s="161"/>
      <c r="E70" s="161"/>
      <c r="F70" s="76" t="e">
        <f>(alpha-VLOOKUP(Range,zeros,2,FALSE))*(1+VLOOKUP(Range,corrections,2,FALSE)*0.000001)*VLOOKUP(Range,multiplier,2,FALSE)</f>
        <v>#N/A</v>
      </c>
      <c r="G70" s="64" t="e">
        <f t="shared" si="5"/>
        <v>#N/A</v>
      </c>
      <c r="H70" s="75" t="e">
        <f t="shared" si="6"/>
        <v>#N/A</v>
      </c>
      <c r="I70" s="104" t="e">
        <f>VLOOKUP(Range,multiplier,6,FALSE)</f>
        <v>#N/A</v>
      </c>
      <c r="J70" s="3"/>
      <c r="K70" s="66"/>
      <c r="M70" s="98"/>
      <c r="N70" s="98"/>
      <c r="O70" s="115"/>
      <c r="P70" s="115"/>
      <c r="Q70" s="116"/>
      <c r="R70" s="116"/>
      <c r="S70" s="118"/>
      <c r="T70" s="117"/>
    </row>
    <row r="71" spans="1:20">
      <c r="A71" s="59" t="s">
        <v>177</v>
      </c>
      <c r="B71" s="62"/>
      <c r="C71" s="63"/>
      <c r="D71" s="161"/>
      <c r="E71" s="161"/>
      <c r="F71" s="76" t="e">
        <f t="shared" ref="F71:F88" si="11">(alpha-VLOOKUP(Range,zeros,2,FALSE))*(1+VLOOKUP(Range,corrections,2,FALSE)*0.000001)*VLOOKUP(Range,multiplier,2,FALSE)</f>
        <v>#N/A</v>
      </c>
      <c r="G71" s="64" t="e">
        <f t="shared" si="5"/>
        <v>#N/A</v>
      </c>
      <c r="H71" s="75" t="e">
        <f t="shared" si="6"/>
        <v>#N/A</v>
      </c>
      <c r="I71" s="104" t="e">
        <f t="shared" si="10"/>
        <v>#N/A</v>
      </c>
      <c r="J71" s="3"/>
      <c r="K71" s="66"/>
      <c r="M71" s="98"/>
      <c r="N71" s="98"/>
      <c r="O71" s="115"/>
      <c r="P71" s="115"/>
      <c r="Q71" s="116"/>
      <c r="R71" s="116"/>
      <c r="S71" s="118"/>
      <c r="T71" s="117"/>
    </row>
    <row r="72" spans="1:20">
      <c r="A72" s="59" t="s">
        <v>177</v>
      </c>
      <c r="B72" s="62"/>
      <c r="C72" s="63"/>
      <c r="D72" s="161"/>
      <c r="E72" s="161"/>
      <c r="F72" s="76" t="e">
        <f t="shared" si="11"/>
        <v>#N/A</v>
      </c>
      <c r="G72" s="64" t="e">
        <f t="shared" si="5"/>
        <v>#N/A</v>
      </c>
      <c r="H72" s="75" t="e">
        <f t="shared" si="6"/>
        <v>#N/A</v>
      </c>
      <c r="I72" s="104" t="e">
        <f t="shared" si="10"/>
        <v>#N/A</v>
      </c>
      <c r="J72" s="3"/>
      <c r="K72" s="66"/>
      <c r="M72" s="98"/>
      <c r="N72" s="98"/>
      <c r="O72" s="115"/>
      <c r="P72" s="115"/>
      <c r="Q72" s="116"/>
      <c r="R72" s="116"/>
      <c r="S72" s="118"/>
      <c r="T72" s="117"/>
    </row>
    <row r="73" spans="1:20">
      <c r="A73" s="59" t="s">
        <v>177</v>
      </c>
      <c r="B73" s="62"/>
      <c r="C73" s="63"/>
      <c r="D73" s="161"/>
      <c r="E73" s="161"/>
      <c r="F73" s="76" t="e">
        <f>(alpha-VLOOKUP(Range,zeros,2,FALSE))*(1+VLOOKUP(Range,corrections,2,FALSE)*0.000001)*VLOOKUP(Range,multiplier,2,FALSE)</f>
        <v>#N/A</v>
      </c>
      <c r="G73" s="64" t="e">
        <f t="shared" si="5"/>
        <v>#N/A</v>
      </c>
      <c r="H73" s="75" t="e">
        <f t="shared" si="6"/>
        <v>#N/A</v>
      </c>
      <c r="I73" s="104" t="e">
        <f>VLOOKUP(Range,multiplier,6,FALSE)</f>
        <v>#N/A</v>
      </c>
      <c r="J73" s="3"/>
      <c r="K73" s="66"/>
      <c r="M73" s="98"/>
      <c r="N73" s="98"/>
      <c r="O73" s="115"/>
      <c r="P73" s="115"/>
      <c r="Q73" s="116"/>
      <c r="R73" s="116"/>
      <c r="S73" s="118"/>
      <c r="T73" s="117"/>
    </row>
    <row r="74" spans="1:20">
      <c r="A74" s="59" t="s">
        <v>177</v>
      </c>
      <c r="B74" s="62"/>
      <c r="C74" s="63"/>
      <c r="D74" s="161"/>
      <c r="E74" s="161"/>
      <c r="F74" s="76" t="e">
        <f>(alpha-VLOOKUP(Range,zeros,2,FALSE))*(1+VLOOKUP(Range,corrections,2,FALSE)*0.000001)*VLOOKUP(Range,multiplier,2,FALSE)</f>
        <v>#N/A</v>
      </c>
      <c r="G74" s="64" t="e">
        <f t="shared" si="5"/>
        <v>#N/A</v>
      </c>
      <c r="H74" s="75" t="e">
        <f t="shared" si="6"/>
        <v>#N/A</v>
      </c>
      <c r="I74" s="104" t="e">
        <f>VLOOKUP(Range,multiplier,6,FALSE)</f>
        <v>#N/A</v>
      </c>
      <c r="J74" s="3"/>
      <c r="K74" s="66"/>
      <c r="M74" s="98"/>
      <c r="N74" s="98"/>
      <c r="O74" s="115"/>
      <c r="P74" s="115"/>
      <c r="Q74" s="116"/>
      <c r="R74" s="116"/>
      <c r="S74" s="118"/>
      <c r="T74" s="117"/>
    </row>
    <row r="75" spans="1:20">
      <c r="A75" s="59" t="s">
        <v>177</v>
      </c>
      <c r="B75" s="62"/>
      <c r="C75" s="63"/>
      <c r="D75" s="161"/>
      <c r="E75" s="161"/>
      <c r="F75" s="76" t="e">
        <f t="shared" si="11"/>
        <v>#N/A</v>
      </c>
      <c r="G75" s="64" t="e">
        <f t="shared" si="5"/>
        <v>#N/A</v>
      </c>
      <c r="H75" s="75" t="e">
        <f t="shared" si="6"/>
        <v>#N/A</v>
      </c>
      <c r="I75" s="104" t="e">
        <f t="shared" si="10"/>
        <v>#N/A</v>
      </c>
      <c r="J75" s="3"/>
      <c r="K75" s="66"/>
      <c r="M75" s="98"/>
      <c r="N75" s="98"/>
      <c r="O75" s="115"/>
      <c r="P75" s="115"/>
      <c r="Q75" s="116"/>
      <c r="R75" s="116"/>
      <c r="S75" s="118"/>
      <c r="T75" s="117"/>
    </row>
    <row r="76" spans="1:20">
      <c r="A76" s="59" t="s">
        <v>177</v>
      </c>
      <c r="B76" s="62"/>
      <c r="C76" s="63"/>
      <c r="D76" s="161"/>
      <c r="E76" s="161"/>
      <c r="F76" s="76" t="e">
        <f t="shared" si="11"/>
        <v>#N/A</v>
      </c>
      <c r="G76" s="64" t="e">
        <f t="shared" si="5"/>
        <v>#N/A</v>
      </c>
      <c r="H76" s="75" t="e">
        <f t="shared" si="6"/>
        <v>#N/A</v>
      </c>
      <c r="I76" s="104" t="e">
        <f t="shared" si="10"/>
        <v>#N/A</v>
      </c>
      <c r="J76" s="3"/>
      <c r="K76" s="66"/>
      <c r="M76" s="98"/>
      <c r="N76" s="98"/>
      <c r="O76" s="115"/>
      <c r="P76" s="115"/>
      <c r="Q76" s="116"/>
      <c r="R76" s="116"/>
      <c r="S76" s="118"/>
      <c r="T76" s="117"/>
    </row>
    <row r="77" spans="1:20">
      <c r="A77" s="59" t="s">
        <v>177</v>
      </c>
      <c r="B77" s="62"/>
      <c r="C77" s="63"/>
      <c r="D77" s="161"/>
      <c r="E77" s="161"/>
      <c r="F77" s="76" t="e">
        <f>(alpha-VLOOKUP(Range,zeros,2,FALSE))*(1+VLOOKUP(Range,corrections,2,FALSE)*0.000001)*VLOOKUP(Range,multiplier,2,FALSE)</f>
        <v>#N/A</v>
      </c>
      <c r="G77" s="64" t="e">
        <f t="shared" si="5"/>
        <v>#N/A</v>
      </c>
      <c r="H77" s="75" t="e">
        <f t="shared" si="6"/>
        <v>#N/A</v>
      </c>
      <c r="I77" s="104" t="e">
        <f t="shared" si="10"/>
        <v>#N/A</v>
      </c>
      <c r="J77" s="3"/>
      <c r="K77" s="66"/>
      <c r="M77" s="98"/>
      <c r="N77" s="98"/>
      <c r="O77" s="115"/>
      <c r="P77" s="115"/>
      <c r="Q77" s="116"/>
      <c r="R77" s="116"/>
      <c r="S77" s="118"/>
      <c r="T77" s="117"/>
    </row>
    <row r="78" spans="1:20">
      <c r="A78" s="59" t="s">
        <v>178</v>
      </c>
      <c r="B78" s="62"/>
      <c r="C78" s="63"/>
      <c r="D78" s="161"/>
      <c r="E78" s="161"/>
      <c r="F78" s="76" t="e">
        <f>(alpha-VLOOKUP(Range,zeros,2,FALSE))*(1+VLOOKUP(Range,corrections,2,FALSE)*0.000001)*VLOOKUP(Range,multiplier,2,FALSE)</f>
        <v>#N/A</v>
      </c>
      <c r="G78" s="64" t="e">
        <f t="shared" si="5"/>
        <v>#N/A</v>
      </c>
      <c r="H78" s="75" t="e">
        <f t="shared" si="6"/>
        <v>#N/A</v>
      </c>
      <c r="I78" s="104" t="e">
        <f t="shared" si="10"/>
        <v>#N/A</v>
      </c>
      <c r="J78" s="3"/>
      <c r="K78" s="66"/>
      <c r="M78" s="98"/>
      <c r="N78" s="98"/>
      <c r="O78" s="115"/>
      <c r="P78" s="115"/>
      <c r="Q78" s="116"/>
      <c r="R78" s="116"/>
      <c r="S78" s="118"/>
      <c r="T78" s="117"/>
    </row>
    <row r="79" spans="1:20">
      <c r="A79" s="59" t="s">
        <v>178</v>
      </c>
      <c r="B79" s="62"/>
      <c r="C79" s="63"/>
      <c r="D79" s="161"/>
      <c r="E79" s="161"/>
      <c r="F79" s="76" t="e">
        <f t="shared" si="11"/>
        <v>#N/A</v>
      </c>
      <c r="G79" s="64" t="e">
        <f t="shared" si="5"/>
        <v>#N/A</v>
      </c>
      <c r="H79" s="75" t="e">
        <f t="shared" si="6"/>
        <v>#N/A</v>
      </c>
      <c r="I79" s="104" t="e">
        <f t="shared" si="10"/>
        <v>#N/A</v>
      </c>
      <c r="J79" s="3"/>
      <c r="K79" s="66"/>
      <c r="M79" s="98"/>
      <c r="N79" s="98"/>
      <c r="O79" s="115"/>
      <c r="P79" s="115"/>
      <c r="Q79" s="116"/>
      <c r="R79" s="116"/>
      <c r="S79" s="118"/>
      <c r="T79" s="117"/>
    </row>
    <row r="80" spans="1:20">
      <c r="A80" s="59" t="s">
        <v>178</v>
      </c>
      <c r="B80" s="62"/>
      <c r="C80" s="63"/>
      <c r="D80" s="161"/>
      <c r="E80" s="161"/>
      <c r="F80" s="76" t="e">
        <f t="shared" si="11"/>
        <v>#N/A</v>
      </c>
      <c r="G80" s="64" t="e">
        <f t="shared" si="5"/>
        <v>#N/A</v>
      </c>
      <c r="H80" s="75" t="e">
        <f t="shared" si="6"/>
        <v>#N/A</v>
      </c>
      <c r="I80" s="104" t="e">
        <f t="shared" si="10"/>
        <v>#N/A</v>
      </c>
      <c r="J80" s="3"/>
      <c r="K80" s="66"/>
      <c r="M80" s="98"/>
      <c r="N80" s="98"/>
      <c r="O80" s="115"/>
      <c r="P80" s="115"/>
      <c r="Q80" s="116"/>
      <c r="R80" s="116"/>
      <c r="S80" s="118"/>
      <c r="T80" s="117"/>
    </row>
    <row r="81" spans="1:20">
      <c r="A81" s="59" t="s">
        <v>178</v>
      </c>
      <c r="B81" s="62"/>
      <c r="C81" s="63"/>
      <c r="D81" s="161"/>
      <c r="E81" s="161"/>
      <c r="F81" s="76" t="e">
        <f>(alpha-VLOOKUP(Range,zeros,2,FALSE))*(1+VLOOKUP(Range,corrections,2,FALSE)*0.000001)*VLOOKUP(Range,multiplier,2,FALSE)</f>
        <v>#N/A</v>
      </c>
      <c r="G81" s="64" t="e">
        <f t="shared" si="5"/>
        <v>#N/A</v>
      </c>
      <c r="H81" s="75" t="e">
        <f t="shared" si="6"/>
        <v>#N/A</v>
      </c>
      <c r="I81" s="104" t="e">
        <f t="shared" si="10"/>
        <v>#N/A</v>
      </c>
      <c r="J81" s="3"/>
      <c r="K81" s="66"/>
      <c r="M81" s="98"/>
      <c r="N81" s="98"/>
      <c r="O81" s="115"/>
      <c r="P81" s="115"/>
      <c r="Q81" s="116"/>
      <c r="R81" s="116"/>
      <c r="S81" s="118"/>
      <c r="T81" s="117"/>
    </row>
    <row r="82" spans="1:20">
      <c r="A82" s="59" t="s">
        <v>178</v>
      </c>
      <c r="B82" s="62"/>
      <c r="C82" s="63"/>
      <c r="D82" s="161"/>
      <c r="E82" s="161"/>
      <c r="F82" s="76" t="e">
        <f>(alpha-VLOOKUP(Range,zeros,2,FALSE))*(1+VLOOKUP(Range,corrections,2,FALSE)*0.000001)*VLOOKUP(Range,multiplier,2,FALSE)</f>
        <v>#N/A</v>
      </c>
      <c r="G82" s="64" t="e">
        <f t="shared" si="5"/>
        <v>#N/A</v>
      </c>
      <c r="H82" s="75" t="e">
        <f t="shared" si="6"/>
        <v>#N/A</v>
      </c>
      <c r="I82" s="104" t="e">
        <f t="shared" si="10"/>
        <v>#N/A</v>
      </c>
      <c r="J82" s="3"/>
      <c r="K82" s="66"/>
      <c r="M82" s="98"/>
      <c r="N82" s="98"/>
      <c r="O82" s="115"/>
      <c r="P82" s="115"/>
      <c r="Q82" s="116"/>
      <c r="R82" s="116"/>
      <c r="S82" s="118"/>
      <c r="T82" s="117"/>
    </row>
    <row r="83" spans="1:20">
      <c r="A83" s="59" t="s">
        <v>178</v>
      </c>
      <c r="B83" s="62"/>
      <c r="C83" s="63"/>
      <c r="D83" s="161"/>
      <c r="E83" s="161"/>
      <c r="F83" s="76" t="e">
        <f t="shared" si="11"/>
        <v>#N/A</v>
      </c>
      <c r="G83" s="64" t="e">
        <f t="shared" si="5"/>
        <v>#N/A</v>
      </c>
      <c r="H83" s="75" t="e">
        <f t="shared" si="6"/>
        <v>#N/A</v>
      </c>
      <c r="I83" s="104" t="e">
        <f t="shared" si="10"/>
        <v>#N/A</v>
      </c>
      <c r="J83" s="3"/>
      <c r="K83" s="66"/>
      <c r="M83" s="98"/>
      <c r="N83" s="98"/>
      <c r="O83" s="115"/>
      <c r="P83" s="115"/>
      <c r="Q83" s="116"/>
      <c r="R83" s="116"/>
      <c r="S83" s="118"/>
      <c r="T83" s="117"/>
    </row>
    <row r="84" spans="1:20">
      <c r="A84" s="59" t="s">
        <v>178</v>
      </c>
      <c r="B84" s="62"/>
      <c r="C84" s="63"/>
      <c r="D84" s="161"/>
      <c r="E84" s="161"/>
      <c r="F84" s="76" t="e">
        <f t="shared" si="11"/>
        <v>#N/A</v>
      </c>
      <c r="G84" s="64" t="e">
        <f t="shared" si="5"/>
        <v>#N/A</v>
      </c>
      <c r="H84" s="75" t="e">
        <f t="shared" si="6"/>
        <v>#N/A</v>
      </c>
      <c r="I84" s="104" t="e">
        <f t="shared" si="10"/>
        <v>#N/A</v>
      </c>
      <c r="J84" s="3"/>
      <c r="K84" s="66"/>
      <c r="M84" s="98"/>
      <c r="N84" s="98"/>
      <c r="O84" s="115"/>
      <c r="P84" s="115"/>
      <c r="Q84" s="116"/>
      <c r="R84" s="116"/>
      <c r="S84" s="118"/>
      <c r="T84" s="117"/>
    </row>
    <row r="85" spans="1:20">
      <c r="A85" s="59" t="s">
        <v>178</v>
      </c>
      <c r="B85" s="62"/>
      <c r="C85" s="63"/>
      <c r="D85" s="161"/>
      <c r="E85" s="161"/>
      <c r="F85" s="76" t="e">
        <f>(alpha-VLOOKUP(Range,zeros,2,FALSE))*(1+VLOOKUP(Range,corrections,2,FALSE)*0.000001)*VLOOKUP(Range,multiplier,2,FALSE)</f>
        <v>#N/A</v>
      </c>
      <c r="G85" s="64" t="e">
        <f t="shared" si="5"/>
        <v>#N/A</v>
      </c>
      <c r="H85" s="75" t="e">
        <f t="shared" si="6"/>
        <v>#N/A</v>
      </c>
      <c r="I85" s="104" t="e">
        <f t="shared" si="10"/>
        <v>#N/A</v>
      </c>
      <c r="J85" s="3"/>
      <c r="K85" s="66"/>
      <c r="M85" s="98"/>
      <c r="N85" s="98"/>
      <c r="O85" s="115"/>
      <c r="P85" s="115"/>
      <c r="Q85" s="116"/>
      <c r="R85" s="116"/>
      <c r="S85" s="118"/>
      <c r="T85" s="117"/>
    </row>
    <row r="86" spans="1:20">
      <c r="A86" s="59" t="s">
        <v>178</v>
      </c>
      <c r="B86" s="62"/>
      <c r="C86" s="63"/>
      <c r="D86" s="161"/>
      <c r="E86" s="161"/>
      <c r="F86" s="76" t="e">
        <f>(alpha-VLOOKUP(Range,zeros,2,FALSE))*(1+VLOOKUP(Range,corrections,2,FALSE)*0.000001)*VLOOKUP(Range,multiplier,2,FALSE)</f>
        <v>#N/A</v>
      </c>
      <c r="G86" s="64" t="e">
        <f t="shared" si="5"/>
        <v>#N/A</v>
      </c>
      <c r="H86" s="75" t="e">
        <f t="shared" si="6"/>
        <v>#N/A</v>
      </c>
      <c r="I86" s="104" t="e">
        <f t="shared" si="10"/>
        <v>#N/A</v>
      </c>
      <c r="J86" s="3"/>
      <c r="K86" s="66"/>
      <c r="M86" s="98"/>
      <c r="N86" s="98"/>
      <c r="O86" s="115"/>
      <c r="P86" s="115"/>
      <c r="Q86" s="116"/>
      <c r="R86" s="116"/>
      <c r="S86" s="118"/>
      <c r="T86" s="117"/>
    </row>
    <row r="87" spans="1:20">
      <c r="A87" s="59" t="s">
        <v>178</v>
      </c>
      <c r="B87" s="62"/>
      <c r="C87" s="63"/>
      <c r="D87" s="161"/>
      <c r="E87" s="161"/>
      <c r="F87" s="76" t="e">
        <f t="shared" si="11"/>
        <v>#N/A</v>
      </c>
      <c r="G87" s="64" t="e">
        <f t="shared" si="5"/>
        <v>#N/A</v>
      </c>
      <c r="H87" s="75" t="e">
        <f t="shared" si="6"/>
        <v>#N/A</v>
      </c>
      <c r="I87" s="104" t="e">
        <f t="shared" si="10"/>
        <v>#N/A</v>
      </c>
      <c r="J87" s="3"/>
      <c r="K87" s="66"/>
      <c r="M87" s="98"/>
      <c r="N87" s="98"/>
      <c r="O87" s="115"/>
      <c r="P87" s="115"/>
      <c r="Q87" s="116"/>
      <c r="R87" s="116"/>
      <c r="S87" s="118"/>
      <c r="T87" s="117"/>
    </row>
    <row r="88" spans="1:20">
      <c r="A88" s="59" t="s">
        <v>178</v>
      </c>
      <c r="B88" s="73"/>
      <c r="C88" s="73"/>
      <c r="D88" s="160"/>
      <c r="E88" s="160"/>
      <c r="F88" s="67" t="e">
        <f t="shared" si="11"/>
        <v>#N/A</v>
      </c>
      <c r="G88" s="64" t="e">
        <f t="shared" si="5"/>
        <v>#N/A</v>
      </c>
      <c r="H88" s="75" t="e">
        <f t="shared" si="6"/>
        <v>#N/A</v>
      </c>
      <c r="I88" s="104" t="e">
        <f t="shared" si="10"/>
        <v>#N/A</v>
      </c>
      <c r="J88" s="3"/>
      <c r="K88" s="66"/>
    </row>
    <row r="95" spans="1:20">
      <c r="A95" s="330" t="s">
        <v>306</v>
      </c>
      <c r="G95" s="157" t="s">
        <v>308</v>
      </c>
      <c r="H95" s="157" t="s">
        <v>160</v>
      </c>
      <c r="I95" s="157" t="s">
        <v>161</v>
      </c>
      <c r="J95" s="157" t="s">
        <v>314</v>
      </c>
    </row>
    <row r="97" spans="1:11">
      <c r="A97" s="3">
        <v>700</v>
      </c>
      <c r="B97">
        <v>695.65700000000004</v>
      </c>
      <c r="C97">
        <v>3.8875700000000002</v>
      </c>
      <c r="D97">
        <f>AVERAGE(B97:B103)</f>
        <v>695.65228571428565</v>
      </c>
      <c r="E97">
        <f>AVERAGE(C97:C103)</f>
        <v>3.8876685714285713</v>
      </c>
      <c r="G97">
        <v>700</v>
      </c>
      <c r="H97">
        <f>D97-D120</f>
        <v>693.71736321428568</v>
      </c>
      <c r="I97">
        <f>E97-E120</f>
        <v>3.8690285714285713</v>
      </c>
      <c r="J97">
        <f>F28/H97</f>
        <v>0.99670958200692605</v>
      </c>
      <c r="K97">
        <f>H28/I97</f>
        <v>1.0054434463024682</v>
      </c>
    </row>
    <row r="98" spans="1:11">
      <c r="B98">
        <v>695.65700000000004</v>
      </c>
      <c r="C98">
        <v>3.8875899999999999</v>
      </c>
      <c r="D98">
        <f>STDEV(B97:B103)</f>
        <v>4.4986770542261457E-3</v>
      </c>
      <c r="E98">
        <f>STDEV(C97:C103)</f>
        <v>6.6939916200700042E-5</v>
      </c>
      <c r="G98">
        <v>600</v>
      </c>
      <c r="H98">
        <f>D105-D120</f>
        <v>595.66474416666676</v>
      </c>
      <c r="I98">
        <f>E105-E120</f>
        <v>3.5172433333333331</v>
      </c>
      <c r="J98">
        <f>F27/H98</f>
        <v>0.99652718522992179</v>
      </c>
      <c r="K98">
        <f>H27/I98</f>
        <v>1.0057562732522476</v>
      </c>
    </row>
    <row r="99" spans="1:11">
      <c r="B99">
        <v>695.65599999999995</v>
      </c>
      <c r="C99">
        <v>3.8876900000000001</v>
      </c>
      <c r="G99">
        <v>500</v>
      </c>
      <c r="H99">
        <f>D112-D120</f>
        <v>496.2927917857142</v>
      </c>
      <c r="I99">
        <f>E112-E120</f>
        <v>3.1619728571428571</v>
      </c>
      <c r="J99">
        <f>F26/H99</f>
        <v>0.99647071789885855</v>
      </c>
      <c r="K99">
        <f>H26/I99</f>
        <v>1.0039184630079423</v>
      </c>
    </row>
    <row r="100" spans="1:11">
      <c r="B100">
        <v>695.64800000000002</v>
      </c>
      <c r="C100">
        <v>3.8877100000000002</v>
      </c>
    </row>
    <row r="101" spans="1:11">
      <c r="B101">
        <v>695.65</v>
      </c>
      <c r="C101">
        <v>3.8876900000000001</v>
      </c>
      <c r="H101" s="157" t="s">
        <v>309</v>
      </c>
      <c r="J101">
        <f>AVERAGE(J97,J99)</f>
        <v>0.9965901499528923</v>
      </c>
      <c r="K101">
        <f>AVERAGE(K97,K99)</f>
        <v>1.0046809546552051</v>
      </c>
    </row>
    <row r="102" spans="1:11">
      <c r="B102">
        <v>695.65200000000004</v>
      </c>
      <c r="C102">
        <v>3.88767</v>
      </c>
      <c r="H102" s="157" t="s">
        <v>310</v>
      </c>
      <c r="J102" s="114">
        <f>(J98/J101-1)*100</f>
        <v>-6.318015783468578E-3</v>
      </c>
      <c r="K102" s="243">
        <f>(K98/K101-1)*100</f>
        <v>0.10703085313401584</v>
      </c>
    </row>
    <row r="103" spans="1:11">
      <c r="B103">
        <v>695.64599999999996</v>
      </c>
      <c r="C103">
        <v>3.8877600000000001</v>
      </c>
    </row>
    <row r="104" spans="1:11">
      <c r="H104" s="157" t="s">
        <v>315</v>
      </c>
    </row>
    <row r="105" spans="1:11">
      <c r="A105" s="3">
        <v>600</v>
      </c>
      <c r="B105">
        <v>597.6</v>
      </c>
      <c r="C105">
        <v>3.53586</v>
      </c>
      <c r="D105">
        <f>AVERAGE(B105:B110)</f>
        <v>597.59966666666674</v>
      </c>
      <c r="E105">
        <f>AVERAGE(C105:C110)</f>
        <v>3.535883333333333</v>
      </c>
    </row>
    <row r="106" spans="1:11">
      <c r="B106">
        <v>597.596</v>
      </c>
      <c r="C106">
        <v>3.53586</v>
      </c>
      <c r="D106">
        <f>STDEV(B105:B110)</f>
        <v>2.9439202887758462E-3</v>
      </c>
      <c r="E106">
        <f>STDEV(C105:C110)</f>
        <v>2.2509257354848289E-5</v>
      </c>
      <c r="H106" s="157" t="s">
        <v>311</v>
      </c>
      <c r="I106" s="114">
        <f>Report!E13/Report!D13*100</f>
        <v>6.1784318313058287E-3</v>
      </c>
      <c r="J106" s="157" t="s">
        <v>312</v>
      </c>
    </row>
    <row r="107" spans="1:11">
      <c r="B107">
        <v>597.59900000000005</v>
      </c>
      <c r="C107">
        <v>3.5358800000000001</v>
      </c>
    </row>
    <row r="108" spans="1:11">
      <c r="B108">
        <v>597.59900000000005</v>
      </c>
      <c r="C108">
        <v>3.53592</v>
      </c>
      <c r="H108" s="157" t="s">
        <v>313</v>
      </c>
    </row>
    <row r="109" spans="1:11">
      <c r="B109">
        <v>597.60500000000002</v>
      </c>
      <c r="C109">
        <v>3.5358900000000002</v>
      </c>
    </row>
    <row r="110" spans="1:11">
      <c r="B110">
        <v>597.59900000000005</v>
      </c>
      <c r="C110">
        <v>3.5358900000000002</v>
      </c>
    </row>
    <row r="112" spans="1:11">
      <c r="A112" s="3">
        <v>500</v>
      </c>
      <c r="B112">
        <v>498.21899999999999</v>
      </c>
      <c r="C112">
        <v>3.1808900000000002</v>
      </c>
      <c r="D112">
        <f>AVERAGE(B112:B118)</f>
        <v>498.22771428571423</v>
      </c>
      <c r="E112">
        <f>AVERAGE(C112:C118)</f>
        <v>3.1806128571428571</v>
      </c>
    </row>
    <row r="113" spans="1:5">
      <c r="B113">
        <v>498.22699999999998</v>
      </c>
      <c r="C113">
        <v>3.1808299999999998</v>
      </c>
      <c r="D113">
        <f>STDEV(B112:B118)</f>
        <v>4.3861253103576348E-3</v>
      </c>
      <c r="E113">
        <f>STDEV(C112:C118)</f>
        <v>1.815410225187521E-4</v>
      </c>
    </row>
    <row r="114" spans="1:5">
      <c r="B114">
        <v>498.226</v>
      </c>
      <c r="C114">
        <v>3.1806299999999998</v>
      </c>
    </row>
    <row r="115" spans="1:5">
      <c r="B115">
        <v>498.23099999999999</v>
      </c>
      <c r="C115">
        <v>3.1805500000000002</v>
      </c>
    </row>
    <row r="116" spans="1:5">
      <c r="B116">
        <v>498.23</v>
      </c>
      <c r="C116">
        <v>3.1804999999999999</v>
      </c>
    </row>
    <row r="117" spans="1:5">
      <c r="B117">
        <v>498.22899999999998</v>
      </c>
      <c r="C117">
        <v>3.1804299999999999</v>
      </c>
    </row>
    <row r="118" spans="1:5">
      <c r="B118">
        <v>498.23200000000003</v>
      </c>
      <c r="C118">
        <v>3.1804600000000001</v>
      </c>
    </row>
    <row r="120" spans="1:5">
      <c r="A120" s="330" t="s">
        <v>307</v>
      </c>
      <c r="B120">
        <v>1.95384</v>
      </c>
      <c r="C120">
        <v>1.7950000000000001E-2</v>
      </c>
      <c r="D120">
        <f>AVERAGE(B120:B127)</f>
        <v>1.9349225000000001</v>
      </c>
      <c r="E120">
        <f>AVERAGE(C120:C127)</f>
        <v>1.8639999999999997E-2</v>
      </c>
    </row>
    <row r="121" spans="1:5">
      <c r="B121">
        <v>1.95285</v>
      </c>
      <c r="C121">
        <v>1.7999999999999999E-2</v>
      </c>
      <c r="D121">
        <f>STDEV(B120:B127)</f>
        <v>1.5132451175253423E-2</v>
      </c>
      <c r="E121">
        <f>STDEV(C120:C127)</f>
        <v>5.4327051930217656E-4</v>
      </c>
    </row>
    <row r="122" spans="1:5">
      <c r="B122">
        <v>1.9476199999999999</v>
      </c>
      <c r="C122">
        <v>1.8180000000000002E-2</v>
      </c>
    </row>
    <row r="123" spans="1:5">
      <c r="B123">
        <v>1.9384399999999999</v>
      </c>
      <c r="C123">
        <v>1.8519999999999998E-2</v>
      </c>
    </row>
    <row r="124" spans="1:5">
      <c r="B124">
        <v>1.9212899999999999</v>
      </c>
      <c r="C124">
        <v>1.9189999999999999E-2</v>
      </c>
    </row>
    <row r="125" spans="1:5">
      <c r="B125">
        <v>1.9178299999999999</v>
      </c>
      <c r="C125">
        <v>1.917E-2</v>
      </c>
    </row>
    <row r="126" spans="1:5">
      <c r="B126">
        <v>1.92039</v>
      </c>
      <c r="C126">
        <v>1.917E-2</v>
      </c>
    </row>
    <row r="127" spans="1:5">
      <c r="B127">
        <v>1.9271199999999999</v>
      </c>
      <c r="C127">
        <v>1.8939999999999999E-2</v>
      </c>
    </row>
  </sheetData>
  <phoneticPr fontId="21" type="noConversion"/>
  <pageMargins left="0.75" right="0.75" top="1" bottom="1" header="0.5" footer="0.5"/>
  <pageSetup paperSize="8" scale="81" orientation="landscape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BCEA-B4E4-48AF-8CAF-96FD37E62C27}">
  <dimension ref="A3:W34"/>
  <sheetViews>
    <sheetView workbookViewId="0">
      <selection activeCell="F32" sqref="F32"/>
    </sheetView>
  </sheetViews>
  <sheetFormatPr defaultRowHeight="12.75"/>
  <cols>
    <col min="1" max="1" width="13.140625" customWidth="1"/>
    <col min="2" max="2" width="11.85546875" customWidth="1"/>
    <col min="3" max="3" width="10.28515625" customWidth="1"/>
    <col min="6" max="6" width="12.42578125" customWidth="1"/>
    <col min="8" max="8" width="12" bestFit="1" customWidth="1"/>
    <col min="14" max="14" width="14.5703125" customWidth="1"/>
    <col min="15" max="15" width="7.7109375" customWidth="1"/>
    <col min="16" max="16" width="7.5703125" customWidth="1"/>
    <col min="19" max="19" width="12" bestFit="1" customWidth="1"/>
  </cols>
  <sheetData>
    <row r="3" spans="1:23">
      <c r="A3" s="390" t="s">
        <v>378</v>
      </c>
      <c r="B3" s="384"/>
      <c r="C3" s="384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4"/>
      <c r="Q3" s="384"/>
      <c r="R3" s="384"/>
      <c r="S3" s="384"/>
      <c r="T3" s="384"/>
      <c r="U3" s="384"/>
      <c r="V3" s="384"/>
      <c r="W3" s="384"/>
    </row>
    <row r="4" spans="1:23">
      <c r="A4" s="384"/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</row>
    <row r="5" spans="1:23">
      <c r="A5" s="384" t="s">
        <v>379</v>
      </c>
      <c r="B5" s="384"/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</row>
    <row r="6" spans="1:23">
      <c r="A6" s="384" t="s">
        <v>380</v>
      </c>
      <c r="B6" s="384"/>
      <c r="C6" s="384"/>
      <c r="D6" s="384"/>
      <c r="E6" s="384"/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  <c r="S6" s="384"/>
      <c r="T6" s="384"/>
      <c r="U6" s="384"/>
      <c r="V6" s="384"/>
      <c r="W6" s="384"/>
    </row>
    <row r="7" spans="1:23">
      <c r="A7" s="384" t="s">
        <v>381</v>
      </c>
      <c r="B7" s="384"/>
      <c r="C7" s="384"/>
      <c r="D7" s="384"/>
      <c r="E7" s="384"/>
      <c r="F7" s="384"/>
      <c r="G7" s="384"/>
      <c r="H7" s="384"/>
      <c r="I7" s="384"/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4"/>
      <c r="U7" s="384"/>
      <c r="V7" s="384"/>
      <c r="W7" s="384"/>
    </row>
    <row r="8" spans="1:23">
      <c r="A8" s="384"/>
      <c r="B8" s="384"/>
      <c r="C8" s="384"/>
      <c r="D8" s="384"/>
      <c r="E8" s="384"/>
      <c r="F8" s="384"/>
      <c r="G8" s="384"/>
      <c r="H8" s="384" t="s">
        <v>382</v>
      </c>
      <c r="I8" s="384"/>
      <c r="J8" s="384"/>
      <c r="K8" s="384"/>
      <c r="L8" s="384"/>
      <c r="M8" s="384"/>
      <c r="N8" s="384" t="s">
        <v>383</v>
      </c>
      <c r="O8" s="384"/>
      <c r="P8" s="384"/>
      <c r="Q8" s="384"/>
      <c r="R8" s="384" t="s">
        <v>384</v>
      </c>
      <c r="S8" s="384"/>
      <c r="T8" s="384" t="s">
        <v>385</v>
      </c>
      <c r="U8" s="384"/>
      <c r="V8" s="384"/>
      <c r="W8" s="384"/>
    </row>
    <row r="9" spans="1:23">
      <c r="A9" s="384"/>
      <c r="B9" s="384" t="s">
        <v>386</v>
      </c>
      <c r="C9" s="384" t="s">
        <v>0</v>
      </c>
      <c r="D9" s="384" t="s">
        <v>387</v>
      </c>
      <c r="E9" s="384" t="s">
        <v>178</v>
      </c>
      <c r="F9" s="384" t="s">
        <v>388</v>
      </c>
      <c r="G9" s="384"/>
      <c r="H9" s="384" t="s">
        <v>0</v>
      </c>
      <c r="I9" s="384" t="s">
        <v>387</v>
      </c>
      <c r="J9" s="384" t="s">
        <v>178</v>
      </c>
      <c r="K9" s="384" t="s">
        <v>388</v>
      </c>
      <c r="L9" s="384"/>
      <c r="M9" s="384"/>
      <c r="N9" s="384" t="s">
        <v>0</v>
      </c>
      <c r="O9" s="384" t="s">
        <v>389</v>
      </c>
      <c r="P9" s="384" t="s">
        <v>390</v>
      </c>
      <c r="Q9" s="384"/>
      <c r="R9" s="384" t="s">
        <v>391</v>
      </c>
      <c r="S9" s="384"/>
      <c r="T9" s="384" t="s">
        <v>178</v>
      </c>
      <c r="U9" s="384" t="s">
        <v>391</v>
      </c>
      <c r="V9" s="384"/>
      <c r="W9" s="384"/>
    </row>
    <row r="10" spans="1:23">
      <c r="A10" s="384"/>
      <c r="B10" s="384"/>
      <c r="C10" s="384" t="s">
        <v>116</v>
      </c>
      <c r="D10" s="384" t="s">
        <v>116</v>
      </c>
      <c r="E10" s="384" t="s">
        <v>1</v>
      </c>
      <c r="F10" s="384" t="s">
        <v>1</v>
      </c>
      <c r="G10" s="384"/>
      <c r="H10" s="384" t="s">
        <v>116</v>
      </c>
      <c r="I10" s="384" t="s">
        <v>116</v>
      </c>
      <c r="J10" s="384" t="s">
        <v>1</v>
      </c>
      <c r="K10" s="384" t="s">
        <v>1</v>
      </c>
      <c r="L10" s="384"/>
      <c r="M10" s="384"/>
      <c r="N10" s="384" t="s">
        <v>116</v>
      </c>
      <c r="O10" s="385">
        <v>-2.482955627558634</v>
      </c>
      <c r="P10" s="385">
        <v>0.13805361880853462</v>
      </c>
      <c r="Q10" s="384"/>
      <c r="R10" s="384"/>
      <c r="S10" s="384"/>
      <c r="T10" s="384"/>
      <c r="U10" s="384"/>
      <c r="V10" s="384" t="s">
        <v>392</v>
      </c>
      <c r="W10" s="384"/>
    </row>
    <row r="11" spans="1:23">
      <c r="A11" s="384"/>
      <c r="B11" s="384" t="s">
        <v>393</v>
      </c>
      <c r="C11" s="386">
        <v>-1.3199999999999999E-7</v>
      </c>
      <c r="D11" s="386">
        <v>1.36E-7</v>
      </c>
      <c r="E11" s="386">
        <v>2.72E-5</v>
      </c>
      <c r="F11" s="386">
        <v>1.9300000000000002E-6</v>
      </c>
      <c r="G11" s="386"/>
      <c r="H11" s="384">
        <v>0</v>
      </c>
      <c r="I11" s="386">
        <v>1.9233304448274092E-7</v>
      </c>
      <c r="J11" s="386">
        <v>0</v>
      </c>
      <c r="K11" s="386">
        <v>2.7294321753800739E-6</v>
      </c>
      <c r="L11" s="386"/>
      <c r="M11" s="384"/>
      <c r="N11" s="384"/>
      <c r="O11" s="384" t="s">
        <v>394</v>
      </c>
      <c r="P11" s="384"/>
      <c r="Q11" s="384"/>
      <c r="R11" s="384" t="s">
        <v>206</v>
      </c>
      <c r="S11" s="384"/>
      <c r="T11" s="384" t="s">
        <v>1</v>
      </c>
      <c r="U11" s="384" t="s">
        <v>206</v>
      </c>
      <c r="V11" s="384" t="s">
        <v>206</v>
      </c>
      <c r="W11" s="384"/>
    </row>
    <row r="12" spans="1:23">
      <c r="A12" s="384"/>
      <c r="B12" s="384" t="s">
        <v>395</v>
      </c>
      <c r="C12" s="384">
        <v>9.999974452</v>
      </c>
      <c r="D12" s="384">
        <v>1.8E-7</v>
      </c>
      <c r="E12" s="386">
        <v>-1.2269000000000001E-4</v>
      </c>
      <c r="F12" s="384">
        <v>2.0499999999999999E-6</v>
      </c>
      <c r="G12" s="384"/>
      <c r="H12" s="384">
        <v>9.9999745840000003</v>
      </c>
      <c r="I12" s="386">
        <v>2.2560141843525719E-7</v>
      </c>
      <c r="J12" s="386">
        <v>-1.4989000000000002E-4</v>
      </c>
      <c r="K12" s="386">
        <v>2.8155638866841577E-6</v>
      </c>
      <c r="L12" s="384"/>
      <c r="M12" s="384"/>
      <c r="N12" s="384">
        <v>9.9999499400000005</v>
      </c>
      <c r="O12" s="385">
        <v>-2.4644123368277633</v>
      </c>
      <c r="P12" s="384"/>
      <c r="Q12" s="384"/>
      <c r="R12" s="386">
        <v>-1.4989038096139228E-3</v>
      </c>
      <c r="S12" s="384"/>
      <c r="T12" s="386">
        <v>1.7999909892000001E-4</v>
      </c>
      <c r="U12" s="386">
        <v>1.8000000000000002E-3</v>
      </c>
      <c r="V12" s="386">
        <v>3.2989038096139229E-3</v>
      </c>
      <c r="W12" s="384"/>
    </row>
    <row r="13" spans="1:23">
      <c r="A13" s="384"/>
      <c r="B13" s="384" t="s">
        <v>396</v>
      </c>
      <c r="C13" s="384">
        <v>9.9999767429999995</v>
      </c>
      <c r="D13" s="384">
        <v>2.65E-7</v>
      </c>
      <c r="E13" s="386">
        <v>-6.6099999999999994E-5</v>
      </c>
      <c r="F13" s="384">
        <v>2.2199999999999999E-6</v>
      </c>
      <c r="G13" s="384"/>
      <c r="H13" s="384">
        <v>9.9999768749999998</v>
      </c>
      <c r="I13" s="386">
        <v>2.9786070569982874E-7</v>
      </c>
      <c r="J13" s="386">
        <v>-9.3299999999999991E-5</v>
      </c>
      <c r="K13" s="386">
        <v>2.9416491973041246E-6</v>
      </c>
      <c r="L13" s="384"/>
      <c r="M13" s="384"/>
      <c r="N13" s="384">
        <v>9.9999525600000005</v>
      </c>
      <c r="O13" s="385">
        <v>-2.4315115350127043</v>
      </c>
      <c r="P13" s="384"/>
      <c r="Q13" s="384"/>
      <c r="R13" s="386">
        <v>-9.3300215756748927E-4</v>
      </c>
      <c r="S13" s="384"/>
      <c r="T13" s="386">
        <v>2.3999886143999998E-4</v>
      </c>
      <c r="U13" s="386">
        <v>2.3999999999999998E-3</v>
      </c>
      <c r="V13" s="386">
        <v>3.3330021575674893E-3</v>
      </c>
      <c r="W13" s="384"/>
    </row>
    <row r="14" spans="1:23">
      <c r="A14" s="384"/>
      <c r="B14" s="384" t="s">
        <v>397</v>
      </c>
      <c r="C14" s="384">
        <v>99.999817039999996</v>
      </c>
      <c r="D14" s="384">
        <v>1.6899999999999999E-7</v>
      </c>
      <c r="E14" s="386">
        <v>1.6368999999999999E-3</v>
      </c>
      <c r="F14" s="384">
        <v>1.5799999999999999E-6</v>
      </c>
      <c r="G14" s="384"/>
      <c r="H14" s="384">
        <v>99.999817171999993</v>
      </c>
      <c r="I14" s="386">
        <v>2.1692625475031832E-7</v>
      </c>
      <c r="J14" s="386">
        <v>1.6096999999999999E-3</v>
      </c>
      <c r="K14" s="386">
        <v>2.4942533953069004E-6</v>
      </c>
      <c r="L14" s="384"/>
      <c r="M14" s="384"/>
      <c r="N14" s="384">
        <v>99.999581000000006</v>
      </c>
      <c r="O14" s="385">
        <v>-2.3617298955164903</v>
      </c>
      <c r="P14" s="384"/>
      <c r="Q14" s="384"/>
      <c r="R14" s="386">
        <v>1.6097029429876966E-3</v>
      </c>
      <c r="S14" s="384"/>
      <c r="T14" s="386">
        <v>1.8999920390000001E-3</v>
      </c>
      <c r="U14" s="386">
        <v>1.9000000000000002E-3</v>
      </c>
      <c r="V14" s="386">
        <v>2.9029705701230364E-4</v>
      </c>
      <c r="W14" s="384"/>
    </row>
    <row r="15" spans="1:23">
      <c r="A15" s="384"/>
      <c r="B15" s="384" t="s">
        <v>398</v>
      </c>
      <c r="C15" s="384">
        <v>99.999806359999994</v>
      </c>
      <c r="D15" s="384">
        <v>2.3799999999999999E-7</v>
      </c>
      <c r="E15" s="386">
        <v>2.0809499999999998E-3</v>
      </c>
      <c r="F15" s="384">
        <v>2.1100000000000001E-6</v>
      </c>
      <c r="G15" s="384"/>
      <c r="H15" s="384">
        <v>99.99980649199999</v>
      </c>
      <c r="I15" s="386">
        <v>2.741167634421507E-7</v>
      </c>
      <c r="J15" s="386">
        <v>2.05375E-3</v>
      </c>
      <c r="K15" s="386">
        <v>2.8595454184188088E-6</v>
      </c>
      <c r="L15" s="384"/>
      <c r="M15" s="384"/>
      <c r="N15" s="384">
        <v>99.999567799999994</v>
      </c>
      <c r="O15" s="385">
        <v>-2.3869303162765929</v>
      </c>
      <c r="P15" s="384"/>
      <c r="Q15" s="384"/>
      <c r="R15" s="386">
        <v>2.0537539741782409E-3</v>
      </c>
      <c r="S15" s="384"/>
      <c r="T15" s="386">
        <v>2.2999900593999997E-3</v>
      </c>
      <c r="U15" s="386">
        <v>2.3E-3</v>
      </c>
      <c r="V15" s="386">
        <v>2.4624602582175911E-4</v>
      </c>
      <c r="W15" s="384"/>
    </row>
    <row r="16" spans="1:23">
      <c r="A16" s="384"/>
      <c r="B16" s="384" t="s">
        <v>399</v>
      </c>
      <c r="C16" s="384">
        <v>1000.031667</v>
      </c>
      <c r="D16" s="384">
        <v>6.3999999999999997E-6</v>
      </c>
      <c r="E16" s="386">
        <v>0.1793565</v>
      </c>
      <c r="F16" s="384">
        <v>5.4500000000000003E-5</v>
      </c>
      <c r="G16" s="384"/>
      <c r="H16" s="384">
        <v>1000.0316671319999</v>
      </c>
      <c r="I16" s="386">
        <v>6.4014448369098674E-6</v>
      </c>
      <c r="J16" s="386">
        <v>0.1793293</v>
      </c>
      <c r="K16" s="386">
        <v>5.4534162687255042E-5</v>
      </c>
      <c r="L16" s="384"/>
      <c r="M16" s="384"/>
      <c r="N16" s="384">
        <v>1000.028924</v>
      </c>
      <c r="O16" s="385">
        <v>-2.7430526599226415</v>
      </c>
      <c r="P16" s="384"/>
      <c r="Q16" s="384"/>
      <c r="R16" s="386">
        <v>1.793236213352125E-2</v>
      </c>
      <c r="S16" s="384"/>
      <c r="T16" s="386"/>
      <c r="U16" s="384"/>
      <c r="V16" s="384"/>
      <c r="W16" s="384"/>
    </row>
    <row r="17" spans="1:23">
      <c r="A17" s="384"/>
      <c r="B17" s="384" t="s">
        <v>400</v>
      </c>
      <c r="C17" s="384">
        <v>1000.016445</v>
      </c>
      <c r="D17" s="384">
        <v>5.9200000000000001E-6</v>
      </c>
      <c r="E17" s="386">
        <v>0.184447</v>
      </c>
      <c r="F17" s="384">
        <v>5.7899999999999998E-5</v>
      </c>
      <c r="G17" s="384"/>
      <c r="H17" s="384">
        <v>1000.0164451319999</v>
      </c>
      <c r="I17" s="386">
        <v>5.9215619561058383E-6</v>
      </c>
      <c r="J17" s="386">
        <v>0.18441979999999999</v>
      </c>
      <c r="K17" s="386">
        <v>5.7932157736442025E-5</v>
      </c>
      <c r="L17" s="384"/>
      <c r="M17" s="384"/>
      <c r="N17" s="384">
        <v>1000.0139349999999</v>
      </c>
      <c r="O17" s="385">
        <v>-2.5100970217956124</v>
      </c>
      <c r="P17" s="384"/>
      <c r="Q17" s="384"/>
      <c r="R17" s="386">
        <v>1.8441676724191971E-2</v>
      </c>
      <c r="S17" s="384"/>
      <c r="T17" s="386"/>
      <c r="U17" s="384"/>
      <c r="V17" s="384"/>
      <c r="W17" s="384"/>
    </row>
    <row r="18" spans="1:23">
      <c r="A18" s="387">
        <v>44116</v>
      </c>
      <c r="B18" s="384" t="s">
        <v>401</v>
      </c>
      <c r="C18" s="384">
        <v>1000.14707</v>
      </c>
      <c r="D18" s="384">
        <v>5.8900000000000004E-6</v>
      </c>
      <c r="E18" s="386">
        <v>0.14199899999999999</v>
      </c>
      <c r="F18" s="384">
        <v>9.7600000000000001E-5</v>
      </c>
      <c r="G18" s="384"/>
      <c r="H18" s="384">
        <v>1000.147070132</v>
      </c>
      <c r="I18" s="386">
        <v>5.8915699096251083E-6</v>
      </c>
      <c r="J18" s="386">
        <v>0.14197179999999998</v>
      </c>
      <c r="K18" s="386">
        <v>9.7619080614396277E-5</v>
      </c>
      <c r="L18" s="384"/>
      <c r="M18" s="384"/>
      <c r="N18" s="384">
        <v>1000.1444431708684</v>
      </c>
      <c r="O18" s="385">
        <v>-2.626574840859127</v>
      </c>
      <c r="P18" s="384"/>
      <c r="Q18" s="384"/>
      <c r="R18" s="386">
        <v>1.4195092325897878E-2</v>
      </c>
      <c r="S18" s="384"/>
      <c r="T18" s="386"/>
      <c r="U18" s="384"/>
      <c r="V18" s="384"/>
      <c r="W18" s="384"/>
    </row>
    <row r="19" spans="1:23">
      <c r="A19" s="387">
        <v>44120</v>
      </c>
      <c r="B19" s="384" t="s">
        <v>401</v>
      </c>
      <c r="C19" s="384">
        <v>1000.147072</v>
      </c>
      <c r="D19" s="386">
        <v>1.4352700097774899E-5</v>
      </c>
      <c r="E19" s="384">
        <v>0.108247</v>
      </c>
      <c r="F19" s="384">
        <v>1.55598843183359E-4</v>
      </c>
      <c r="G19" s="384"/>
      <c r="H19" s="384">
        <v>1000.1470721319999</v>
      </c>
      <c r="I19" s="386">
        <v>1.43533444220038E-5</v>
      </c>
      <c r="J19" s="386">
        <v>0.10821979999999999</v>
      </c>
      <c r="K19" s="386">
        <v>1.5561081228500655E-4</v>
      </c>
      <c r="L19" s="384"/>
      <c r="M19" s="384"/>
      <c r="N19" s="384">
        <v>1000.1444451708632</v>
      </c>
      <c r="O19" s="385">
        <v>-2.626574840859127</v>
      </c>
      <c r="P19" s="384"/>
      <c r="Q19" s="384"/>
      <c r="R19" s="386">
        <v>1.0820388622376239E-2</v>
      </c>
      <c r="S19" s="384"/>
      <c r="T19" s="384"/>
      <c r="U19" s="384"/>
      <c r="V19" s="384"/>
      <c r="W19" s="384"/>
    </row>
    <row r="20" spans="1:23">
      <c r="A20" s="387">
        <v>44123</v>
      </c>
      <c r="B20" s="384" t="s">
        <v>401</v>
      </c>
      <c r="C20" s="384">
        <v>1000.139332</v>
      </c>
      <c r="D20" s="386">
        <v>7.4833147546543202E-6</v>
      </c>
      <c r="E20" s="384">
        <v>0.104250499999999</v>
      </c>
      <c r="F20" s="386">
        <v>4.8628695232341202E-5</v>
      </c>
      <c r="G20" s="384"/>
      <c r="H20" s="384">
        <v>1000.1393321319999</v>
      </c>
      <c r="I20" s="386">
        <v>7.4845504686137997E-6</v>
      </c>
      <c r="J20" s="386">
        <v>0.10422329999999899</v>
      </c>
      <c r="K20" s="386">
        <v>4.8666979565203384E-5</v>
      </c>
      <c r="L20" s="384"/>
      <c r="M20" s="384"/>
      <c r="N20" s="384">
        <v>1000.1367051911928</v>
      </c>
      <c r="O20" s="385">
        <v>-2.626574840859127</v>
      </c>
      <c r="P20" s="384"/>
      <c r="Q20" s="384"/>
      <c r="R20" s="386">
        <v>1.0420878036845717E-2</v>
      </c>
      <c r="S20" s="384"/>
      <c r="T20" s="384"/>
      <c r="U20" s="384"/>
      <c r="V20" s="384"/>
      <c r="W20" s="384"/>
    </row>
    <row r="21" spans="1:23">
      <c r="A21" s="387">
        <v>44124</v>
      </c>
      <c r="B21" s="384" t="s">
        <v>401</v>
      </c>
      <c r="C21" s="384">
        <v>1000.14389499999</v>
      </c>
      <c r="D21" s="386">
        <v>7.4161984798687097E-6</v>
      </c>
      <c r="E21" s="384">
        <v>0.13881599999999999</v>
      </c>
      <c r="F21" s="386">
        <v>5.3702886328393602E-5</v>
      </c>
      <c r="G21" s="384"/>
      <c r="H21" s="384">
        <v>1000.14389513199</v>
      </c>
      <c r="I21" s="386">
        <v>7.4174453751144649E-6</v>
      </c>
      <c r="J21" s="386">
        <v>0.13878879999999999</v>
      </c>
      <c r="K21" s="386">
        <v>5.3737555768757889E-5</v>
      </c>
      <c r="L21" s="384"/>
      <c r="M21" s="384"/>
      <c r="N21" s="384">
        <v>1000.1412681791978</v>
      </c>
      <c r="O21" s="385">
        <v>-2.626574840859127</v>
      </c>
      <c r="P21" s="384"/>
      <c r="Q21" s="384"/>
      <c r="R21" s="386">
        <v>1.3876883184062621E-2</v>
      </c>
      <c r="S21" s="384"/>
      <c r="T21" s="384"/>
      <c r="U21" s="384"/>
      <c r="V21" s="384"/>
      <c r="W21" s="384"/>
    </row>
    <row r="22" spans="1:23">
      <c r="A22" s="387">
        <v>44127</v>
      </c>
      <c r="B22" s="384" t="s">
        <v>401</v>
      </c>
      <c r="C22" s="384">
        <v>1000.15113099999</v>
      </c>
      <c r="D22" s="386">
        <v>3.0000000265317999E-6</v>
      </c>
      <c r="E22" s="384">
        <v>0.108238499999999</v>
      </c>
      <c r="F22" s="386">
        <v>5.0326434405786901E-5</v>
      </c>
      <c r="G22" s="384"/>
      <c r="H22" s="384">
        <v>1000.1511311319899</v>
      </c>
      <c r="I22" s="386">
        <v>3.0030811109909769E-6</v>
      </c>
      <c r="J22" s="386">
        <v>0.108211299999999</v>
      </c>
      <c r="K22" s="386">
        <v>5.0363428199438247E-5</v>
      </c>
      <c r="L22" s="384"/>
      <c r="M22" s="384"/>
      <c r="N22" s="384">
        <v>1000.1485041601918</v>
      </c>
      <c r="O22" s="385">
        <v>-2.626574840859127</v>
      </c>
      <c r="P22" s="384"/>
      <c r="Q22" s="384"/>
      <c r="R22" s="386">
        <v>1.0819494837497551E-2</v>
      </c>
      <c r="S22" s="384"/>
      <c r="T22" s="384"/>
      <c r="U22" s="384"/>
      <c r="V22" s="384"/>
      <c r="W22" s="384"/>
    </row>
    <row r="23" spans="1:23">
      <c r="A23" s="387">
        <v>44127</v>
      </c>
      <c r="B23" s="384" t="s">
        <v>401</v>
      </c>
      <c r="C23" s="384">
        <v>1000.150609</v>
      </c>
      <c r="D23" s="386">
        <v>5.38516479353826E-6</v>
      </c>
      <c r="E23" s="384">
        <v>0.1094955</v>
      </c>
      <c r="F23" s="386">
        <v>4.8936182932466701E-5</v>
      </c>
      <c r="G23" s="384"/>
      <c r="H23" s="384">
        <v>1000.150609132</v>
      </c>
      <c r="I23" s="386">
        <v>5.3868818302951448E-6</v>
      </c>
      <c r="J23" s="386">
        <v>0.10946829999999999</v>
      </c>
      <c r="K23" s="386">
        <v>4.8974226895376771E-5</v>
      </c>
      <c r="L23" s="384"/>
      <c r="M23" s="384"/>
      <c r="N23" s="384">
        <v>1000.1479821615729</v>
      </c>
      <c r="O23" s="385">
        <v>-2.626574840859127</v>
      </c>
      <c r="P23" s="384"/>
      <c r="Q23" s="384"/>
      <c r="R23" s="386">
        <v>1.0945181555706314E-2</v>
      </c>
      <c r="S23" s="384"/>
      <c r="T23" s="384"/>
      <c r="U23" s="384"/>
      <c r="V23" s="384"/>
      <c r="W23" s="384"/>
    </row>
    <row r="24" spans="1:23">
      <c r="A24" s="384"/>
      <c r="B24" s="384"/>
      <c r="C24" s="384"/>
      <c r="D24" s="384"/>
      <c r="E24" s="384"/>
      <c r="F24" s="384"/>
      <c r="G24" s="384"/>
      <c r="H24" s="384"/>
      <c r="I24" s="384"/>
      <c r="J24" s="384"/>
      <c r="K24" s="384"/>
      <c r="L24" s="384"/>
      <c r="M24" s="384"/>
      <c r="N24" s="384"/>
      <c r="O24" s="385"/>
      <c r="P24" s="384" t="s">
        <v>390</v>
      </c>
      <c r="Q24" s="384"/>
      <c r="R24" s="386"/>
      <c r="S24" s="384"/>
      <c r="T24" s="384"/>
      <c r="U24" s="384"/>
      <c r="V24" s="384"/>
      <c r="W24" s="384"/>
    </row>
    <row r="25" spans="1:23">
      <c r="A25" s="384"/>
      <c r="B25" s="384"/>
      <c r="C25" s="384"/>
      <c r="D25" s="384"/>
      <c r="E25" s="384"/>
      <c r="F25" s="384"/>
      <c r="G25" s="384"/>
      <c r="H25" s="384"/>
      <c r="I25" s="384"/>
      <c r="J25" s="384"/>
      <c r="K25" s="384"/>
      <c r="L25" s="384"/>
      <c r="M25" s="384"/>
      <c r="N25" s="384"/>
      <c r="O25" s="385"/>
      <c r="P25" s="384" t="s">
        <v>205</v>
      </c>
      <c r="Q25" s="384"/>
      <c r="R25" s="386"/>
      <c r="S25" s="384"/>
      <c r="T25" s="384"/>
      <c r="U25" s="384"/>
      <c r="V25" s="384"/>
      <c r="W25" s="384"/>
    </row>
    <row r="26" spans="1:23">
      <c r="A26" s="387" t="s">
        <v>402</v>
      </c>
      <c r="B26" s="384" t="s">
        <v>401</v>
      </c>
      <c r="C26" s="384">
        <v>1000.1465181666634</v>
      </c>
      <c r="D26" s="386">
        <v>4.4078655785685312E-3</v>
      </c>
      <c r="E26" s="384">
        <v>0.11850774999999965</v>
      </c>
      <c r="F26" s="386">
        <v>1.7085047019982442E-2</v>
      </c>
      <c r="G26" s="384"/>
      <c r="H26" s="384">
        <v>1000.1465182986632</v>
      </c>
      <c r="I26" s="386">
        <v>4.4078655785685312E-3</v>
      </c>
      <c r="J26" s="384">
        <v>0.11848054999999964</v>
      </c>
      <c r="K26" s="386">
        <v>1.7085047019982362E-2</v>
      </c>
      <c r="L26" s="384"/>
      <c r="M26" s="384"/>
      <c r="N26" s="388">
        <v>1000.143891338981</v>
      </c>
      <c r="O26" s="385">
        <v>-2.626574840859127</v>
      </c>
      <c r="P26" s="389">
        <v>4.4072314161388642</v>
      </c>
      <c r="Q26" s="384"/>
      <c r="R26" s="386">
        <v>1.1846319297451082E-2</v>
      </c>
      <c r="S26" s="384"/>
      <c r="T26" s="384"/>
      <c r="U26" s="384"/>
      <c r="V26" s="384"/>
      <c r="W26" s="384"/>
    </row>
    <row r="28" spans="1:23">
      <c r="A28" s="157" t="s">
        <v>403</v>
      </c>
    </row>
    <row r="29" spans="1:23">
      <c r="A29" s="157"/>
      <c r="F29" s="157" t="s">
        <v>404</v>
      </c>
    </row>
    <row r="30" spans="1:23">
      <c r="A30" s="2">
        <v>44146</v>
      </c>
      <c r="C30" s="157" t="s">
        <v>0</v>
      </c>
      <c r="D30" s="157" t="s">
        <v>178</v>
      </c>
      <c r="F30" s="157" t="s">
        <v>0</v>
      </c>
      <c r="G30" s="157" t="s">
        <v>405</v>
      </c>
    </row>
    <row r="31" spans="1:23">
      <c r="C31" s="157" t="s">
        <v>116</v>
      </c>
      <c r="D31" s="157" t="s">
        <v>1</v>
      </c>
      <c r="F31" s="157" t="s">
        <v>116</v>
      </c>
    </row>
    <row r="32" spans="1:23">
      <c r="B32" s="391" t="s">
        <v>401</v>
      </c>
      <c r="C32" s="384">
        <v>1000.1593</v>
      </c>
      <c r="D32" s="384">
        <v>0.13361999999999999</v>
      </c>
      <c r="F32" s="391">
        <f>C32+G32</f>
        <v>1000.1566795</v>
      </c>
      <c r="G32" s="391">
        <f>AVERAGE(G33:G34)</f>
        <v>-2.6205000000345535E-3</v>
      </c>
    </row>
    <row r="33" spans="2:7">
      <c r="B33" s="157" t="s">
        <v>399</v>
      </c>
      <c r="C33" s="384">
        <v>1000.0317</v>
      </c>
      <c r="D33" s="384">
        <v>0.17502999999999999</v>
      </c>
      <c r="F33" s="384">
        <f>N16</f>
        <v>1000.028924</v>
      </c>
      <c r="G33">
        <f>F33-C33</f>
        <v>-2.7760000000398577E-3</v>
      </c>
    </row>
    <row r="34" spans="2:7">
      <c r="B34" s="157" t="s">
        <v>400</v>
      </c>
      <c r="C34" s="384">
        <v>1000.0164</v>
      </c>
      <c r="D34" s="384">
        <v>0.17621000000000001</v>
      </c>
      <c r="F34" s="384">
        <f>N17</f>
        <v>1000.0139349999999</v>
      </c>
      <c r="G34">
        <f>F34-C34</f>
        <v>-2.4650000000292493E-3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2:C139"/>
  <sheetViews>
    <sheetView topLeftCell="A25" workbookViewId="0">
      <selection activeCell="C55" sqref="C55"/>
    </sheetView>
  </sheetViews>
  <sheetFormatPr defaultRowHeight="12.75"/>
  <cols>
    <col min="1" max="1" width="16.7109375" customWidth="1"/>
  </cols>
  <sheetData>
    <row r="2" spans="1:3">
      <c r="A2" s="145"/>
      <c r="B2" s="146"/>
      <c r="C2" s="146"/>
    </row>
    <row r="3" spans="1:3">
      <c r="A3" s="145" t="s">
        <v>197</v>
      </c>
      <c r="B3" s="146"/>
      <c r="C3" s="146"/>
    </row>
    <row r="4" spans="1:3">
      <c r="A4" s="145"/>
      <c r="B4" s="146"/>
      <c r="C4" s="146"/>
    </row>
    <row r="5" spans="1:3">
      <c r="A5" s="147">
        <v>41921.583333333336</v>
      </c>
      <c r="B5" s="148">
        <v>20.41</v>
      </c>
      <c r="C5" s="148">
        <v>42.67</v>
      </c>
    </row>
    <row r="6" spans="1:3">
      <c r="A6" s="147">
        <v>41921.586805555555</v>
      </c>
      <c r="B6" s="148">
        <v>20.41</v>
      </c>
      <c r="C6" s="148">
        <v>42.38</v>
      </c>
    </row>
    <row r="7" spans="1:3">
      <c r="A7" s="147">
        <v>41921.590277777781</v>
      </c>
      <c r="B7" s="148">
        <v>20.45</v>
      </c>
      <c r="C7" s="148">
        <v>42.55</v>
      </c>
    </row>
    <row r="8" spans="1:3">
      <c r="A8" s="147">
        <v>41921.59375</v>
      </c>
      <c r="B8" s="148">
        <v>20.51</v>
      </c>
      <c r="C8" s="148">
        <v>42.72</v>
      </c>
    </row>
    <row r="9" spans="1:3">
      <c r="A9" s="147">
        <v>41921.597222222219</v>
      </c>
      <c r="B9" s="148">
        <v>20.57</v>
      </c>
      <c r="C9" s="148">
        <v>42.77</v>
      </c>
    </row>
    <row r="10" spans="1:3">
      <c r="A10" s="147">
        <v>41921.600694444445</v>
      </c>
      <c r="B10" s="148">
        <v>20.52</v>
      </c>
      <c r="C10" s="148">
        <v>42.87</v>
      </c>
    </row>
    <row r="11" spans="1:3">
      <c r="A11" s="147">
        <v>41921.604166666664</v>
      </c>
      <c r="B11" s="148">
        <v>20.53</v>
      </c>
      <c r="C11" s="148">
        <v>42.67</v>
      </c>
    </row>
    <row r="12" spans="1:3">
      <c r="A12" s="147">
        <v>41921.607638888891</v>
      </c>
      <c r="B12" s="148">
        <v>20.46</v>
      </c>
      <c r="C12" s="148">
        <v>42.42</v>
      </c>
    </row>
    <row r="13" spans="1:3">
      <c r="A13" s="147">
        <v>41921.611111111109</v>
      </c>
      <c r="B13" s="148">
        <v>20.41</v>
      </c>
      <c r="C13" s="148">
        <v>42.55</v>
      </c>
    </row>
    <row r="14" spans="1:3">
      <c r="A14" s="147">
        <v>41921.614583333336</v>
      </c>
      <c r="B14" s="148">
        <v>20.41</v>
      </c>
      <c r="C14" s="148">
        <v>42.28</v>
      </c>
    </row>
    <row r="15" spans="1:3">
      <c r="A15" s="147">
        <v>41921.618055555555</v>
      </c>
      <c r="B15" s="148">
        <v>20.399999999999999</v>
      </c>
      <c r="C15" s="148">
        <v>42.47</v>
      </c>
    </row>
    <row r="16" spans="1:3">
      <c r="A16" s="147">
        <v>41921.621527777781</v>
      </c>
      <c r="B16" s="148">
        <v>20.440000000000001</v>
      </c>
      <c r="C16" s="148">
        <v>42.3</v>
      </c>
    </row>
    <row r="17" spans="1:3">
      <c r="A17" s="147">
        <v>41921.625</v>
      </c>
      <c r="B17" s="148">
        <v>20.399999999999999</v>
      </c>
      <c r="C17" s="148">
        <v>42.65</v>
      </c>
    </row>
    <row r="18" spans="1:3">
      <c r="A18" s="147">
        <v>41921.628472222219</v>
      </c>
      <c r="B18" s="148">
        <v>20.41</v>
      </c>
      <c r="C18" s="148">
        <v>42.89</v>
      </c>
    </row>
    <row r="19" spans="1:3">
      <c r="A19" s="147">
        <v>41921.631944444445</v>
      </c>
      <c r="B19" s="148">
        <v>20.41</v>
      </c>
      <c r="C19" s="148">
        <v>42.74</v>
      </c>
    </row>
    <row r="20" spans="1:3">
      <c r="A20" s="147">
        <v>41921.635416666664</v>
      </c>
      <c r="B20" s="148">
        <v>20.420000000000002</v>
      </c>
      <c r="C20" s="148">
        <v>42.77</v>
      </c>
    </row>
    <row r="21" spans="1:3">
      <c r="A21" s="147">
        <v>41921.638888888891</v>
      </c>
      <c r="B21" s="148">
        <v>20.399999999999999</v>
      </c>
      <c r="C21" s="148">
        <v>42.72</v>
      </c>
    </row>
    <row r="22" spans="1:3">
      <c r="A22" s="147">
        <v>41921.642361111109</v>
      </c>
      <c r="B22" s="148">
        <v>20.329999999999998</v>
      </c>
      <c r="C22" s="148">
        <v>42.79</v>
      </c>
    </row>
    <row r="23" spans="1:3">
      <c r="A23" s="147">
        <v>41921.645833333336</v>
      </c>
      <c r="B23" s="148">
        <v>20.350000000000001</v>
      </c>
      <c r="C23" s="148">
        <v>43.19</v>
      </c>
    </row>
    <row r="24" spans="1:3">
      <c r="A24" s="147">
        <v>41921.649305555555</v>
      </c>
      <c r="B24" s="148">
        <v>20.41</v>
      </c>
      <c r="C24" s="148">
        <v>43.04</v>
      </c>
    </row>
    <row r="25" spans="1:3">
      <c r="A25" s="147">
        <v>41921.652777777781</v>
      </c>
      <c r="B25" s="148">
        <v>20.45</v>
      </c>
      <c r="C25" s="148">
        <v>42.96</v>
      </c>
    </row>
    <row r="26" spans="1:3">
      <c r="A26" s="147">
        <v>41921.65625</v>
      </c>
      <c r="B26" s="148">
        <v>20.41</v>
      </c>
      <c r="C26" s="148">
        <v>43.19</v>
      </c>
    </row>
    <row r="27" spans="1:3">
      <c r="A27" s="147">
        <v>41921.659722222219</v>
      </c>
      <c r="B27" s="148">
        <v>20.440000000000001</v>
      </c>
      <c r="C27" s="148">
        <v>42.92</v>
      </c>
    </row>
    <row r="28" spans="1:3">
      <c r="A28" s="147">
        <v>41921.663194444445</v>
      </c>
      <c r="B28" s="148">
        <v>20.399999999999999</v>
      </c>
      <c r="C28" s="148">
        <v>42.89</v>
      </c>
    </row>
    <row r="29" spans="1:3">
      <c r="A29" s="147">
        <v>41921.666666666664</v>
      </c>
      <c r="B29" s="148">
        <v>20.47</v>
      </c>
      <c r="C29" s="148">
        <v>43.23</v>
      </c>
    </row>
    <row r="30" spans="1:3">
      <c r="A30" s="147">
        <v>41921.670138888891</v>
      </c>
      <c r="B30" s="148">
        <v>20.45</v>
      </c>
      <c r="C30" s="148">
        <v>42.84</v>
      </c>
    </row>
    <row r="31" spans="1:3">
      <c r="A31" s="147">
        <v>41921.673611111109</v>
      </c>
      <c r="B31" s="148">
        <v>20.41</v>
      </c>
      <c r="C31" s="148">
        <v>42.92</v>
      </c>
    </row>
    <row r="32" spans="1:3">
      <c r="A32" s="147">
        <v>41921.677083333336</v>
      </c>
      <c r="B32" s="148">
        <v>20.39</v>
      </c>
      <c r="C32" s="148">
        <v>42.79</v>
      </c>
    </row>
    <row r="33" spans="1:3">
      <c r="A33" s="147">
        <v>41921.680555555555</v>
      </c>
      <c r="B33" s="148">
        <v>20.51</v>
      </c>
      <c r="C33" s="148">
        <v>43.06</v>
      </c>
    </row>
    <row r="34" spans="1:3">
      <c r="A34" s="147">
        <v>41921.684027777781</v>
      </c>
      <c r="B34" s="148">
        <v>20.51</v>
      </c>
      <c r="C34" s="148">
        <v>43.23</v>
      </c>
    </row>
    <row r="35" spans="1:3">
      <c r="A35" s="147">
        <v>41921.6875</v>
      </c>
      <c r="B35" s="148">
        <v>20.5</v>
      </c>
      <c r="C35" s="148">
        <v>43.41</v>
      </c>
    </row>
    <row r="36" spans="1:3">
      <c r="A36" s="147">
        <v>41921.690972222219</v>
      </c>
      <c r="B36" s="148">
        <v>20.5</v>
      </c>
      <c r="C36" s="148">
        <v>43.26</v>
      </c>
    </row>
    <row r="37" spans="1:3">
      <c r="A37" s="147">
        <v>41921.694444444445</v>
      </c>
      <c r="B37" s="148">
        <v>20.55</v>
      </c>
      <c r="C37" s="148">
        <v>43.48</v>
      </c>
    </row>
    <row r="38" spans="1:3">
      <c r="A38" s="147">
        <v>41921.697916666664</v>
      </c>
      <c r="B38" s="148">
        <v>20.51</v>
      </c>
      <c r="C38" s="148">
        <v>43.43</v>
      </c>
    </row>
    <row r="39" spans="1:3">
      <c r="A39" s="147">
        <v>41921.701388888891</v>
      </c>
      <c r="B39" s="148">
        <v>20.5</v>
      </c>
      <c r="C39" s="148">
        <v>43.43</v>
      </c>
    </row>
    <row r="40" spans="1:3">
      <c r="A40" s="147">
        <v>41921.704861111109</v>
      </c>
      <c r="B40" s="148">
        <v>20.56</v>
      </c>
      <c r="C40" s="148">
        <v>43.65</v>
      </c>
    </row>
    <row r="41" spans="1:3">
      <c r="A41" s="147">
        <v>41921.708333333336</v>
      </c>
      <c r="B41" s="148">
        <v>20.56</v>
      </c>
      <c r="C41" s="148">
        <v>43.58</v>
      </c>
    </row>
    <row r="42" spans="1:3">
      <c r="A42" s="147">
        <v>41921.711805555555</v>
      </c>
      <c r="B42" s="148">
        <v>20.55</v>
      </c>
      <c r="C42" s="148">
        <v>43.68</v>
      </c>
    </row>
    <row r="43" spans="1:3">
      <c r="A43" s="147">
        <v>41921.715277777781</v>
      </c>
      <c r="B43" s="148">
        <v>20.47</v>
      </c>
      <c r="C43" s="148">
        <v>43.63</v>
      </c>
    </row>
    <row r="44" spans="1:3">
      <c r="A44" s="147">
        <v>41921.71875</v>
      </c>
      <c r="B44" s="148">
        <v>20.49</v>
      </c>
      <c r="C44" s="148">
        <v>43.75</v>
      </c>
    </row>
    <row r="45" spans="1:3">
      <c r="A45" s="147">
        <v>41921.722222222219</v>
      </c>
      <c r="B45" s="148">
        <v>20.420000000000002</v>
      </c>
      <c r="C45" s="148">
        <v>43.77</v>
      </c>
    </row>
    <row r="46" spans="1:3">
      <c r="A46" s="147">
        <v>41921.725694444445</v>
      </c>
      <c r="B46" s="148">
        <v>20.49</v>
      </c>
      <c r="C46" s="148">
        <v>43.63</v>
      </c>
    </row>
    <row r="47" spans="1:3">
      <c r="A47" s="147">
        <v>41921.729166666664</v>
      </c>
      <c r="B47" s="148">
        <v>20.52</v>
      </c>
      <c r="C47" s="148">
        <v>43.73</v>
      </c>
    </row>
    <row r="48" spans="1:3">
      <c r="A48" s="147">
        <v>41921.732638888891</v>
      </c>
      <c r="B48" s="148">
        <v>20.53</v>
      </c>
      <c r="C48" s="148">
        <v>43.48</v>
      </c>
    </row>
    <row r="49" spans="1:3">
      <c r="A49" s="147">
        <v>41921.736111111109</v>
      </c>
      <c r="B49" s="148">
        <v>20.5</v>
      </c>
      <c r="C49" s="148">
        <v>43.38</v>
      </c>
    </row>
    <row r="50" spans="1:3">
      <c r="A50" s="147">
        <v>41921.739583333336</v>
      </c>
      <c r="B50" s="148">
        <v>20.46</v>
      </c>
      <c r="C50" s="148">
        <v>43.5</v>
      </c>
    </row>
    <row r="51" spans="1:3">
      <c r="A51" s="147">
        <v>41921.743055555555</v>
      </c>
      <c r="B51" s="148">
        <v>20.46</v>
      </c>
      <c r="C51" s="148">
        <v>43.38</v>
      </c>
    </row>
    <row r="52" spans="1:3">
      <c r="A52" s="147">
        <v>41921.746527777781</v>
      </c>
      <c r="B52" s="148">
        <v>20.45</v>
      </c>
      <c r="C52" s="148">
        <v>43.53</v>
      </c>
    </row>
    <row r="53" spans="1:3">
      <c r="A53" s="147">
        <v>41921.75</v>
      </c>
      <c r="B53" s="148">
        <v>20.49</v>
      </c>
      <c r="C53" s="148">
        <v>43.43</v>
      </c>
    </row>
    <row r="54" spans="1:3">
      <c r="A54" s="147"/>
      <c r="B54" s="148"/>
      <c r="C54" s="148"/>
    </row>
    <row r="55" spans="1:3">
      <c r="A55" s="147" t="s">
        <v>181</v>
      </c>
      <c r="B55" s="148">
        <f>AVERAGE(B5:B53)</f>
        <v>20.461224489795917</v>
      </c>
      <c r="C55" s="148">
        <f>AVERAGE(C5:C53)</f>
        <v>43.073469387755118</v>
      </c>
    </row>
    <row r="56" spans="1:3">
      <c r="A56" s="147" t="s">
        <v>182</v>
      </c>
      <c r="B56" s="148">
        <f>STDEV(B5:B53)</f>
        <v>5.7685665935497191E-2</v>
      </c>
      <c r="C56" s="148">
        <f>STDEV(C5:C53)</f>
        <v>0.43175779775050643</v>
      </c>
    </row>
    <row r="57" spans="1:3">
      <c r="A57" s="147"/>
      <c r="B57" s="148"/>
      <c r="C57" s="148"/>
    </row>
    <row r="58" spans="1:3" hidden="1">
      <c r="A58" s="145"/>
      <c r="B58" s="146"/>
      <c r="C58" s="146"/>
    </row>
    <row r="59" spans="1:3" hidden="1">
      <c r="A59" s="145"/>
      <c r="B59" s="146"/>
      <c r="C59" s="146"/>
    </row>
    <row r="60" spans="1:3" hidden="1">
      <c r="A60" s="145"/>
      <c r="B60" s="146"/>
      <c r="C60" s="146"/>
    </row>
    <row r="61" spans="1:3" hidden="1">
      <c r="A61" s="145"/>
      <c r="B61" s="146"/>
      <c r="C61" s="146"/>
    </row>
    <row r="62" spans="1:3" hidden="1">
      <c r="A62" s="145"/>
      <c r="B62" s="146"/>
      <c r="C62" s="146"/>
    </row>
    <row r="63" spans="1:3" hidden="1">
      <c r="A63" s="145"/>
      <c r="B63" s="146"/>
      <c r="C63" s="146"/>
    </row>
    <row r="64" spans="1:3" hidden="1">
      <c r="A64" s="145"/>
      <c r="B64" s="146"/>
      <c r="C64" s="146"/>
    </row>
    <row r="65" spans="1:3" hidden="1">
      <c r="A65" s="145"/>
      <c r="B65" s="146"/>
      <c r="C65" s="146"/>
    </row>
    <row r="66" spans="1:3" hidden="1">
      <c r="A66" s="145"/>
      <c r="B66" s="146"/>
      <c r="C66" s="146"/>
    </row>
    <row r="67" spans="1:3" hidden="1">
      <c r="A67" s="145"/>
      <c r="B67" s="146"/>
      <c r="C67" s="146"/>
    </row>
    <row r="68" spans="1:3" hidden="1">
      <c r="A68" s="145"/>
      <c r="B68" s="146"/>
      <c r="C68" s="146"/>
    </row>
    <row r="69" spans="1:3" hidden="1">
      <c r="A69" s="145"/>
      <c r="B69" s="146"/>
      <c r="C69" s="146"/>
    </row>
    <row r="70" spans="1:3" hidden="1">
      <c r="A70" s="145"/>
      <c r="B70" s="146"/>
      <c r="C70" s="146"/>
    </row>
    <row r="71" spans="1:3" hidden="1">
      <c r="A71" s="145"/>
      <c r="B71" s="146"/>
      <c r="C71" s="146"/>
    </row>
    <row r="72" spans="1:3" hidden="1">
      <c r="A72" s="145"/>
      <c r="B72" s="146"/>
      <c r="C72" s="146"/>
    </row>
    <row r="73" spans="1:3" hidden="1">
      <c r="A73" s="145"/>
      <c r="B73" s="146"/>
      <c r="C73" s="146"/>
    </row>
    <row r="74" spans="1:3" hidden="1">
      <c r="A74" s="145"/>
      <c r="B74" s="146"/>
      <c r="C74" s="146"/>
    </row>
    <row r="75" spans="1:3" hidden="1">
      <c r="A75" s="145"/>
      <c r="B75" s="146"/>
      <c r="C75" s="146"/>
    </row>
    <row r="76" spans="1:3" hidden="1">
      <c r="A76" s="145"/>
      <c r="B76" s="146"/>
      <c r="C76" s="146"/>
    </row>
    <row r="77" spans="1:3" hidden="1">
      <c r="A77" s="145"/>
      <c r="B77" s="146"/>
      <c r="C77" s="146"/>
    </row>
    <row r="78" spans="1:3" hidden="1">
      <c r="A78" s="145"/>
      <c r="B78" s="146"/>
      <c r="C78" s="146"/>
    </row>
    <row r="79" spans="1:3" hidden="1">
      <c r="A79" s="145"/>
      <c r="B79" s="146"/>
      <c r="C79" s="146"/>
    </row>
    <row r="80" spans="1:3" hidden="1">
      <c r="A80" s="145"/>
      <c r="B80" s="146"/>
      <c r="C80" s="146"/>
    </row>
    <row r="81" spans="1:3" hidden="1">
      <c r="A81" s="145"/>
      <c r="B81" s="146"/>
      <c r="C81" s="146"/>
    </row>
    <row r="82" spans="1:3" hidden="1">
      <c r="A82" s="145"/>
      <c r="B82" s="146"/>
      <c r="C82" s="146"/>
    </row>
    <row r="83" spans="1:3" hidden="1">
      <c r="A83" s="145"/>
      <c r="B83" s="146"/>
      <c r="C83" s="146"/>
    </row>
    <row r="84" spans="1:3" hidden="1">
      <c r="A84" s="145"/>
      <c r="B84" s="146"/>
      <c r="C84" s="146"/>
    </row>
    <row r="85" spans="1:3" hidden="1">
      <c r="A85" s="145"/>
      <c r="B85" s="146"/>
      <c r="C85" s="146"/>
    </row>
    <row r="86" spans="1:3" hidden="1">
      <c r="A86" s="145"/>
      <c r="B86" s="146"/>
      <c r="C86" s="146"/>
    </row>
    <row r="87" spans="1:3" hidden="1">
      <c r="A87" s="145"/>
      <c r="B87" s="146"/>
      <c r="C87" s="146"/>
    </row>
    <row r="88" spans="1:3" hidden="1">
      <c r="A88" s="145"/>
      <c r="B88" s="146"/>
      <c r="C88" s="146"/>
    </row>
    <row r="89" spans="1:3" hidden="1">
      <c r="A89" s="145"/>
      <c r="B89" s="146"/>
      <c r="C89" s="146"/>
    </row>
    <row r="90" spans="1:3" hidden="1">
      <c r="A90" s="145"/>
      <c r="B90" s="146"/>
      <c r="C90" s="146"/>
    </row>
    <row r="91" spans="1:3" hidden="1">
      <c r="A91" s="145"/>
      <c r="B91" s="146"/>
      <c r="C91" s="146"/>
    </row>
    <row r="92" spans="1:3" hidden="1">
      <c r="A92" s="145"/>
      <c r="B92" s="146"/>
      <c r="C92" s="146"/>
    </row>
    <row r="93" spans="1:3" hidden="1">
      <c r="A93" s="145"/>
      <c r="B93" s="146"/>
      <c r="C93" s="146"/>
    </row>
    <row r="94" spans="1:3" hidden="1">
      <c r="A94" s="145"/>
      <c r="B94" s="146"/>
      <c r="C94" s="146"/>
    </row>
    <row r="95" spans="1:3" hidden="1">
      <c r="A95" s="145"/>
      <c r="B95" s="146"/>
      <c r="C95" s="146"/>
    </row>
    <row r="96" spans="1:3" hidden="1">
      <c r="A96" s="145"/>
      <c r="B96" s="146"/>
      <c r="C96" s="146"/>
    </row>
    <row r="97" spans="1:3" hidden="1">
      <c r="A97" s="145"/>
      <c r="B97" s="146"/>
      <c r="C97" s="146"/>
    </row>
    <row r="98" spans="1:3" hidden="1">
      <c r="A98" s="145"/>
      <c r="B98" s="146"/>
      <c r="C98" s="146"/>
    </row>
    <row r="99" spans="1:3" hidden="1">
      <c r="A99" s="145"/>
      <c r="B99" s="146"/>
      <c r="C99" s="146"/>
    </row>
    <row r="100" spans="1:3" hidden="1">
      <c r="A100" s="145"/>
      <c r="B100" s="146"/>
      <c r="C100" s="146"/>
    </row>
    <row r="101" spans="1:3" hidden="1">
      <c r="A101" s="145"/>
      <c r="B101" s="146"/>
      <c r="C101" s="146"/>
    </row>
    <row r="102" spans="1:3" hidden="1">
      <c r="A102" s="145"/>
      <c r="B102" s="146"/>
      <c r="C102" s="146"/>
    </row>
    <row r="103" spans="1:3" hidden="1">
      <c r="A103" s="145"/>
      <c r="B103" s="146"/>
      <c r="C103" s="146"/>
    </row>
    <row r="104" spans="1:3" hidden="1">
      <c r="A104" s="145"/>
      <c r="B104" s="146"/>
      <c r="C104" s="146"/>
    </row>
    <row r="105" spans="1:3" hidden="1">
      <c r="A105" s="145"/>
      <c r="B105" s="146"/>
      <c r="C105" s="146"/>
    </row>
    <row r="106" spans="1:3" hidden="1">
      <c r="A106" s="145"/>
      <c r="B106" s="146"/>
      <c r="C106" s="146"/>
    </row>
    <row r="107" spans="1:3" hidden="1">
      <c r="A107" s="145"/>
      <c r="B107" s="146"/>
      <c r="C107" s="146"/>
    </row>
    <row r="108" spans="1:3" hidden="1">
      <c r="A108" s="145"/>
      <c r="B108" s="146"/>
      <c r="C108" s="146"/>
    </row>
    <row r="109" spans="1:3" hidden="1">
      <c r="A109" s="145"/>
      <c r="B109" s="146"/>
      <c r="C109" s="146"/>
    </row>
    <row r="110" spans="1:3" hidden="1">
      <c r="A110" s="145"/>
      <c r="B110" s="146"/>
      <c r="C110" s="146"/>
    </row>
    <row r="111" spans="1:3" hidden="1">
      <c r="A111" s="145"/>
      <c r="B111" s="146"/>
      <c r="C111" s="146"/>
    </row>
    <row r="112" spans="1:3" hidden="1">
      <c r="A112" s="145"/>
      <c r="B112" s="146"/>
      <c r="C112" s="146"/>
    </row>
    <row r="113" spans="1:3" hidden="1">
      <c r="A113" s="145"/>
      <c r="B113" s="146"/>
      <c r="C113" s="146"/>
    </row>
    <row r="114" spans="1:3" hidden="1">
      <c r="A114" s="145"/>
      <c r="B114" s="146"/>
      <c r="C114" s="146"/>
    </row>
    <row r="115" spans="1:3" hidden="1">
      <c r="A115" s="145"/>
      <c r="B115" s="146"/>
      <c r="C115" s="146"/>
    </row>
    <row r="116" spans="1:3" hidden="1">
      <c r="A116" s="145"/>
      <c r="B116" s="146"/>
      <c r="C116" s="146"/>
    </row>
    <row r="117" spans="1:3" hidden="1">
      <c r="A117" s="145"/>
      <c r="B117" s="146"/>
      <c r="C117" s="146"/>
    </row>
    <row r="118" spans="1:3" hidden="1">
      <c r="A118" s="145"/>
      <c r="B118" s="146"/>
      <c r="C118" s="146"/>
    </row>
    <row r="119" spans="1:3" hidden="1">
      <c r="A119" s="145"/>
      <c r="B119" s="146"/>
      <c r="C119" s="146"/>
    </row>
    <row r="120" spans="1:3" hidden="1">
      <c r="A120" s="145"/>
      <c r="B120" s="146"/>
      <c r="C120" s="146"/>
    </row>
    <row r="121" spans="1:3" hidden="1">
      <c r="A121" s="145"/>
      <c r="B121" s="146"/>
      <c r="C121" s="146"/>
    </row>
    <row r="122" spans="1:3" hidden="1">
      <c r="A122" s="145"/>
      <c r="B122" s="146"/>
      <c r="C122" s="146"/>
    </row>
    <row r="123" spans="1:3" hidden="1">
      <c r="A123" s="145"/>
      <c r="B123" s="146"/>
      <c r="C123" s="146"/>
    </row>
    <row r="124" spans="1:3" hidden="1">
      <c r="A124" s="145"/>
      <c r="B124" s="146"/>
      <c r="C124" s="146"/>
    </row>
    <row r="125" spans="1:3" hidden="1">
      <c r="A125" s="145"/>
      <c r="B125" s="146"/>
      <c r="C125" s="146"/>
    </row>
    <row r="126" spans="1:3" hidden="1">
      <c r="A126" s="145"/>
      <c r="B126" s="146"/>
      <c r="C126" s="146"/>
    </row>
    <row r="127" spans="1:3" hidden="1">
      <c r="A127" s="145"/>
      <c r="B127" s="146"/>
      <c r="C127" s="146"/>
    </row>
    <row r="128" spans="1:3" hidden="1">
      <c r="A128" s="145"/>
      <c r="B128" s="146"/>
      <c r="C128" s="146"/>
    </row>
    <row r="129" spans="1:3" hidden="1">
      <c r="A129" s="145"/>
      <c r="B129" s="146"/>
      <c r="C129" s="146"/>
    </row>
    <row r="130" spans="1:3" hidden="1">
      <c r="A130" s="145"/>
      <c r="B130" s="146"/>
      <c r="C130" s="146"/>
    </row>
    <row r="131" spans="1:3" hidden="1">
      <c r="A131" s="145"/>
      <c r="B131" s="146"/>
      <c r="C131" s="146"/>
    </row>
    <row r="132" spans="1:3" hidden="1">
      <c r="A132" s="145"/>
      <c r="B132" s="146"/>
      <c r="C132" s="146"/>
    </row>
    <row r="133" spans="1:3" hidden="1">
      <c r="A133" s="145"/>
      <c r="B133" s="146"/>
      <c r="C133" s="146"/>
    </row>
    <row r="134" spans="1:3" hidden="1">
      <c r="A134" s="145"/>
      <c r="B134" s="146"/>
      <c r="C134" s="146"/>
    </row>
    <row r="135" spans="1:3" hidden="1">
      <c r="A135" s="145"/>
      <c r="B135" s="146"/>
      <c r="C135" s="146"/>
    </row>
    <row r="136" spans="1:3" hidden="1">
      <c r="A136" s="145"/>
      <c r="B136" s="146"/>
      <c r="C136" s="146"/>
    </row>
    <row r="137" spans="1:3" hidden="1">
      <c r="A137" s="145"/>
      <c r="B137" s="146"/>
      <c r="C137" s="146"/>
    </row>
    <row r="138" spans="1:3">
      <c r="A138" s="145"/>
      <c r="B138" s="146"/>
      <c r="C138" s="146"/>
    </row>
    <row r="139" spans="1:3">
      <c r="A139" s="145"/>
      <c r="B139" s="146"/>
      <c r="C139" s="146"/>
    </row>
  </sheetData>
  <phoneticPr fontId="2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E56"/>
  <sheetViews>
    <sheetView topLeftCell="C19" workbookViewId="0">
      <selection activeCell="D40" sqref="D40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</cols>
  <sheetData>
    <row r="1" spans="1:31" ht="13.5" thickBot="1">
      <c r="A1" s="163" t="s">
        <v>198</v>
      </c>
      <c r="E1" t="s">
        <v>61</v>
      </c>
      <c r="L1" t="s">
        <v>62</v>
      </c>
      <c r="M1" s="4" t="s">
        <v>56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5" t="s">
        <v>8</v>
      </c>
      <c r="T1" s="5" t="s">
        <v>10</v>
      </c>
    </row>
    <row r="2" spans="1:31" ht="13.5" thickTop="1">
      <c r="E2" s="6" t="s">
        <v>68</v>
      </c>
      <c r="F2" s="7" t="s">
        <v>69</v>
      </c>
      <c r="G2" s="7" t="s">
        <v>62</v>
      </c>
      <c r="H2" s="8"/>
      <c r="K2" t="s">
        <v>70</v>
      </c>
      <c r="L2" s="164">
        <v>31092</v>
      </c>
      <c r="M2" s="93">
        <f>IMREAL(COMPLEX(32,0))</f>
        <v>32</v>
      </c>
      <c r="N2" s="93">
        <f>IMREAL(COMPLEX(30.1,3.9))</f>
        <v>30.1</v>
      </c>
      <c r="O2" s="93">
        <f>IMREAL(COMPLEX(-12,-5.9))</f>
        <v>-12</v>
      </c>
      <c r="P2" s="93">
        <f>IMREAL(COMPLEX(53,0))</f>
        <v>53</v>
      </c>
      <c r="Q2" s="93">
        <f>IMREAL(COMPLEX(13,-0.4))</f>
        <v>13</v>
      </c>
      <c r="R2" s="93">
        <f>IMREAL(COMPLEX(8.7,1.8))</f>
        <v>8.6999999999999993</v>
      </c>
      <c r="S2" s="93" t="s">
        <v>71</v>
      </c>
      <c r="T2" s="93" t="s">
        <v>71</v>
      </c>
      <c r="U2" t="s">
        <v>72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9"/>
      <c r="F3" s="10" t="s">
        <v>73</v>
      </c>
      <c r="G3" s="165">
        <v>41827</v>
      </c>
      <c r="H3" s="11"/>
      <c r="K3" t="s">
        <v>74</v>
      </c>
      <c r="L3" s="164">
        <v>32477</v>
      </c>
      <c r="M3" s="93">
        <v>123.32</v>
      </c>
      <c r="N3" s="93">
        <v>35</v>
      </c>
      <c r="O3" s="93">
        <v>-12</v>
      </c>
      <c r="P3" s="93" t="e">
        <f>NA()</f>
        <v>#N/A</v>
      </c>
      <c r="Q3" s="93">
        <v>9</v>
      </c>
      <c r="R3" s="93">
        <v>4</v>
      </c>
      <c r="S3" s="93">
        <v>0</v>
      </c>
      <c r="T3" s="93">
        <v>0</v>
      </c>
      <c r="Y3">
        <f t="shared" ref="Y3:Y12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12" t="s">
        <v>62</v>
      </c>
      <c r="B4" s="12" t="s">
        <v>75</v>
      </c>
      <c r="C4" s="12" t="s">
        <v>76</v>
      </c>
      <c r="E4" s="9" t="s">
        <v>77</v>
      </c>
      <c r="F4" s="166">
        <f>IMREAL(VLOOKUP($G$3,Data,2,FALSE))</f>
        <v>143.10000000006261</v>
      </c>
      <c r="G4" s="13" t="str">
        <f t="shared" ref="G4:G9" si="3">VLOOKUP($G$3,Record,2,FALSE)</f>
        <v>UBIII</v>
      </c>
      <c r="H4" s="11"/>
      <c r="K4" t="s">
        <v>74</v>
      </c>
      <c r="L4" s="164">
        <v>33309</v>
      </c>
      <c r="M4" s="93">
        <v>133</v>
      </c>
      <c r="N4" s="93">
        <v>37</v>
      </c>
      <c r="O4" s="93">
        <v>-14</v>
      </c>
      <c r="P4" s="93">
        <v>61</v>
      </c>
      <c r="Q4" s="93">
        <v>10</v>
      </c>
      <c r="R4" s="93">
        <v>6</v>
      </c>
      <c r="S4" s="93">
        <v>0</v>
      </c>
      <c r="T4" s="93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2">
        <v>29728</v>
      </c>
      <c r="B5" t="s">
        <v>78</v>
      </c>
      <c r="C5" t="s">
        <v>79</v>
      </c>
      <c r="E5" s="9" t="s">
        <v>80</v>
      </c>
      <c r="F5" s="166">
        <f>IMREAL(VLOOKUP($G$3,Data,3,FALSE))</f>
        <v>54.126077194238675</v>
      </c>
      <c r="G5" s="13" t="str">
        <f t="shared" si="3"/>
        <v>UBIII</v>
      </c>
      <c r="H5" s="11"/>
      <c r="K5" t="s">
        <v>74</v>
      </c>
      <c r="L5" s="164">
        <v>34933</v>
      </c>
      <c r="M5" s="93">
        <v>127.40600000000001</v>
      </c>
      <c r="N5" s="93">
        <v>40.340000000000003</v>
      </c>
      <c r="O5" s="167">
        <v>-17.21</v>
      </c>
      <c r="P5" s="93">
        <v>52</v>
      </c>
      <c r="Q5" s="167">
        <v>11.21</v>
      </c>
      <c r="R5" s="167">
        <v>6.21</v>
      </c>
      <c r="S5" s="93">
        <v>0</v>
      </c>
      <c r="T5" s="93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2">
        <v>30665</v>
      </c>
      <c r="B6" t="s">
        <v>81</v>
      </c>
      <c r="C6" t="s">
        <v>82</v>
      </c>
      <c r="E6" s="9" t="s">
        <v>83</v>
      </c>
      <c r="F6" s="166">
        <f>IMREAL(VLOOKUP($G$3,Data,4,FALSE))</f>
        <v>-9.8547183057240417</v>
      </c>
      <c r="G6" s="13" t="str">
        <f t="shared" si="3"/>
        <v>UBIII</v>
      </c>
      <c r="H6" s="11"/>
      <c r="K6" t="s">
        <v>74</v>
      </c>
      <c r="L6" s="164">
        <v>36102</v>
      </c>
      <c r="M6" s="93">
        <v>135.27000000000001</v>
      </c>
      <c r="N6" s="168">
        <v>43.374148761358811</v>
      </c>
      <c r="O6" s="167">
        <v>-16.35231834356091</v>
      </c>
      <c r="P6" s="168">
        <v>67.003866063780151</v>
      </c>
      <c r="Q6" s="167">
        <v>11.184371676790761</v>
      </c>
      <c r="R6" s="167">
        <v>6.6891116768238135</v>
      </c>
      <c r="S6" s="93">
        <v>0</v>
      </c>
      <c r="T6" s="93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2">
        <v>30722</v>
      </c>
      <c r="C7" t="s">
        <v>84</v>
      </c>
      <c r="E7" s="9" t="s">
        <v>85</v>
      </c>
      <c r="F7" s="166">
        <f>IMREAL(VLOOKUP($G$3,Data,5,FALSE))</f>
        <v>67.19327719428847</v>
      </c>
      <c r="G7" s="13" t="str">
        <f t="shared" si="3"/>
        <v>UBIII</v>
      </c>
      <c r="H7" s="11"/>
      <c r="K7" t="s">
        <v>74</v>
      </c>
      <c r="L7" s="164">
        <v>37142</v>
      </c>
      <c r="M7" s="167">
        <v>124.15653400852065</v>
      </c>
      <c r="N7" s="167">
        <v>46.005999473575088</v>
      </c>
      <c r="O7" s="167">
        <v>-17.319750828058801</v>
      </c>
      <c r="P7" s="167">
        <v>64.090992469401087</v>
      </c>
      <c r="Q7" s="167">
        <v>12.022750828099106</v>
      </c>
      <c r="R7" s="167">
        <v>7.47625082806357</v>
      </c>
      <c r="S7" s="93">
        <v>0</v>
      </c>
      <c r="T7" s="93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2">
        <v>32477</v>
      </c>
      <c r="B8" t="s">
        <v>86</v>
      </c>
      <c r="C8" t="s">
        <v>87</v>
      </c>
      <c r="E8" s="9" t="s">
        <v>88</v>
      </c>
      <c r="F8" s="166">
        <f>IMREAL(VLOOKUP($G$3,Data,6,FALSE))</f>
        <v>12.948503305687531</v>
      </c>
      <c r="G8" s="13" t="str">
        <f t="shared" si="3"/>
        <v>UBIII</v>
      </c>
      <c r="H8" s="11"/>
      <c r="K8" t="s">
        <v>74</v>
      </c>
      <c r="L8" s="164">
        <v>38008</v>
      </c>
      <c r="M8" s="167">
        <v>131.71484972722556</v>
      </c>
      <c r="N8" s="167">
        <v>47.52000000007861</v>
      </c>
      <c r="O8" s="167">
        <v>-16.235999999891781</v>
      </c>
      <c r="P8" s="167">
        <v>63.740000000089836</v>
      </c>
      <c r="Q8" s="167">
        <v>12.615999999798788</v>
      </c>
      <c r="R8" s="167">
        <v>7.5959999999986039</v>
      </c>
      <c r="S8" s="93">
        <v>0</v>
      </c>
      <c r="T8" s="93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2">
        <v>33309</v>
      </c>
      <c r="B9" t="s">
        <v>86</v>
      </c>
      <c r="C9" t="s">
        <v>87</v>
      </c>
      <c r="E9" s="9" t="s">
        <v>89</v>
      </c>
      <c r="F9" s="166">
        <f>IMREAL(VLOOKUP($G$3,Data,7,FALSE))</f>
        <v>7.496058305744846</v>
      </c>
      <c r="G9" s="13" t="str">
        <f t="shared" si="3"/>
        <v>UBIII</v>
      </c>
      <c r="H9" s="11"/>
      <c r="K9" t="s">
        <v>74</v>
      </c>
      <c r="L9" s="164">
        <v>38035</v>
      </c>
      <c r="M9" s="167">
        <v>123.9</v>
      </c>
      <c r="N9" s="167">
        <v>47.52000000007861</v>
      </c>
      <c r="O9" s="167">
        <v>-16.235999999891781</v>
      </c>
      <c r="P9" s="167">
        <v>63.740000000089836</v>
      </c>
      <c r="Q9" s="167">
        <v>12.615999999798788</v>
      </c>
      <c r="R9" s="167">
        <v>7.5959999999986039</v>
      </c>
      <c r="S9" s="93">
        <v>5.2</v>
      </c>
      <c r="T9" s="93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2">
        <v>33374</v>
      </c>
      <c r="B10" t="s">
        <v>86</v>
      </c>
      <c r="C10" t="s">
        <v>91</v>
      </c>
      <c r="E10" s="14"/>
      <c r="F10" s="15"/>
      <c r="G10" s="15"/>
      <c r="H10" s="11"/>
      <c r="K10" t="s">
        <v>74</v>
      </c>
      <c r="L10" s="164">
        <v>38401</v>
      </c>
      <c r="M10" s="169">
        <v>129.44934972722558</v>
      </c>
      <c r="N10" s="93">
        <v>46.540000000261372</v>
      </c>
      <c r="O10" s="93">
        <v>-16.960000000287856</v>
      </c>
      <c r="P10" s="93">
        <v>61.50000000015865</v>
      </c>
      <c r="Q10" s="93">
        <v>13.840000000375774</v>
      </c>
      <c r="R10" s="93">
        <v>9.0000000000367564</v>
      </c>
      <c r="S10" s="93">
        <v>5.7</v>
      </c>
      <c r="T10" s="93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2">
        <v>33407</v>
      </c>
      <c r="B11" t="s">
        <v>92</v>
      </c>
      <c r="C11" t="s">
        <v>199</v>
      </c>
      <c r="E11" s="14" t="s">
        <v>200</v>
      </c>
      <c r="F11" s="15"/>
      <c r="G11" s="15"/>
      <c r="H11" s="11" t="s">
        <v>201</v>
      </c>
      <c r="K11" t="s">
        <v>74</v>
      </c>
      <c r="L11" s="164">
        <v>40038</v>
      </c>
      <c r="M11" s="93">
        <v>130.29869400282834</v>
      </c>
      <c r="N11" s="93">
        <v>50.874703493297702</v>
      </c>
      <c r="O11" s="93">
        <v>-14.104296506833869</v>
      </c>
      <c r="P11" s="93">
        <v>64.524703493384905</v>
      </c>
      <c r="Q11" s="93">
        <v>12.507296506814036</v>
      </c>
      <c r="R11" s="93">
        <v>7.4752965067981236</v>
      </c>
      <c r="S11" s="93">
        <v>2</v>
      </c>
      <c r="T11" s="93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2">
        <v>34933</v>
      </c>
      <c r="B12" t="s">
        <v>86</v>
      </c>
      <c r="C12" t="s">
        <v>93</v>
      </c>
      <c r="E12" s="14" t="s">
        <v>94</v>
      </c>
      <c r="F12" s="4" t="s">
        <v>153</v>
      </c>
      <c r="G12" s="170">
        <f>IMREAL(VLOOKUP($G$3,Data,8,FALSE))</f>
        <v>10.97</v>
      </c>
      <c r="H12" s="11"/>
      <c r="K12" s="157" t="s">
        <v>74</v>
      </c>
      <c r="L12" s="164">
        <v>41827</v>
      </c>
      <c r="M12" s="93">
        <v>143.10000000006261</v>
      </c>
      <c r="N12" s="93">
        <v>54.126077194238675</v>
      </c>
      <c r="O12" s="93">
        <v>-9.8547183057240417</v>
      </c>
      <c r="P12" s="93">
        <v>67.19327719428847</v>
      </c>
      <c r="Q12" s="93">
        <v>12.948503305687531</v>
      </c>
      <c r="R12" s="93">
        <v>7.496058305744846</v>
      </c>
      <c r="S12" s="93">
        <v>10.97</v>
      </c>
      <c r="T12" s="93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2">
        <v>36102</v>
      </c>
      <c r="B13" t="s">
        <v>86</v>
      </c>
      <c r="C13" t="s">
        <v>137</v>
      </c>
      <c r="E13" s="14" t="s">
        <v>202</v>
      </c>
      <c r="F13" s="15"/>
      <c r="G13" s="15"/>
      <c r="H13" s="11" t="s">
        <v>95</v>
      </c>
      <c r="L13" s="93"/>
      <c r="M13" s="93"/>
      <c r="N13" s="93"/>
      <c r="O13" s="93"/>
      <c r="P13" s="93"/>
      <c r="Q13" s="93"/>
      <c r="R13" s="93"/>
      <c r="S13" s="93"/>
      <c r="T13" s="93"/>
    </row>
    <row r="14" spans="1:31">
      <c r="A14" s="2">
        <v>37142</v>
      </c>
      <c r="B14" t="s">
        <v>138</v>
      </c>
      <c r="C14" t="s">
        <v>139</v>
      </c>
      <c r="E14" s="14" t="s">
        <v>203</v>
      </c>
      <c r="F14" s="15"/>
      <c r="G14" s="15"/>
      <c r="H14" s="11"/>
      <c r="L14" s="93"/>
      <c r="M14" s="93"/>
      <c r="N14" s="93"/>
      <c r="O14" s="93"/>
      <c r="P14" s="93"/>
      <c r="Q14" s="93"/>
      <c r="R14" s="93"/>
      <c r="S14" s="93"/>
      <c r="T14" s="93"/>
    </row>
    <row r="15" spans="1:31">
      <c r="A15" s="2">
        <v>38008</v>
      </c>
      <c r="B15" t="s">
        <v>138</v>
      </c>
      <c r="C15" t="s">
        <v>140</v>
      </c>
      <c r="E15" s="14"/>
      <c r="F15" s="15"/>
      <c r="G15" s="15"/>
      <c r="H15" s="11"/>
      <c r="L15" s="93"/>
      <c r="M15" s="93"/>
      <c r="N15" s="93"/>
      <c r="O15" s="93"/>
      <c r="P15" s="93"/>
      <c r="Q15" s="93"/>
      <c r="R15" s="93"/>
      <c r="S15" s="93"/>
      <c r="T15" s="93"/>
    </row>
    <row r="16" spans="1:31">
      <c r="A16" s="2">
        <v>38035</v>
      </c>
      <c r="B16" t="s">
        <v>138</v>
      </c>
      <c r="C16" t="s">
        <v>141</v>
      </c>
      <c r="E16" s="14" t="s">
        <v>96</v>
      </c>
      <c r="F16" s="15"/>
      <c r="G16" s="15"/>
      <c r="H16" s="11"/>
    </row>
    <row r="17" spans="1:24">
      <c r="A17" s="2">
        <v>38401</v>
      </c>
      <c r="B17" t="s">
        <v>138</v>
      </c>
      <c r="C17" t="s">
        <v>152</v>
      </c>
      <c r="E17" s="14" t="s">
        <v>97</v>
      </c>
      <c r="F17" s="15"/>
      <c r="G17" s="15"/>
      <c r="H17" s="11"/>
    </row>
    <row r="18" spans="1:24" ht="13.5" thickBot="1">
      <c r="A18" s="171">
        <v>40038</v>
      </c>
      <c r="B18" s="172" t="s">
        <v>171</v>
      </c>
      <c r="C18" s="172" t="s">
        <v>172</v>
      </c>
      <c r="E18" s="16" t="s">
        <v>98</v>
      </c>
      <c r="F18" s="17"/>
      <c r="G18" s="17"/>
      <c r="H18" s="18"/>
      <c r="V18" t="s">
        <v>204</v>
      </c>
      <c r="W18" t="s">
        <v>205</v>
      </c>
      <c r="X18" t="s">
        <v>206</v>
      </c>
    </row>
    <row r="19" spans="1:24" ht="16.5" thickTop="1">
      <c r="A19" s="2">
        <v>41827</v>
      </c>
      <c r="B19" s="172" t="s">
        <v>171</v>
      </c>
      <c r="C19" s="172" t="s">
        <v>207</v>
      </c>
      <c r="N19" s="22" t="s">
        <v>90</v>
      </c>
      <c r="O19" s="173" t="s">
        <v>29</v>
      </c>
      <c r="P19" s="174" t="s">
        <v>5</v>
      </c>
      <c r="Q19" s="175" t="s">
        <v>6</v>
      </c>
      <c r="V19" t="s">
        <v>85</v>
      </c>
      <c r="W19" s="82">
        <f>(1/0.000000999985/1000000-1)*1000000</f>
        <v>15.000225003447554</v>
      </c>
      <c r="X19">
        <f>10000*0.0000000000000096/0.000001*1000</f>
        <v>9.6000000000000002E-2</v>
      </c>
    </row>
    <row r="20" spans="1:24">
      <c r="O20" s="187" t="s">
        <v>100</v>
      </c>
      <c r="P20" s="177">
        <f>Results!D32</f>
        <v>-2</v>
      </c>
      <c r="Q20" s="178">
        <f>Results!E32</f>
        <v>-15</v>
      </c>
    </row>
    <row r="21" spans="1:24">
      <c r="O21" s="187" t="s">
        <v>101</v>
      </c>
      <c r="P21" s="177">
        <f>Results!D11</f>
        <v>-1</v>
      </c>
      <c r="Q21" s="178">
        <f>Results!E11</f>
        <v>-10</v>
      </c>
      <c r="U21" s="172"/>
    </row>
    <row r="22" spans="1:24">
      <c r="O22" s="176"/>
      <c r="P22" s="177"/>
      <c r="Q22" s="178"/>
    </row>
    <row r="23" spans="1:24">
      <c r="O23" s="176"/>
      <c r="P23" s="177"/>
      <c r="Q23" s="178"/>
    </row>
    <row r="24" spans="1:24">
      <c r="F24" s="91" t="s">
        <v>29</v>
      </c>
      <c r="G24" s="19" t="s">
        <v>208</v>
      </c>
      <c r="H24" s="19" t="s">
        <v>209</v>
      </c>
      <c r="O24" s="176"/>
      <c r="P24" s="177"/>
      <c r="Q24" s="178"/>
    </row>
    <row r="25" spans="1:24">
      <c r="F25" s="91"/>
      <c r="G25" s="91" t="s">
        <v>73</v>
      </c>
      <c r="H25" s="91" t="s">
        <v>73</v>
      </c>
      <c r="O25" s="176"/>
      <c r="P25" s="177"/>
      <c r="Q25" s="178"/>
    </row>
    <row r="26" spans="1:24">
      <c r="F26" s="3" t="s">
        <v>99</v>
      </c>
      <c r="G26" s="179">
        <f>R_4A-G_2+C_1+correction_c</f>
        <v>200.70001888855643</v>
      </c>
      <c r="H26" s="179">
        <f>R_4A-G_2+G_1+correction_c</f>
        <v>70.548522194181359</v>
      </c>
      <c r="O26" s="176"/>
      <c r="P26" s="177"/>
      <c r="Q26" s="178"/>
    </row>
    <row r="27" spans="1:24">
      <c r="F27" s="3" t="s">
        <v>100</v>
      </c>
      <c r="G27" s="179">
        <f>R_4A-G_2+C_1+correction_c</f>
        <v>200.70001888855643</v>
      </c>
      <c r="H27" s="179">
        <f>R_4A-G_2+G_1+correction_c</f>
        <v>70.548522194181359</v>
      </c>
      <c r="O27" s="176"/>
      <c r="P27" s="177"/>
      <c r="Q27" s="178"/>
    </row>
    <row r="28" spans="1:24">
      <c r="F28" s="3" t="s">
        <v>101</v>
      </c>
      <c r="G28" s="179">
        <f>R_4A-G_2+C_1+correction_c</f>
        <v>200.70001888855643</v>
      </c>
      <c r="H28" s="179">
        <f>R_4A-G_2+G_1+correction_c</f>
        <v>70.548522194181359</v>
      </c>
      <c r="O28" s="176"/>
      <c r="P28" s="177"/>
      <c r="Q28" s="178"/>
    </row>
    <row r="29" spans="1:24">
      <c r="F29" s="3" t="s">
        <v>102</v>
      </c>
      <c r="G29" s="179">
        <f>R_4A-G_2+C_1+correction_c</f>
        <v>200.70001888855643</v>
      </c>
      <c r="H29" s="179">
        <f>R_4A-G_2+G_1+correction_c</f>
        <v>70.548522194181359</v>
      </c>
      <c r="O29" s="176"/>
      <c r="P29" s="177"/>
      <c r="Q29" s="178"/>
    </row>
    <row r="30" spans="1:24">
      <c r="F30" s="3" t="s">
        <v>103</v>
      </c>
      <c r="G30" s="179">
        <f>R_4A-G_2+C_1+correction_c</f>
        <v>200.70001888855643</v>
      </c>
      <c r="H30" s="179">
        <f>R_4A-G_2+G_1+correction_c</f>
        <v>70.548522194181359</v>
      </c>
      <c r="O30" s="176"/>
      <c r="P30" s="177"/>
      <c r="Q30" s="178"/>
    </row>
    <row r="31" spans="1:24">
      <c r="F31" s="3" t="s">
        <v>104</v>
      </c>
      <c r="G31" s="179">
        <f>R_4B-G_2+C_1+correction_c</f>
        <v>136.71922338859372</v>
      </c>
      <c r="H31" s="179">
        <f>R_4B-G_2+G_1+correction_c</f>
        <v>6.5677266942186439</v>
      </c>
      <c r="O31" s="176"/>
      <c r="P31" s="177"/>
      <c r="Q31" s="178"/>
    </row>
    <row r="32" spans="1:24">
      <c r="F32" s="3" t="s">
        <v>105</v>
      </c>
      <c r="G32" s="179">
        <f>R_4C-G_2+C_1+correction_c</f>
        <v>213.76721888860624</v>
      </c>
      <c r="H32" s="179">
        <f>R_4C-G_2+G_1+correction_c</f>
        <v>83.615722194231154</v>
      </c>
      <c r="O32" s="176"/>
      <c r="P32" s="177"/>
      <c r="Q32" s="178"/>
    </row>
    <row r="33" spans="6:24">
      <c r="F33" s="3" t="s">
        <v>106</v>
      </c>
      <c r="G33" s="179">
        <f>-R_4A-G_2+C_1-correction_c</f>
        <v>70.50786450007908</v>
      </c>
      <c r="H33" s="179">
        <f>-R_4A-G_2+G_1-correction_c</f>
        <v>-59.643632194295989</v>
      </c>
      <c r="O33" s="176"/>
      <c r="P33" s="177"/>
      <c r="Q33" s="178"/>
    </row>
    <row r="34" spans="6:24">
      <c r="F34" s="3" t="s">
        <v>107</v>
      </c>
      <c r="G34" s="179">
        <f>-R_4A-G_2+C_1-correction_c</f>
        <v>70.50786450007908</v>
      </c>
      <c r="H34" s="179">
        <f>-R_4A-G_2+G_1-correction_c</f>
        <v>-59.643632194295989</v>
      </c>
      <c r="O34" s="176"/>
      <c r="P34" s="177"/>
      <c r="Q34" s="178"/>
    </row>
    <row r="35" spans="6:24">
      <c r="F35" s="3" t="s">
        <v>33</v>
      </c>
      <c r="G35" s="179">
        <f>-R_4A-G_2+C_1-correction_c</f>
        <v>70.50786450007908</v>
      </c>
      <c r="H35" s="179">
        <f>-R_4A-G_2+G_1-correction_c</f>
        <v>-59.643632194295989</v>
      </c>
      <c r="O35" s="176"/>
      <c r="P35" s="177"/>
      <c r="Q35" s="178"/>
    </row>
    <row r="36" spans="6:24">
      <c r="F36" s="3" t="s">
        <v>108</v>
      </c>
      <c r="G36" s="179">
        <f>-R_4A-G_2+C_1-correction_c</f>
        <v>70.50786450007908</v>
      </c>
      <c r="H36" s="179">
        <f>-R_4A-G_2+G_1-correction_c</f>
        <v>-59.643632194295989</v>
      </c>
      <c r="O36" s="176"/>
      <c r="P36" s="177"/>
      <c r="Q36" s="178"/>
    </row>
    <row r="37" spans="6:24">
      <c r="F37" s="3" t="s">
        <v>57</v>
      </c>
      <c r="G37" s="179">
        <f>-R_4A-G_2+C_1-correction_c</f>
        <v>70.50786450007908</v>
      </c>
      <c r="H37" s="179">
        <f>-R_4A-G_2+G_1-correction_c</f>
        <v>-59.643632194295989</v>
      </c>
      <c r="O37" s="176"/>
      <c r="P37" s="177"/>
      <c r="Q37" s="178"/>
    </row>
    <row r="38" spans="6:24">
      <c r="F38" s="3" t="s">
        <v>30</v>
      </c>
      <c r="G38" s="179">
        <f>-R_4B-G_2+C_1-correction_c</f>
        <v>134.48866000004179</v>
      </c>
      <c r="H38" s="179">
        <f>-R_4B-G_2+G_1-correction_c</f>
        <v>4.337163305666726</v>
      </c>
      <c r="O38" s="176"/>
      <c r="P38" s="177"/>
      <c r="Q38" s="178"/>
    </row>
    <row r="39" spans="6:24">
      <c r="F39" s="3" t="s">
        <v>60</v>
      </c>
      <c r="G39" s="179">
        <f>-R_4C-G_2+C_1-correction_c</f>
        <v>57.4406645000293</v>
      </c>
      <c r="H39" s="179">
        <f>-R_4C-G_2+G_1-correction_c</f>
        <v>-72.710832194345784</v>
      </c>
      <c r="O39" s="176"/>
      <c r="P39" s="177"/>
      <c r="Q39" s="178"/>
    </row>
    <row r="40" spans="6:24">
      <c r="F40" s="3"/>
      <c r="G40" s="179"/>
      <c r="H40" s="179"/>
      <c r="O40" s="180"/>
      <c r="P40" s="181"/>
      <c r="Q40" s="178"/>
      <c r="U40" t="s">
        <v>210</v>
      </c>
      <c r="W40" t="s">
        <v>211</v>
      </c>
    </row>
    <row r="41" spans="6:24">
      <c r="G41" s="3" t="s">
        <v>110</v>
      </c>
      <c r="H41" s="3" t="s">
        <v>111</v>
      </c>
      <c r="I41" t="s">
        <v>109</v>
      </c>
      <c r="J41" t="s">
        <v>112</v>
      </c>
      <c r="K41" s="3" t="s">
        <v>111</v>
      </c>
      <c r="L41" t="s">
        <v>109</v>
      </c>
      <c r="M41" t="s">
        <v>212</v>
      </c>
      <c r="N41" t="s">
        <v>213</v>
      </c>
      <c r="O41" s="180"/>
      <c r="P41" s="181"/>
      <c r="Q41" s="178"/>
      <c r="U41" s="3" t="s">
        <v>111</v>
      </c>
      <c r="V41" s="3" t="s">
        <v>111</v>
      </c>
      <c r="W41" t="s">
        <v>111</v>
      </c>
      <c r="X41" t="s">
        <v>111</v>
      </c>
    </row>
    <row r="42" spans="6:24" ht="16.5" thickBot="1">
      <c r="F42" s="3" t="s">
        <v>99</v>
      </c>
      <c r="G42" s="20">
        <v>1E-4</v>
      </c>
      <c r="H42" t="s">
        <v>214</v>
      </c>
      <c r="I42" s="20">
        <v>9.9999999999999995E-7</v>
      </c>
      <c r="J42" s="20">
        <v>1E-4</v>
      </c>
      <c r="K42" t="s">
        <v>215</v>
      </c>
      <c r="L42" s="20">
        <v>1E-3</v>
      </c>
      <c r="M42" s="20">
        <v>0.2</v>
      </c>
      <c r="N42" s="20">
        <v>2E-3</v>
      </c>
      <c r="O42" s="182"/>
      <c r="P42" s="183"/>
      <c r="Q42" s="184"/>
      <c r="U42" s="185" t="s">
        <v>216</v>
      </c>
      <c r="V42" s="21" t="s">
        <v>217</v>
      </c>
      <c r="W42" t="s">
        <v>214</v>
      </c>
      <c r="X42" t="s">
        <v>215</v>
      </c>
    </row>
    <row r="43" spans="6:24" ht="16.5" thickTop="1">
      <c r="F43" s="3" t="s">
        <v>100</v>
      </c>
      <c r="G43" s="20">
        <v>1E-3</v>
      </c>
      <c r="H43" t="s">
        <v>214</v>
      </c>
      <c r="I43" s="20">
        <v>9.9999999999999995E-7</v>
      </c>
      <c r="J43" s="20">
        <v>9.9999999999999995E-7</v>
      </c>
      <c r="K43" t="s">
        <v>113</v>
      </c>
      <c r="L43" s="20">
        <v>1</v>
      </c>
      <c r="M43" s="20">
        <v>2</v>
      </c>
      <c r="N43" s="20">
        <v>0.02</v>
      </c>
      <c r="U43" s="185" t="s">
        <v>216</v>
      </c>
      <c r="V43" s="185" t="s">
        <v>218</v>
      </c>
      <c r="W43" t="s">
        <v>214</v>
      </c>
      <c r="X43" t="s">
        <v>113</v>
      </c>
    </row>
    <row r="44" spans="6:24" ht="15.75">
      <c r="F44" s="3" t="s">
        <v>101</v>
      </c>
      <c r="G44" s="20">
        <v>1.0000000000000001E-5</v>
      </c>
      <c r="H44" t="s">
        <v>219</v>
      </c>
      <c r="I44" s="20">
        <v>1E-3</v>
      </c>
      <c r="J44" s="20">
        <v>1.0000000000000001E-5</v>
      </c>
      <c r="K44" t="s">
        <v>113</v>
      </c>
      <c r="L44" s="20">
        <v>1</v>
      </c>
      <c r="M44" s="20">
        <v>20</v>
      </c>
      <c r="N44" s="20">
        <v>0.2</v>
      </c>
      <c r="U44" s="21" t="s">
        <v>220</v>
      </c>
      <c r="V44" s="185" t="s">
        <v>218</v>
      </c>
      <c r="W44" t="s">
        <v>219</v>
      </c>
      <c r="X44" t="s">
        <v>113</v>
      </c>
    </row>
    <row r="45" spans="6:24" ht="15.75">
      <c r="F45" s="3" t="s">
        <v>102</v>
      </c>
      <c r="G45" s="20">
        <v>1E-4</v>
      </c>
      <c r="H45" t="s">
        <v>219</v>
      </c>
      <c r="I45" s="20">
        <v>1E-3</v>
      </c>
      <c r="J45" s="20">
        <v>1E-4</v>
      </c>
      <c r="K45" t="s">
        <v>113</v>
      </c>
      <c r="L45" s="20">
        <v>1</v>
      </c>
      <c r="M45" s="20">
        <v>200</v>
      </c>
      <c r="N45" s="186">
        <v>2</v>
      </c>
      <c r="U45" s="21" t="s">
        <v>220</v>
      </c>
      <c r="V45" s="21" t="s">
        <v>113</v>
      </c>
      <c r="W45" t="s">
        <v>219</v>
      </c>
      <c r="X45" t="s">
        <v>113</v>
      </c>
    </row>
    <row r="46" spans="6:24" ht="15.75">
      <c r="F46" s="3" t="s">
        <v>103</v>
      </c>
      <c r="G46" s="20">
        <v>1E-3</v>
      </c>
      <c r="H46" t="s">
        <v>219</v>
      </c>
      <c r="I46" s="20">
        <v>1E-3</v>
      </c>
      <c r="J46" s="20">
        <v>1E-3</v>
      </c>
      <c r="K46" t="s">
        <v>113</v>
      </c>
      <c r="L46" s="20">
        <v>1</v>
      </c>
      <c r="M46" s="20">
        <v>2000</v>
      </c>
      <c r="N46" s="186">
        <v>20</v>
      </c>
      <c r="U46" s="21" t="s">
        <v>220</v>
      </c>
      <c r="V46" s="21" t="s">
        <v>113</v>
      </c>
      <c r="W46" t="s">
        <v>219</v>
      </c>
      <c r="X46" t="s">
        <v>113</v>
      </c>
    </row>
    <row r="47" spans="6:24" ht="15.75">
      <c r="F47" s="3" t="s">
        <v>104</v>
      </c>
      <c r="G47" s="20">
        <v>1.0000000000000001E-5</v>
      </c>
      <c r="H47" t="s">
        <v>114</v>
      </c>
      <c r="I47" s="20">
        <v>1</v>
      </c>
      <c r="J47" s="20">
        <v>1.0000000000000001E-5</v>
      </c>
      <c r="K47" t="s">
        <v>221</v>
      </c>
      <c r="L47" s="20">
        <v>1000</v>
      </c>
      <c r="M47" s="20">
        <v>20000</v>
      </c>
      <c r="N47" s="186">
        <v>200</v>
      </c>
      <c r="U47" s="21" t="s">
        <v>114</v>
      </c>
      <c r="V47" s="21" t="s">
        <v>222</v>
      </c>
      <c r="W47" t="s">
        <v>114</v>
      </c>
      <c r="X47" t="s">
        <v>221</v>
      </c>
    </row>
    <row r="48" spans="6:24" ht="15.75">
      <c r="F48" s="3" t="s">
        <v>105</v>
      </c>
      <c r="G48" s="20">
        <v>1E-4</v>
      </c>
      <c r="H48" t="s">
        <v>114</v>
      </c>
      <c r="I48" s="20">
        <v>1</v>
      </c>
      <c r="J48" s="20">
        <v>1E-4</v>
      </c>
      <c r="K48" t="s">
        <v>221</v>
      </c>
      <c r="L48" s="20">
        <v>1000</v>
      </c>
      <c r="M48" s="20">
        <v>200000</v>
      </c>
      <c r="N48" s="186">
        <v>2000</v>
      </c>
      <c r="U48" s="21" t="s">
        <v>114</v>
      </c>
      <c r="V48" s="21" t="s">
        <v>222</v>
      </c>
      <c r="W48" t="s">
        <v>114</v>
      </c>
      <c r="X48" t="s">
        <v>221</v>
      </c>
    </row>
    <row r="49" spans="6:24" ht="15.75">
      <c r="F49" s="3" t="s">
        <v>106</v>
      </c>
      <c r="G49" s="20">
        <v>1E-4</v>
      </c>
      <c r="H49" t="s">
        <v>223</v>
      </c>
      <c r="I49" s="20">
        <v>9.9999999999999995E-7</v>
      </c>
      <c r="J49" s="20">
        <v>1E-4</v>
      </c>
      <c r="K49" t="s">
        <v>224</v>
      </c>
      <c r="L49" s="20">
        <v>1E-3</v>
      </c>
      <c r="U49" s="185" t="s">
        <v>225</v>
      </c>
      <c r="V49" s="21" t="s">
        <v>226</v>
      </c>
      <c r="W49" t="s">
        <v>223</v>
      </c>
      <c r="X49" t="s">
        <v>224</v>
      </c>
    </row>
    <row r="50" spans="6:24" ht="15.75">
      <c r="F50" s="3" t="s">
        <v>107</v>
      </c>
      <c r="G50" s="20">
        <v>1.0000000000000001E-5</v>
      </c>
      <c r="H50" t="s">
        <v>223</v>
      </c>
      <c r="I50" s="20">
        <v>9.9999999999999995E-7</v>
      </c>
      <c r="J50" s="20">
        <v>1.0000000000000001E-5</v>
      </c>
      <c r="K50" t="s">
        <v>224</v>
      </c>
      <c r="L50" s="20">
        <v>1E-3</v>
      </c>
      <c r="U50" s="185" t="s">
        <v>225</v>
      </c>
      <c r="V50" s="21" t="s">
        <v>226</v>
      </c>
      <c r="W50" t="s">
        <v>223</v>
      </c>
      <c r="X50" t="s">
        <v>224</v>
      </c>
    </row>
    <row r="51" spans="6:24" ht="15.75">
      <c r="F51" s="3" t="s">
        <v>33</v>
      </c>
      <c r="G51" s="20">
        <v>9.9999999999999995E-7</v>
      </c>
      <c r="H51" t="s">
        <v>223</v>
      </c>
      <c r="I51" s="20">
        <v>9.9999999999999995E-7</v>
      </c>
      <c r="J51" s="20">
        <v>9.9999999999999995E-7</v>
      </c>
      <c r="K51" t="s">
        <v>224</v>
      </c>
      <c r="L51" s="20">
        <v>1E-3</v>
      </c>
      <c r="U51" s="185" t="s">
        <v>225</v>
      </c>
      <c r="V51" s="21" t="s">
        <v>226</v>
      </c>
      <c r="W51" t="s">
        <v>223</v>
      </c>
      <c r="X51" t="s">
        <v>224</v>
      </c>
    </row>
    <row r="52" spans="6:24" ht="15.75">
      <c r="F52" s="3" t="s">
        <v>108</v>
      </c>
      <c r="G52" s="20">
        <v>1E-4</v>
      </c>
      <c r="H52" t="s">
        <v>115</v>
      </c>
      <c r="I52" s="20">
        <v>1.0000000000000001E-9</v>
      </c>
      <c r="J52" s="20">
        <v>1E-4</v>
      </c>
      <c r="K52" t="s">
        <v>227</v>
      </c>
      <c r="L52" s="20">
        <v>9.9999999999999995E-7</v>
      </c>
      <c r="U52" s="21" t="s">
        <v>115</v>
      </c>
      <c r="V52" s="185" t="s">
        <v>228</v>
      </c>
      <c r="W52" t="s">
        <v>115</v>
      </c>
      <c r="X52" t="s">
        <v>227</v>
      </c>
    </row>
    <row r="53" spans="6:24" ht="15.75">
      <c r="F53" s="3" t="s">
        <v>57</v>
      </c>
      <c r="G53" s="20">
        <v>1.0000000000000001E-5</v>
      </c>
      <c r="H53" t="s">
        <v>115</v>
      </c>
      <c r="I53" s="20">
        <v>1.0000000000000001E-9</v>
      </c>
      <c r="J53" s="20">
        <v>1.0000000000000001E-5</v>
      </c>
      <c r="K53" t="s">
        <v>227</v>
      </c>
      <c r="L53" s="20">
        <v>9.9999999999999995E-7</v>
      </c>
      <c r="U53" s="21" t="s">
        <v>115</v>
      </c>
      <c r="V53" s="185" t="s">
        <v>228</v>
      </c>
      <c r="W53" t="s">
        <v>115</v>
      </c>
      <c r="X53" t="s">
        <v>227</v>
      </c>
    </row>
    <row r="54" spans="6:24" ht="15.75">
      <c r="F54" s="3" t="s">
        <v>30</v>
      </c>
      <c r="G54" s="20">
        <v>1E-3</v>
      </c>
      <c r="H54" t="s">
        <v>116</v>
      </c>
      <c r="I54" s="20">
        <v>9.9999999999999998E-13</v>
      </c>
      <c r="J54" s="20">
        <v>1E-3</v>
      </c>
      <c r="K54" t="s">
        <v>1</v>
      </c>
      <c r="L54" s="20">
        <v>1.0000000000000001E-9</v>
      </c>
      <c r="U54" s="21" t="s">
        <v>116</v>
      </c>
      <c r="V54" s="21" t="s">
        <v>1</v>
      </c>
      <c r="W54" t="s">
        <v>116</v>
      </c>
      <c r="X54" t="s">
        <v>1</v>
      </c>
    </row>
    <row r="55" spans="6:24" ht="15.75">
      <c r="F55" s="3" t="s">
        <v>60</v>
      </c>
      <c r="G55" s="20">
        <v>1E-4</v>
      </c>
      <c r="H55" t="s">
        <v>116</v>
      </c>
      <c r="I55" s="20">
        <v>9.9999999999999998E-13</v>
      </c>
      <c r="J55" s="20">
        <v>1E-4</v>
      </c>
      <c r="K55" t="s">
        <v>1</v>
      </c>
      <c r="L55" s="20">
        <v>1.0000000000000001E-9</v>
      </c>
      <c r="U55" s="21" t="s">
        <v>116</v>
      </c>
      <c r="V55" s="21" t="s">
        <v>1</v>
      </c>
      <c r="W55" t="s">
        <v>116</v>
      </c>
      <c r="X55" t="s">
        <v>1</v>
      </c>
    </row>
    <row r="56" spans="6:24" ht="15.75">
      <c r="G56" s="20"/>
      <c r="H56" s="21"/>
      <c r="I56" s="20"/>
      <c r="J56" s="20"/>
      <c r="K56" s="185"/>
      <c r="L56" s="20"/>
    </row>
  </sheetData>
  <phoneticPr fontId="2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AX80"/>
  <sheetViews>
    <sheetView topLeftCell="Q1" workbookViewId="0">
      <selection activeCell="T5" sqref="T5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34.140625" customWidth="1"/>
    <col min="44" max="44" width="7.7109375" customWidth="1"/>
    <col min="45" max="45" width="41.85546875" customWidth="1"/>
    <col min="47" max="47" width="11.42578125" bestFit="1" customWidth="1"/>
    <col min="48" max="48" width="11.42578125" customWidth="1"/>
    <col min="49" max="49" width="9.5703125" customWidth="1"/>
  </cols>
  <sheetData>
    <row r="1" spans="1:50" ht="15.75">
      <c r="A1" s="23" t="s">
        <v>2</v>
      </c>
      <c r="F1" s="24" t="s">
        <v>3</v>
      </c>
      <c r="S1" t="s">
        <v>295</v>
      </c>
      <c r="AB1" s="12" t="s">
        <v>231</v>
      </c>
      <c r="AQ1" s="91" t="s">
        <v>173</v>
      </c>
      <c r="AR1" s="12"/>
      <c r="AS1" s="3"/>
      <c r="AU1" s="12"/>
      <c r="AV1" s="12"/>
    </row>
    <row r="2" spans="1:50">
      <c r="A2" s="25" t="s">
        <v>232</v>
      </c>
      <c r="F2" s="25" t="s">
        <v>4</v>
      </c>
      <c r="AB2" t="s">
        <v>233</v>
      </c>
      <c r="AP2" s="190"/>
      <c r="AQ2" s="3" t="s">
        <v>299</v>
      </c>
      <c r="AS2" s="3" t="s">
        <v>300</v>
      </c>
    </row>
    <row r="3" spans="1:50">
      <c r="A3" s="26" t="s">
        <v>234</v>
      </c>
      <c r="C3" s="27"/>
      <c r="F3" s="25" t="s">
        <v>5</v>
      </c>
      <c r="G3">
        <v>1.96</v>
      </c>
      <c r="L3" t="s">
        <v>117</v>
      </c>
      <c r="S3" s="3" t="s">
        <v>11</v>
      </c>
      <c r="T3" t="s">
        <v>235</v>
      </c>
      <c r="U3" t="s">
        <v>236</v>
      </c>
      <c r="V3" t="s">
        <v>237</v>
      </c>
      <c r="W3" t="s">
        <v>238</v>
      </c>
      <c r="AB3" s="3" t="s">
        <v>11</v>
      </c>
      <c r="AC3" s="3" t="s">
        <v>239</v>
      </c>
      <c r="AD3" s="3" t="s">
        <v>12</v>
      </c>
      <c r="AE3" s="3" t="s">
        <v>240</v>
      </c>
      <c r="AF3" s="3" t="s">
        <v>12</v>
      </c>
      <c r="AG3" s="3"/>
      <c r="AH3" s="3" t="s">
        <v>29</v>
      </c>
      <c r="AI3" s="3" t="s">
        <v>241</v>
      </c>
      <c r="AJ3" s="3" t="s">
        <v>242</v>
      </c>
      <c r="AK3" s="3" t="s">
        <v>243</v>
      </c>
      <c r="AL3" s="3" t="s">
        <v>244</v>
      </c>
      <c r="AM3" s="3" t="s">
        <v>242</v>
      </c>
      <c r="AN3" s="3" t="s">
        <v>245</v>
      </c>
      <c r="AO3" s="3" t="s">
        <v>246</v>
      </c>
      <c r="AP3" s="191"/>
      <c r="AQ3" s="3" t="s">
        <v>298</v>
      </c>
      <c r="AR3" s="3" t="s">
        <v>247</v>
      </c>
      <c r="AS3" s="3" t="s">
        <v>298</v>
      </c>
      <c r="AT3" s="3" t="s">
        <v>247</v>
      </c>
    </row>
    <row r="4" spans="1:50">
      <c r="F4" s="25" t="s">
        <v>6</v>
      </c>
      <c r="G4">
        <v>2.3719999999999999</v>
      </c>
      <c r="L4" t="s">
        <v>118</v>
      </c>
      <c r="S4" s="192"/>
      <c r="T4" t="s">
        <v>292</v>
      </c>
      <c r="AB4" s="192"/>
      <c r="AC4" s="193">
        <f>F80</f>
        <v>7.0354848512116632E-5</v>
      </c>
      <c r="AD4" s="194">
        <f>F78</f>
        <v>2.0689921097547925</v>
      </c>
      <c r="AE4" s="193">
        <f>F66</f>
        <v>2.46394474029266E-2</v>
      </c>
      <c r="AF4" s="194">
        <f>F64</f>
        <v>2.1611893636399615</v>
      </c>
      <c r="AG4" s="195"/>
      <c r="AQ4" s="3" t="s">
        <v>214</v>
      </c>
      <c r="AS4" s="3" t="s">
        <v>113</v>
      </c>
    </row>
    <row r="5" spans="1:50">
      <c r="A5" s="25" t="s">
        <v>7</v>
      </c>
      <c r="B5" s="30"/>
      <c r="F5" s="25" t="s">
        <v>8</v>
      </c>
      <c r="G5">
        <v>1.2737000000000001</v>
      </c>
      <c r="S5" s="192" t="s">
        <v>34</v>
      </c>
      <c r="T5" s="1">
        <v>4.0000000000000001E-3</v>
      </c>
      <c r="U5" s="1">
        <f>0.05*T5</f>
        <v>2.0000000000000001E-4</v>
      </c>
      <c r="V5" s="1">
        <v>2.0000000000000002E-5</v>
      </c>
      <c r="W5" s="1">
        <f>0.05*V5</f>
        <v>1.0000000000000002E-6</v>
      </c>
      <c r="AB5" s="192" t="s">
        <v>34</v>
      </c>
      <c r="AC5" s="193">
        <f t="dataTable" ref="AC5:AF24" dt2D="0" dtr="0" r1="B9"/>
        <v>7.0354848512116632E-5</v>
      </c>
      <c r="AD5" s="194">
        <v>2.0689921097547925</v>
      </c>
      <c r="AE5" s="193">
        <v>2.46394474029266E-2</v>
      </c>
      <c r="AF5" s="194">
        <v>2.1611893636399615</v>
      </c>
      <c r="AG5" s="196"/>
      <c r="AH5" t="str">
        <f t="shared" ref="AH5:AH36" si="0">VLOOKUP(AB5, Results,2,FALSE)</f>
        <v>3Z</v>
      </c>
      <c r="AI5">
        <f>VLOOKUP(AB5,Results,5,FALSE)</f>
        <v>0.99419949581877542</v>
      </c>
      <c r="AJ5" s="197">
        <f t="shared" ref="AJ5:AJ36" si="1">VLOOKUP(AH5,multiplier,4,FALSE)</f>
        <v>1E-3</v>
      </c>
      <c r="AK5" s="197">
        <f t="shared" ref="AK5:AK36" si="2">VLOOKUP(AH5,multiplier,8,FALSE)</f>
        <v>20</v>
      </c>
      <c r="AL5">
        <f>VLOOKUP(AB5,Results,7,FALSE)</f>
        <v>5.6914914979891744</v>
      </c>
      <c r="AM5" s="197">
        <f t="shared" ref="AM5:AM36" si="3">VLOOKUP(AH5,multiplier,7,FALSE)</f>
        <v>1</v>
      </c>
      <c r="AN5" s="197">
        <f t="shared" ref="AN5:AN36" si="4">VLOOKUP(AH5,multiplier,9,FALSE)</f>
        <v>0.2</v>
      </c>
      <c r="AO5">
        <f t="shared" ref="AO5:AO36" si="5">VLOOKUP(AB5,Results,9,FALSE)*1000</f>
        <v>1592.22</v>
      </c>
      <c r="AQ5" s="270">
        <f>SQRT((0.000014*AI5*AJ5*1000000)^2+(0.001*AL5*AM5)^2+(AK5/AO5)^2)</f>
        <v>1.9593533602815787E-2</v>
      </c>
      <c r="AR5" s="77">
        <f>AQ5*0.000001/(AC5*AJ5)</f>
        <v>0.27849585376395702</v>
      </c>
      <c r="AS5" s="270">
        <f>SQRT((0.000014*AL5)^2+(0.0000001*AI5*AJ5*1000000)^2+(AN5/AO5)^2)</f>
        <v>1.7891740505015198E-4</v>
      </c>
      <c r="AT5" s="243">
        <f>AS5/AE5</f>
        <v>7.2614211724935322E-3</v>
      </c>
      <c r="AU5" s="198"/>
      <c r="AV5" s="77"/>
      <c r="AW5" s="198"/>
      <c r="AX5" s="81"/>
    </row>
    <row r="6" spans="1:50">
      <c r="A6" s="25" t="s">
        <v>9</v>
      </c>
      <c r="B6" s="30"/>
      <c r="F6" s="25" t="s">
        <v>10</v>
      </c>
      <c r="G6">
        <v>7.0961999999999996</v>
      </c>
      <c r="S6" s="192" t="s">
        <v>35</v>
      </c>
      <c r="T6" s="1">
        <v>4.0000000000000001E-3</v>
      </c>
      <c r="U6" s="1">
        <f t="shared" ref="U6:U24" si="6">0.05*T6</f>
        <v>2.0000000000000001E-4</v>
      </c>
      <c r="V6" s="1">
        <v>2.0000000000000002E-5</v>
      </c>
      <c r="W6" s="1">
        <f t="shared" ref="W6:W24" si="7">0.05*V6</f>
        <v>1.0000000000000002E-6</v>
      </c>
      <c r="AB6" s="192" t="s">
        <v>35</v>
      </c>
      <c r="AC6" s="193">
        <v>1.2681450620557366E-4</v>
      </c>
      <c r="AD6" s="194">
        <v>2.0918646476835807</v>
      </c>
      <c r="AE6" s="193">
        <v>3.6289917965254666E-2</v>
      </c>
      <c r="AF6" s="194">
        <v>2.1611657316693687</v>
      </c>
      <c r="AG6" s="196"/>
      <c r="AH6" t="str">
        <f t="shared" si="0"/>
        <v>3Z</v>
      </c>
      <c r="AI6">
        <f t="shared" ref="AI6:AI59" si="8">VLOOKUP(AB6,Results,5,FALSE)</f>
        <v>1.9807774623034067</v>
      </c>
      <c r="AJ6" s="197">
        <f t="shared" si="1"/>
        <v>1E-3</v>
      </c>
      <c r="AK6" s="197">
        <f t="shared" si="2"/>
        <v>20</v>
      </c>
      <c r="AL6">
        <f t="shared" ref="AL6:AL59" si="9">VLOOKUP(AB6,Results,7,FALSE)</f>
        <v>8.3824613285417247</v>
      </c>
      <c r="AM6" s="197">
        <f t="shared" si="3"/>
        <v>1</v>
      </c>
      <c r="AN6" s="197">
        <f t="shared" si="4"/>
        <v>0.2</v>
      </c>
      <c r="AO6">
        <f t="shared" si="5"/>
        <v>1592.31</v>
      </c>
      <c r="AQ6" s="270">
        <f t="shared" ref="AQ6:AQ24" si="10">SQRT((0.000014*AI6*AJ6*1000000)^2+(0.001*AL6*AM6)^2+(AK6/AO6)^2)</f>
        <v>3.1575789184367355E-2</v>
      </c>
      <c r="AR6" s="77">
        <f t="shared" ref="AR6:AR24" si="11">AQ6*0.000001/(AC6*AJ6)</f>
        <v>0.24899193419703244</v>
      </c>
      <c r="AS6" s="270">
        <f t="shared" ref="AS6:AS24" si="12">SQRT((0.000014*AL6)^2+(0.0000001*AI6*AJ6*1000000)^2+(AN6/AO6)^2)</f>
        <v>2.6226541444248648E-4</v>
      </c>
      <c r="AT6" s="243">
        <f t="shared" ref="AT6:AT24" si="13">AS6/AE6</f>
        <v>7.2269497741380756E-3</v>
      </c>
      <c r="AU6" s="198"/>
      <c r="AV6" s="77"/>
      <c r="AW6" s="198"/>
      <c r="AX6" s="81"/>
    </row>
    <row r="7" spans="1:50">
      <c r="A7" s="25" t="s">
        <v>13</v>
      </c>
      <c r="B7" s="30"/>
      <c r="O7" s="3"/>
      <c r="P7" s="3"/>
      <c r="Q7" s="3"/>
      <c r="R7" s="3"/>
      <c r="S7" s="192" t="s">
        <v>36</v>
      </c>
      <c r="T7" s="1">
        <v>4.0000000000000001E-3</v>
      </c>
      <c r="U7" s="1">
        <f t="shared" si="6"/>
        <v>2.0000000000000001E-4</v>
      </c>
      <c r="V7" s="1">
        <v>2.0000000000000002E-5</v>
      </c>
      <c r="W7" s="1">
        <f t="shared" si="7"/>
        <v>1.0000000000000002E-6</v>
      </c>
      <c r="Z7" s="3"/>
      <c r="AA7" s="3"/>
      <c r="AB7" s="192" t="s">
        <v>36</v>
      </c>
      <c r="AC7" s="193">
        <v>1.8621611490830548E-4</v>
      </c>
      <c r="AD7" s="194">
        <v>2.1049841430547538</v>
      </c>
      <c r="AE7" s="193">
        <v>4.615965030486828E-2</v>
      </c>
      <c r="AF7" s="194">
        <v>2.1611208380101714</v>
      </c>
      <c r="AG7" s="196"/>
      <c r="AH7" t="str">
        <f t="shared" si="0"/>
        <v>3Z</v>
      </c>
      <c r="AI7">
        <f t="shared" si="8"/>
        <v>2.9697059004330826</v>
      </c>
      <c r="AJ7" s="197">
        <f t="shared" si="1"/>
        <v>1E-3</v>
      </c>
      <c r="AK7" s="197">
        <f t="shared" si="2"/>
        <v>20</v>
      </c>
      <c r="AL7">
        <f t="shared" si="9"/>
        <v>10.661872126260937</v>
      </c>
      <c r="AM7" s="197">
        <f t="shared" si="3"/>
        <v>1</v>
      </c>
      <c r="AN7" s="197">
        <f t="shared" si="4"/>
        <v>0.2</v>
      </c>
      <c r="AO7">
        <f t="shared" si="5"/>
        <v>1592.41</v>
      </c>
      <c r="AQ7" s="270">
        <f t="shared" si="10"/>
        <v>4.4721052861703602E-2</v>
      </c>
      <c r="AR7" s="77">
        <f t="shared" si="11"/>
        <v>0.24015672802391275</v>
      </c>
      <c r="AS7" s="270">
        <f t="shared" si="12"/>
        <v>3.5531146401996658E-4</v>
      </c>
      <c r="AT7" s="243">
        <f t="shared" si="13"/>
        <v>7.6974470489542084E-3</v>
      </c>
      <c r="AU7" s="198"/>
      <c r="AV7" s="77"/>
      <c r="AW7" s="198"/>
      <c r="AX7" s="81"/>
    </row>
    <row r="8" spans="1:50">
      <c r="A8" s="25" t="s">
        <v>14</v>
      </c>
      <c r="B8" s="30"/>
      <c r="O8" s="3"/>
      <c r="P8" s="31"/>
      <c r="Q8" s="32"/>
      <c r="R8" s="33"/>
      <c r="S8" s="192" t="s">
        <v>37</v>
      </c>
      <c r="T8" s="1">
        <v>4.0000000000000001E-3</v>
      </c>
      <c r="U8" s="1">
        <f t="shared" si="6"/>
        <v>2.0000000000000001E-4</v>
      </c>
      <c r="V8" s="1">
        <v>2.0000000000000002E-5</v>
      </c>
      <c r="W8" s="1">
        <f t="shared" si="7"/>
        <v>1.0000000000000002E-6</v>
      </c>
      <c r="Z8" s="33"/>
      <c r="AA8" s="32"/>
      <c r="AB8" s="192" t="s">
        <v>37</v>
      </c>
      <c r="AC8" s="193">
        <v>2.4566311735745949E-4</v>
      </c>
      <c r="AD8" s="194">
        <v>2.1113631382487044</v>
      </c>
      <c r="AE8" s="193">
        <v>5.4755824587075855E-2</v>
      </c>
      <c r="AF8" s="194">
        <v>2.1610729144666547</v>
      </c>
      <c r="AG8" s="196"/>
      <c r="AH8" t="str">
        <f t="shared" si="0"/>
        <v>3Z</v>
      </c>
      <c r="AI8">
        <f t="shared" si="8"/>
        <v>3.9494224901155843</v>
      </c>
      <c r="AJ8" s="197">
        <f t="shared" si="1"/>
        <v>1E-3</v>
      </c>
      <c r="AK8" s="197">
        <f t="shared" si="2"/>
        <v>20</v>
      </c>
      <c r="AL8">
        <f t="shared" si="9"/>
        <v>12.646962161550064</v>
      </c>
      <c r="AM8" s="197">
        <f t="shared" si="3"/>
        <v>1</v>
      </c>
      <c r="AN8" s="197">
        <f t="shared" si="4"/>
        <v>0.2</v>
      </c>
      <c r="AO8">
        <f t="shared" si="5"/>
        <v>1592.51</v>
      </c>
      <c r="AQ8" s="270">
        <f t="shared" si="10"/>
        <v>5.809358594830745E-2</v>
      </c>
      <c r="AR8" s="77">
        <f t="shared" si="11"/>
        <v>0.23647662935000791</v>
      </c>
      <c r="AS8" s="270">
        <f t="shared" si="12"/>
        <v>4.5066733913731553E-4</v>
      </c>
      <c r="AT8" s="243">
        <f t="shared" si="13"/>
        <v>8.2304913228114836E-3</v>
      </c>
      <c r="AU8" s="198"/>
      <c r="AV8" s="77"/>
      <c r="AW8" s="198"/>
      <c r="AX8" s="81"/>
    </row>
    <row r="9" spans="1:50">
      <c r="A9" s="199" t="s">
        <v>248</v>
      </c>
      <c r="B9" s="200" t="s">
        <v>34</v>
      </c>
      <c r="O9" s="3"/>
      <c r="P9" s="28"/>
      <c r="Q9" s="29"/>
      <c r="R9" s="28"/>
      <c r="S9" s="192" t="s">
        <v>38</v>
      </c>
      <c r="T9" s="1">
        <v>4.0000000000000001E-3</v>
      </c>
      <c r="U9" s="1">
        <f t="shared" si="6"/>
        <v>2.0000000000000001E-4</v>
      </c>
      <c r="V9" s="1">
        <v>2.0000000000000002E-5</v>
      </c>
      <c r="W9" s="1">
        <f t="shared" si="7"/>
        <v>1.0000000000000002E-6</v>
      </c>
      <c r="Z9" s="28"/>
      <c r="AA9" s="29"/>
      <c r="AB9" s="192" t="s">
        <v>38</v>
      </c>
      <c r="AC9" s="193">
        <v>3.055672173476707E-4</v>
      </c>
      <c r="AD9" s="194">
        <v>2.1150498162178559</v>
      </c>
      <c r="AE9" s="193">
        <v>6.2412783356981166E-2</v>
      </c>
      <c r="AF9" s="194">
        <v>2.1610228592569287</v>
      </c>
      <c r="AG9" s="196"/>
      <c r="AH9" t="str">
        <f t="shared" si="0"/>
        <v>3Z</v>
      </c>
      <c r="AI9">
        <f t="shared" si="8"/>
        <v>4.9333499247451664</v>
      </c>
      <c r="AJ9" s="197">
        <f t="shared" si="1"/>
        <v>1E-3</v>
      </c>
      <c r="AK9" s="197">
        <f t="shared" si="2"/>
        <v>20</v>
      </c>
      <c r="AL9">
        <f t="shared" si="9"/>
        <v>14.414976883576967</v>
      </c>
      <c r="AM9" s="197">
        <f t="shared" si="3"/>
        <v>1</v>
      </c>
      <c r="AN9" s="197">
        <f t="shared" si="4"/>
        <v>0.2</v>
      </c>
      <c r="AO9">
        <f t="shared" si="5"/>
        <v>1592.6</v>
      </c>
      <c r="AQ9" s="270">
        <f t="shared" si="10"/>
        <v>7.1664032053589899E-2</v>
      </c>
      <c r="AR9" s="77">
        <f t="shared" si="11"/>
        <v>0.23452788121590745</v>
      </c>
      <c r="AS9" s="270">
        <f t="shared" si="12"/>
        <v>5.4761035456896492E-4</v>
      </c>
      <c r="AT9" s="243">
        <f t="shared" si="13"/>
        <v>8.7740095075845084E-3</v>
      </c>
      <c r="AU9" s="198"/>
      <c r="AV9" s="77"/>
      <c r="AW9" s="198"/>
      <c r="AX9" s="81"/>
    </row>
    <row r="10" spans="1:50" ht="15.75">
      <c r="A10" s="34" t="s">
        <v>249</v>
      </c>
      <c r="B10" s="35"/>
      <c r="C10" s="36"/>
      <c r="D10" s="37"/>
      <c r="F10" s="25" t="s">
        <v>15</v>
      </c>
      <c r="O10" s="3"/>
      <c r="P10" s="28"/>
      <c r="Q10" s="29"/>
      <c r="R10" s="28"/>
      <c r="S10" s="192" t="s">
        <v>39</v>
      </c>
      <c r="T10" s="1">
        <v>4.0000000000000001E-3</v>
      </c>
      <c r="U10" s="1">
        <f t="shared" si="6"/>
        <v>2.0000000000000001E-4</v>
      </c>
      <c r="V10" s="1">
        <v>2.0000000000000002E-5</v>
      </c>
      <c r="W10" s="1">
        <f t="shared" si="7"/>
        <v>1.0000000000000002E-6</v>
      </c>
      <c r="Z10" s="28"/>
      <c r="AA10" s="29"/>
      <c r="AB10" s="192" t="s">
        <v>39</v>
      </c>
      <c r="AC10" s="193">
        <v>3.6551399421712316E-4</v>
      </c>
      <c r="AD10" s="194">
        <v>2.1173333526086289</v>
      </c>
      <c r="AE10" s="193">
        <v>6.971273800587853E-2</v>
      </c>
      <c r="AF10" s="194">
        <v>2.1609762229494116</v>
      </c>
      <c r="AG10" s="196"/>
      <c r="AH10" t="str">
        <f t="shared" si="0"/>
        <v>3Z</v>
      </c>
      <c r="AI10">
        <f t="shared" si="8"/>
        <v>5.9159670964577229</v>
      </c>
      <c r="AJ10" s="197">
        <f t="shared" si="1"/>
        <v>1E-3</v>
      </c>
      <c r="AK10" s="197">
        <f t="shared" si="2"/>
        <v>20</v>
      </c>
      <c r="AL10">
        <f t="shared" si="9"/>
        <v>16.100455783234331</v>
      </c>
      <c r="AM10" s="197">
        <f t="shared" si="3"/>
        <v>1</v>
      </c>
      <c r="AN10" s="197">
        <f t="shared" si="4"/>
        <v>0.2</v>
      </c>
      <c r="AO10">
        <f t="shared" si="5"/>
        <v>1592.68</v>
      </c>
      <c r="AQ10" s="270">
        <f t="shared" si="10"/>
        <v>8.5303299501716862E-2</v>
      </c>
      <c r="AR10" s="77">
        <f t="shared" si="11"/>
        <v>0.23337902474684696</v>
      </c>
      <c r="AS10" s="270">
        <f t="shared" si="12"/>
        <v>6.4541743030064019E-4</v>
      </c>
      <c r="AT10" s="243">
        <f t="shared" si="13"/>
        <v>9.2582424498405917E-3</v>
      </c>
      <c r="AU10" s="198"/>
      <c r="AV10" s="77"/>
      <c r="AW10" s="198"/>
      <c r="AX10" s="81"/>
    </row>
    <row r="11" spans="1:50">
      <c r="A11" s="38"/>
      <c r="B11" s="39" t="s">
        <v>16</v>
      </c>
      <c r="C11" s="201" t="s">
        <v>250</v>
      </c>
      <c r="D11" s="202">
        <f>VLOOKUP(label,Results,3,FALSE)</f>
        <v>99399</v>
      </c>
      <c r="E11" s="203" t="s">
        <v>251</v>
      </c>
      <c r="F11" s="38"/>
      <c r="O11" s="3"/>
      <c r="P11" s="28"/>
      <c r="Q11" s="29"/>
      <c r="R11" s="28"/>
      <c r="S11" s="192" t="s">
        <v>40</v>
      </c>
      <c r="T11" s="1">
        <v>4.0000000000000001E-3</v>
      </c>
      <c r="U11" s="1">
        <f t="shared" si="6"/>
        <v>2.0000000000000001E-4</v>
      </c>
      <c r="V11" s="1">
        <v>2.0000000000000002E-5</v>
      </c>
      <c r="W11" s="1">
        <f t="shared" si="7"/>
        <v>1.0000000000000002E-6</v>
      </c>
      <c r="Z11" s="28"/>
      <c r="AA11" s="29"/>
      <c r="AB11" s="192" t="s">
        <v>40</v>
      </c>
      <c r="AC11" s="193">
        <v>4.2518958312958826E-4</v>
      </c>
      <c r="AD11" s="194">
        <v>2.1188414032160767</v>
      </c>
      <c r="AE11" s="193">
        <v>7.6827316914593505E-2</v>
      </c>
      <c r="AF11" s="194">
        <v>2.1609343001944921</v>
      </c>
      <c r="AG11" s="196"/>
      <c r="AH11" t="str">
        <f t="shared" si="0"/>
        <v>3Z</v>
      </c>
      <c r="AI11">
        <f t="shared" si="8"/>
        <v>6.8928931261871718</v>
      </c>
      <c r="AJ11" s="197">
        <f t="shared" si="1"/>
        <v>1E-3</v>
      </c>
      <c r="AK11" s="197">
        <f t="shared" si="2"/>
        <v>20</v>
      </c>
      <c r="AL11">
        <f t="shared" si="9"/>
        <v>17.743071659182036</v>
      </c>
      <c r="AM11" s="197">
        <f t="shared" si="3"/>
        <v>1</v>
      </c>
      <c r="AN11" s="197">
        <f t="shared" si="4"/>
        <v>0.2</v>
      </c>
      <c r="AO11">
        <f t="shared" si="5"/>
        <v>1592.75</v>
      </c>
      <c r="AQ11" s="270">
        <f t="shared" si="10"/>
        <v>9.8918347730335907E-2</v>
      </c>
      <c r="AR11" s="77">
        <f t="shared" si="11"/>
        <v>0.2326452755550876</v>
      </c>
      <c r="AS11" s="270">
        <f t="shared" si="12"/>
        <v>7.4336490256257876E-4</v>
      </c>
      <c r="AT11" s="243">
        <f t="shared" si="13"/>
        <v>9.6757889305044194E-3</v>
      </c>
      <c r="AU11" s="198"/>
      <c r="AV11" s="77"/>
      <c r="AW11" s="198"/>
      <c r="AX11" s="81"/>
    </row>
    <row r="12" spans="1:50">
      <c r="A12" s="40" t="s">
        <v>17</v>
      </c>
      <c r="B12" s="39" t="s">
        <v>18</v>
      </c>
      <c r="E12" s="41" t="s">
        <v>19</v>
      </c>
      <c r="S12" s="192" t="s">
        <v>41</v>
      </c>
      <c r="T12" s="1">
        <v>4.0000000000000001E-3</v>
      </c>
      <c r="U12" s="1">
        <f t="shared" si="6"/>
        <v>2.0000000000000001E-4</v>
      </c>
      <c r="V12" s="1">
        <v>2.0000000000000002E-5</v>
      </c>
      <c r="W12" s="1">
        <f t="shared" si="7"/>
        <v>1.0000000000000002E-6</v>
      </c>
      <c r="AB12" s="204" t="s">
        <v>41</v>
      </c>
      <c r="AC12" s="193">
        <v>4.846071532884238E-4</v>
      </c>
      <c r="AD12" s="194">
        <v>2.1199614108329095</v>
      </c>
      <c r="AE12" s="193">
        <v>8.3387610319554065E-2</v>
      </c>
      <c r="AF12" s="194">
        <v>2.1608918728915971</v>
      </c>
      <c r="AG12" s="196"/>
      <c r="AH12" t="str">
        <f t="shared" si="0"/>
        <v>3Z</v>
      </c>
      <c r="AI12">
        <f t="shared" si="8"/>
        <v>7.8653282547735364</v>
      </c>
      <c r="AJ12" s="197">
        <f t="shared" si="1"/>
        <v>1E-3</v>
      </c>
      <c r="AK12" s="197">
        <f t="shared" si="2"/>
        <v>20</v>
      </c>
      <c r="AL12">
        <f t="shared" si="9"/>
        <v>19.257578497864046</v>
      </c>
      <c r="AM12" s="197">
        <f t="shared" si="3"/>
        <v>1</v>
      </c>
      <c r="AN12" s="197">
        <f t="shared" si="4"/>
        <v>0.2</v>
      </c>
      <c r="AO12">
        <f t="shared" si="5"/>
        <v>1592.8500000000001</v>
      </c>
      <c r="AQ12" s="270">
        <f t="shared" si="10"/>
        <v>0.11248881894535209</v>
      </c>
      <c r="AR12" s="77">
        <f t="shared" si="11"/>
        <v>0.23212372781134344</v>
      </c>
      <c r="AS12" s="270">
        <f t="shared" si="12"/>
        <v>8.4088460818503561E-4</v>
      </c>
      <c r="AT12" s="243">
        <f t="shared" si="13"/>
        <v>1.0084047317852583E-2</v>
      </c>
      <c r="AU12" s="198"/>
      <c r="AV12" s="81"/>
      <c r="AW12" s="198"/>
      <c r="AX12" s="81"/>
    </row>
    <row r="13" spans="1:50" ht="15.75">
      <c r="A13" s="42"/>
      <c r="B13" s="39" t="s">
        <v>252</v>
      </c>
      <c r="C13" s="40" t="s">
        <v>20</v>
      </c>
      <c r="D13" s="40" t="s">
        <v>21</v>
      </c>
      <c r="E13" s="40" t="s">
        <v>22</v>
      </c>
      <c r="F13" s="40" t="s">
        <v>23</v>
      </c>
      <c r="K13" s="205" t="s">
        <v>155</v>
      </c>
      <c r="S13" s="192" t="s">
        <v>42</v>
      </c>
      <c r="T13" s="1">
        <v>4.0000000000000001E-3</v>
      </c>
      <c r="U13" s="1">
        <f t="shared" si="6"/>
        <v>2.0000000000000001E-4</v>
      </c>
      <c r="V13" s="1">
        <v>2.0000000000000002E-5</v>
      </c>
      <c r="W13" s="1">
        <f t="shared" si="7"/>
        <v>1.0000000000000002E-6</v>
      </c>
      <c r="AB13" s="204" t="s">
        <v>42</v>
      </c>
      <c r="AC13" s="193">
        <v>5.4384988417887443E-4</v>
      </c>
      <c r="AD13" s="194">
        <v>2.1208049087090437</v>
      </c>
      <c r="AE13" s="193">
        <v>8.9692541470112908E-2</v>
      </c>
      <c r="AF13" s="194">
        <v>2.1608513129982896</v>
      </c>
      <c r="AG13" s="196"/>
      <c r="AH13" t="str">
        <f t="shared" si="0"/>
        <v>3Z</v>
      </c>
      <c r="AI13">
        <f t="shared" si="8"/>
        <v>8.8345327350988399</v>
      </c>
      <c r="AJ13" s="197">
        <f t="shared" si="1"/>
        <v>1E-3</v>
      </c>
      <c r="AK13" s="197">
        <f t="shared" si="2"/>
        <v>20</v>
      </c>
      <c r="AL13">
        <f t="shared" si="9"/>
        <v>20.713051172066791</v>
      </c>
      <c r="AM13" s="197">
        <f t="shared" si="3"/>
        <v>1</v>
      </c>
      <c r="AN13" s="197">
        <f t="shared" si="4"/>
        <v>0.2</v>
      </c>
      <c r="AO13">
        <f t="shared" si="5"/>
        <v>1592.9199999999998</v>
      </c>
      <c r="AQ13" s="270">
        <f t="shared" si="10"/>
        <v>0.12603281473150113</v>
      </c>
      <c r="AR13" s="77">
        <f t="shared" si="11"/>
        <v>0.23174191702144123</v>
      </c>
      <c r="AS13" s="270">
        <f t="shared" si="12"/>
        <v>9.3826641569887354E-4</v>
      </c>
      <c r="AT13" s="243">
        <f t="shared" si="13"/>
        <v>1.0460919049902494E-2</v>
      </c>
      <c r="AU13" s="198"/>
      <c r="AV13" s="81"/>
      <c r="AW13" s="198"/>
      <c r="AX13" s="81"/>
    </row>
    <row r="14" spans="1:50">
      <c r="A14" s="43" t="s">
        <v>119</v>
      </c>
      <c r="B14" s="206">
        <f>2.5*0.000001*D11</f>
        <v>0.24849749999999998</v>
      </c>
      <c r="C14" s="207">
        <f t="shared" ref="C14:C22" si="14">B14^2</f>
        <v>6.175100750624999E-2</v>
      </c>
      <c r="D14" s="45">
        <v>30</v>
      </c>
      <c r="E14" s="47">
        <f t="shared" ref="E14:E22" si="15">0.5*(1/(0.01*D14)^2)</f>
        <v>5.5555555555555554</v>
      </c>
      <c r="F14" s="44">
        <f t="shared" ref="F14:F22" si="16">B14^4/E14</f>
        <v>6.8637364704664965E-4</v>
      </c>
      <c r="G14" t="s">
        <v>120</v>
      </c>
      <c r="K14" s="208"/>
      <c r="S14" s="192" t="s">
        <v>43</v>
      </c>
      <c r="T14" s="1">
        <v>4.0000000000000001E-3</v>
      </c>
      <c r="U14" s="1">
        <f t="shared" si="6"/>
        <v>2.0000000000000001E-4</v>
      </c>
      <c r="V14" s="1">
        <v>2.0000000000000002E-5</v>
      </c>
      <c r="W14" s="1">
        <f t="shared" si="7"/>
        <v>1.0000000000000002E-6</v>
      </c>
      <c r="AB14" s="204" t="s">
        <v>43</v>
      </c>
      <c r="AC14" s="193">
        <v>6.0320871691341062E-4</v>
      </c>
      <c r="AD14" s="194">
        <v>2.1214333328849317</v>
      </c>
      <c r="AE14" s="193">
        <v>9.6090494144193281E-2</v>
      </c>
      <c r="AF14" s="194">
        <v>2.1608154693760713</v>
      </c>
      <c r="AG14" s="196"/>
      <c r="AH14" t="str">
        <f t="shared" si="0"/>
        <v>3Z</v>
      </c>
      <c r="AI14">
        <f t="shared" si="8"/>
        <v>9.8050674823551685</v>
      </c>
      <c r="AJ14" s="197">
        <f t="shared" si="1"/>
        <v>1E-3</v>
      </c>
      <c r="AK14" s="197">
        <f t="shared" si="2"/>
        <v>20</v>
      </c>
      <c r="AL14">
        <f t="shared" si="9"/>
        <v>22.189995360946309</v>
      </c>
      <c r="AM14" s="197">
        <f t="shared" si="3"/>
        <v>1</v>
      </c>
      <c r="AN14" s="197">
        <f t="shared" si="4"/>
        <v>0.2</v>
      </c>
      <c r="AO14">
        <f t="shared" si="5"/>
        <v>1591.2900000000002</v>
      </c>
      <c r="AQ14" s="270">
        <f t="shared" si="10"/>
        <v>0.13961974549474035</v>
      </c>
      <c r="AR14" s="77">
        <f t="shared" si="11"/>
        <v>0.23146175043551712</v>
      </c>
      <c r="AS14" s="270">
        <f t="shared" si="12"/>
        <v>1.0361947669405795E-3</v>
      </c>
      <c r="AT14" s="243">
        <f t="shared" si="13"/>
        <v>1.0783530422745739E-2</v>
      </c>
      <c r="AU14" s="198"/>
      <c r="AV14" s="81"/>
      <c r="AW14" s="198"/>
      <c r="AX14" s="81"/>
    </row>
    <row r="15" spans="1:50">
      <c r="A15" s="43" t="s">
        <v>121</v>
      </c>
      <c r="B15" s="209">
        <v>1</v>
      </c>
      <c r="C15" s="207">
        <f t="shared" si="14"/>
        <v>1</v>
      </c>
      <c r="D15" s="45">
        <v>30</v>
      </c>
      <c r="E15" s="47">
        <f t="shared" si="15"/>
        <v>5.5555555555555554</v>
      </c>
      <c r="F15" s="44">
        <f t="shared" si="16"/>
        <v>0.18</v>
      </c>
      <c r="G15" t="s">
        <v>165</v>
      </c>
      <c r="K15" s="208"/>
      <c r="S15" s="192" t="s">
        <v>45</v>
      </c>
      <c r="T15" s="1">
        <v>4.0000000000000001E-3</v>
      </c>
      <c r="U15" s="1">
        <f t="shared" si="6"/>
        <v>2.0000000000000001E-4</v>
      </c>
      <c r="V15" s="1">
        <v>2.0000000000000002E-5</v>
      </c>
      <c r="W15" s="1">
        <f t="shared" si="7"/>
        <v>1.0000000000000002E-6</v>
      </c>
      <c r="AB15" s="204" t="s">
        <v>45</v>
      </c>
      <c r="AC15" s="193">
        <v>7.6874384070307325E-3</v>
      </c>
      <c r="AD15" s="194">
        <v>2.0420207170905909</v>
      </c>
      <c r="AE15" s="193">
        <v>5.0478153500966997E-3</v>
      </c>
      <c r="AF15" s="194">
        <v>2.1613191407926382</v>
      </c>
      <c r="AG15" s="196"/>
      <c r="AH15" t="str">
        <f t="shared" si="0"/>
        <v>2Z</v>
      </c>
      <c r="AI15">
        <f t="shared" si="8"/>
        <v>99.1588971991726</v>
      </c>
      <c r="AJ15" s="197">
        <f t="shared" si="1"/>
        <v>9.9999999999999995E-7</v>
      </c>
      <c r="AK15" s="197">
        <f t="shared" si="2"/>
        <v>2</v>
      </c>
      <c r="AL15">
        <f t="shared" si="9"/>
        <v>1.1660992607762031</v>
      </c>
      <c r="AM15" s="197">
        <f t="shared" si="3"/>
        <v>1</v>
      </c>
      <c r="AN15" s="197">
        <f t="shared" si="4"/>
        <v>0.02</v>
      </c>
      <c r="AO15">
        <f t="shared" si="5"/>
        <v>1591.73</v>
      </c>
      <c r="AQ15" s="270">
        <f t="shared" si="10"/>
        <v>2.2058407378392768E-3</v>
      </c>
      <c r="AR15" s="77">
        <f t="shared" si="11"/>
        <v>0.28694093156204953</v>
      </c>
      <c r="AS15" s="270">
        <f t="shared" si="12"/>
        <v>2.286309385331355E-5</v>
      </c>
      <c r="AT15" s="243">
        <f t="shared" si="13"/>
        <v>4.529304712557595E-3</v>
      </c>
      <c r="AU15" s="198"/>
      <c r="AV15" s="81"/>
      <c r="AW15" s="198"/>
      <c r="AX15" s="81"/>
    </row>
    <row r="16" spans="1:50">
      <c r="A16" s="43" t="s">
        <v>122</v>
      </c>
      <c r="B16" s="206">
        <f>17*0.000001*D11</f>
        <v>1.689783</v>
      </c>
      <c r="C16" s="207">
        <f t="shared" si="14"/>
        <v>2.8553665870890002</v>
      </c>
      <c r="D16" s="45">
        <v>30</v>
      </c>
      <c r="E16" s="47">
        <f t="shared" si="15"/>
        <v>5.5555555555555554</v>
      </c>
      <c r="F16" s="44">
        <f t="shared" si="16"/>
        <v>1.4675613023995713</v>
      </c>
      <c r="G16" t="s">
        <v>253</v>
      </c>
      <c r="K16" s="210" t="s">
        <v>254</v>
      </c>
      <c r="S16" s="192" t="s">
        <v>46</v>
      </c>
      <c r="T16" s="1">
        <v>4.0000000000000001E-3</v>
      </c>
      <c r="U16" s="1">
        <f t="shared" si="6"/>
        <v>2.0000000000000001E-4</v>
      </c>
      <c r="V16" s="1">
        <v>2.0000000000000002E-5</v>
      </c>
      <c r="W16" s="1">
        <f t="shared" si="7"/>
        <v>1.0000000000000002E-6</v>
      </c>
      <c r="AB16" s="204" t="s">
        <v>46</v>
      </c>
      <c r="AC16" s="193">
        <v>1.3528901744862648E-2</v>
      </c>
      <c r="AD16" s="194">
        <v>2.0629860540240221</v>
      </c>
      <c r="AE16" s="193">
        <v>7.5275999506981316E-3</v>
      </c>
      <c r="AF16" s="194">
        <v>2.1613141908454638</v>
      </c>
      <c r="AG16" s="196"/>
      <c r="AH16" t="str">
        <f t="shared" si="0"/>
        <v>2Z</v>
      </c>
      <c r="AI16">
        <f t="shared" si="8"/>
        <v>199.03293789885871</v>
      </c>
      <c r="AJ16" s="197">
        <f t="shared" si="1"/>
        <v>9.9999999999999995E-7</v>
      </c>
      <c r="AK16" s="197">
        <f t="shared" si="2"/>
        <v>2</v>
      </c>
      <c r="AL16">
        <f t="shared" si="9"/>
        <v>1.7389426711813616</v>
      </c>
      <c r="AM16" s="197">
        <f t="shared" si="3"/>
        <v>1</v>
      </c>
      <c r="AN16" s="197">
        <f t="shared" si="4"/>
        <v>0.02</v>
      </c>
      <c r="AO16">
        <f t="shared" si="5"/>
        <v>1591.79</v>
      </c>
      <c r="AQ16" s="270">
        <f t="shared" si="10"/>
        <v>3.5166669834669271E-3</v>
      </c>
      <c r="AR16" s="77">
        <f t="shared" si="11"/>
        <v>0.25993735853705324</v>
      </c>
      <c r="AS16" s="270">
        <f t="shared" si="12"/>
        <v>3.3862895366942618E-5</v>
      </c>
      <c r="AT16" s="243">
        <f t="shared" si="13"/>
        <v>4.498498271524389E-3</v>
      </c>
      <c r="AU16" s="198"/>
      <c r="AV16" s="81"/>
      <c r="AW16" s="198"/>
      <c r="AX16" s="81"/>
    </row>
    <row r="17" spans="1:50">
      <c r="A17" s="48" t="s">
        <v>123</v>
      </c>
      <c r="B17" s="211">
        <f>2*0.000001*D11</f>
        <v>0.198798</v>
      </c>
      <c r="C17" s="207">
        <f t="shared" si="14"/>
        <v>3.9520644803999999E-2</v>
      </c>
      <c r="D17" s="45">
        <v>50</v>
      </c>
      <c r="E17" s="47">
        <f t="shared" si="15"/>
        <v>2</v>
      </c>
      <c r="F17" s="44">
        <f t="shared" si="16"/>
        <v>7.8094068286196602E-4</v>
      </c>
      <c r="G17" t="s">
        <v>124</v>
      </c>
      <c r="K17" s="208"/>
      <c r="S17" s="192" t="s">
        <v>47</v>
      </c>
      <c r="T17" s="1">
        <v>4.0000000000000001E-3</v>
      </c>
      <c r="U17" s="1">
        <f t="shared" si="6"/>
        <v>2.0000000000000001E-4</v>
      </c>
      <c r="V17" s="1">
        <v>2.0000000000000002E-5</v>
      </c>
      <c r="W17" s="1">
        <f t="shared" si="7"/>
        <v>1.0000000000000002E-6</v>
      </c>
      <c r="AB17" s="204" t="s">
        <v>47</v>
      </c>
      <c r="AC17" s="193">
        <v>1.9544763910559069E-2</v>
      </c>
      <c r="AD17" s="194">
        <v>2.0780439283142895</v>
      </c>
      <c r="AE17" s="193">
        <v>9.5498358431930427E-3</v>
      </c>
      <c r="AF17" s="194">
        <v>2.1613033508920978</v>
      </c>
      <c r="AG17" s="196"/>
      <c r="AH17" t="str">
        <f t="shared" si="0"/>
        <v>2Z</v>
      </c>
      <c r="AI17">
        <f t="shared" si="8"/>
        <v>298.30085697433333</v>
      </c>
      <c r="AJ17" s="197">
        <f t="shared" si="1"/>
        <v>9.9999999999999995E-7</v>
      </c>
      <c r="AK17" s="197">
        <f t="shared" si="2"/>
        <v>2</v>
      </c>
      <c r="AL17">
        <f t="shared" si="9"/>
        <v>2.2060766244666268</v>
      </c>
      <c r="AM17" s="197">
        <f t="shared" si="3"/>
        <v>1</v>
      </c>
      <c r="AN17" s="197">
        <f t="shared" si="4"/>
        <v>0.02</v>
      </c>
      <c r="AO17">
        <f t="shared" si="5"/>
        <v>1591.84</v>
      </c>
      <c r="AQ17" s="270">
        <f t="shared" si="10"/>
        <v>4.8873388442502649E-3</v>
      </c>
      <c r="AR17" s="77">
        <f t="shared" si="11"/>
        <v>0.25005873013435981</v>
      </c>
      <c r="AS17" s="270">
        <f t="shared" si="12"/>
        <v>4.4738995928092956E-5</v>
      </c>
      <c r="AT17" s="243">
        <f t="shared" si="13"/>
        <v>4.684792143310205E-3</v>
      </c>
      <c r="AU17" s="198"/>
      <c r="AV17" s="81"/>
      <c r="AW17" s="198"/>
      <c r="AX17" s="81"/>
    </row>
    <row r="18" spans="1:50">
      <c r="A18" s="48" t="s">
        <v>125</v>
      </c>
      <c r="B18" s="211">
        <f>2*0.5*0.000001*D11</f>
        <v>9.9399000000000001E-2</v>
      </c>
      <c r="C18" s="207">
        <f t="shared" si="14"/>
        <v>9.8801612009999998E-3</v>
      </c>
      <c r="D18" s="45">
        <v>30</v>
      </c>
      <c r="E18" s="47">
        <f t="shared" si="15"/>
        <v>5.5555555555555554</v>
      </c>
      <c r="F18" s="44">
        <f t="shared" si="16"/>
        <v>1.7571165364394238E-5</v>
      </c>
      <c r="G18" t="s">
        <v>166</v>
      </c>
      <c r="K18" s="208"/>
      <c r="S18" s="192" t="s">
        <v>48</v>
      </c>
      <c r="T18" s="1">
        <v>4.0000000000000001E-3</v>
      </c>
      <c r="U18" s="1">
        <f t="shared" si="6"/>
        <v>2.0000000000000001E-4</v>
      </c>
      <c r="V18" s="1">
        <v>2.0000000000000002E-5</v>
      </c>
      <c r="W18" s="1">
        <f t="shared" si="7"/>
        <v>1.0000000000000002E-6</v>
      </c>
      <c r="AB18" s="204" t="s">
        <v>48</v>
      </c>
      <c r="AC18" s="193">
        <v>2.5713881679430957E-2</v>
      </c>
      <c r="AD18" s="194">
        <v>2.0836040751871603</v>
      </c>
      <c r="AE18" s="193">
        <v>1.2082784529023076E-2</v>
      </c>
      <c r="AF18" s="194">
        <v>2.1613002358664013</v>
      </c>
      <c r="AG18" s="196"/>
      <c r="AH18" t="str">
        <f t="shared" si="0"/>
        <v>2Z</v>
      </c>
      <c r="AI18">
        <f t="shared" si="8"/>
        <v>396.58657896238947</v>
      </c>
      <c r="AJ18" s="197">
        <f t="shared" si="1"/>
        <v>9.9999999999999995E-7</v>
      </c>
      <c r="AK18" s="197">
        <f t="shared" si="2"/>
        <v>2</v>
      </c>
      <c r="AL18">
        <f t="shared" si="9"/>
        <v>2.7911949007843466</v>
      </c>
      <c r="AM18" s="197">
        <f t="shared" si="3"/>
        <v>1</v>
      </c>
      <c r="AN18" s="197">
        <f t="shared" si="4"/>
        <v>0.02</v>
      </c>
      <c r="AO18">
        <f t="shared" si="5"/>
        <v>1591.9099999999999</v>
      </c>
      <c r="AQ18" s="270">
        <f t="shared" si="10"/>
        <v>6.3400512357301309E-3</v>
      </c>
      <c r="AR18" s="77">
        <f t="shared" si="11"/>
        <v>0.24656142214427562</v>
      </c>
      <c r="AS18" s="270">
        <f t="shared" si="12"/>
        <v>5.7075756748399152E-5</v>
      </c>
      <c r="AT18" s="243">
        <f t="shared" si="13"/>
        <v>4.7237254468373664E-3</v>
      </c>
      <c r="AU18" s="198"/>
      <c r="AV18" s="81"/>
      <c r="AW18" s="198"/>
      <c r="AX18" s="81"/>
    </row>
    <row r="19" spans="1:50">
      <c r="A19" s="48" t="s">
        <v>126</v>
      </c>
      <c r="B19" s="211">
        <f>5*0.000001*D11</f>
        <v>0.49699499999999996</v>
      </c>
      <c r="C19" s="207">
        <f t="shared" si="14"/>
        <v>0.24700403002499996</v>
      </c>
      <c r="D19" s="45">
        <v>50</v>
      </c>
      <c r="E19" s="47">
        <f t="shared" si="15"/>
        <v>2</v>
      </c>
      <c r="F19" s="44">
        <f t="shared" si="16"/>
        <v>3.050549542429554E-2</v>
      </c>
      <c r="G19" t="s">
        <v>255</v>
      </c>
      <c r="K19" s="210" t="s">
        <v>256</v>
      </c>
      <c r="S19" s="192" t="s">
        <v>49</v>
      </c>
      <c r="T19" s="1">
        <v>4.0000000000000001E-3</v>
      </c>
      <c r="U19" s="1">
        <f t="shared" si="6"/>
        <v>2.0000000000000001E-4</v>
      </c>
      <c r="V19" s="1">
        <v>2.0000000000000002E-5</v>
      </c>
      <c r="W19" s="1">
        <f t="shared" si="7"/>
        <v>1.0000000000000002E-6</v>
      </c>
      <c r="AB19" s="192" t="s">
        <v>49</v>
      </c>
      <c r="AC19" s="193">
        <v>3.1708300887431665E-2</v>
      </c>
      <c r="AD19" s="194">
        <v>2.0899605092736571</v>
      </c>
      <c r="AE19" s="193">
        <v>1.3741586407319855E-2</v>
      </c>
      <c r="AF19" s="194">
        <v>2.1612897621674629</v>
      </c>
      <c r="AG19" s="195"/>
      <c r="AH19" t="str">
        <f t="shared" si="0"/>
        <v>2Z</v>
      </c>
      <c r="AI19">
        <f t="shared" si="8"/>
        <v>494.54123451873937</v>
      </c>
      <c r="AJ19" s="197">
        <f t="shared" si="1"/>
        <v>9.9999999999999995E-7</v>
      </c>
      <c r="AK19" s="197">
        <f t="shared" si="2"/>
        <v>2</v>
      </c>
      <c r="AL19">
        <f t="shared" si="9"/>
        <v>3.1743629308156889</v>
      </c>
      <c r="AM19" s="197">
        <f t="shared" si="3"/>
        <v>1</v>
      </c>
      <c r="AN19" s="197">
        <f t="shared" si="4"/>
        <v>0.02</v>
      </c>
      <c r="AO19">
        <f t="shared" si="5"/>
        <v>1591.99</v>
      </c>
      <c r="AQ19" s="270">
        <f t="shared" si="10"/>
        <v>7.7195055032602553E-3</v>
      </c>
      <c r="AR19" s="77">
        <f t="shared" si="11"/>
        <v>0.24345377352969624</v>
      </c>
      <c r="AS19" s="270">
        <f t="shared" si="12"/>
        <v>6.7664956142279495E-5</v>
      </c>
      <c r="AT19" s="243">
        <f t="shared" si="13"/>
        <v>4.9241007651224166E-3</v>
      </c>
      <c r="AU19" s="198"/>
      <c r="AV19" s="81"/>
      <c r="AW19" s="198"/>
      <c r="AX19" s="81"/>
    </row>
    <row r="20" spans="1:50">
      <c r="A20" s="48" t="s">
        <v>257</v>
      </c>
      <c r="B20" s="211">
        <f>16*D34/10000000</f>
        <v>0.91055839999999999</v>
      </c>
      <c r="C20" s="207">
        <f t="shared" si="14"/>
        <v>0.82911659981055996</v>
      </c>
      <c r="D20" s="45" t="s">
        <v>130</v>
      </c>
      <c r="E20" s="46">
        <v>13</v>
      </c>
      <c r="F20" s="44">
        <f t="shared" si="16"/>
        <v>5.2879564313955713E-2</v>
      </c>
      <c r="G20" t="s">
        <v>258</v>
      </c>
      <c r="K20" s="210" t="s">
        <v>259</v>
      </c>
      <c r="S20" s="192" t="s">
        <v>50</v>
      </c>
      <c r="T20" s="1">
        <v>4.0000000000000001E-3</v>
      </c>
      <c r="U20" s="1">
        <f t="shared" si="6"/>
        <v>2.0000000000000001E-4</v>
      </c>
      <c r="V20" s="1">
        <v>2.0000000000000002E-5</v>
      </c>
      <c r="W20" s="1">
        <f t="shared" si="7"/>
        <v>1.0000000000000002E-6</v>
      </c>
      <c r="AB20" s="192" t="s">
        <v>50</v>
      </c>
      <c r="AC20" s="193">
        <v>3.7780852055259488E-2</v>
      </c>
      <c r="AD20" s="194">
        <v>2.0945414662113491</v>
      </c>
      <c r="AE20" s="193">
        <v>1.5313650577604837E-2</v>
      </c>
      <c r="AF20" s="194">
        <v>2.16127956060885</v>
      </c>
      <c r="AG20" s="195"/>
      <c r="AH20" t="str">
        <f t="shared" si="0"/>
        <v>2Z</v>
      </c>
      <c r="AI20">
        <f t="shared" si="8"/>
        <v>593.59611084510993</v>
      </c>
      <c r="AJ20" s="197">
        <f t="shared" si="1"/>
        <v>9.9999999999999995E-7</v>
      </c>
      <c r="AK20" s="197">
        <f t="shared" si="2"/>
        <v>2</v>
      </c>
      <c r="AL20">
        <f t="shared" si="9"/>
        <v>3.5374895470546459</v>
      </c>
      <c r="AM20" s="197">
        <f t="shared" si="3"/>
        <v>1</v>
      </c>
      <c r="AN20" s="197">
        <f t="shared" si="4"/>
        <v>0.02</v>
      </c>
      <c r="AO20">
        <f t="shared" si="5"/>
        <v>1591.6399999999999</v>
      </c>
      <c r="AQ20" s="270">
        <f t="shared" si="10"/>
        <v>9.1189161900108711E-3</v>
      </c>
      <c r="AR20" s="77">
        <f t="shared" si="11"/>
        <v>0.24136343396049542</v>
      </c>
      <c r="AS20" s="270">
        <f t="shared" si="12"/>
        <v>7.8320943925836483E-5</v>
      </c>
      <c r="AT20" s="243">
        <f t="shared" si="13"/>
        <v>5.1144528555702772E-3</v>
      </c>
      <c r="AU20" s="198"/>
      <c r="AV20" s="81"/>
      <c r="AW20" s="198"/>
      <c r="AX20" s="81"/>
    </row>
    <row r="21" spans="1:50">
      <c r="A21" s="48" t="s">
        <v>127</v>
      </c>
      <c r="B21" s="212">
        <f>2000/(VLOOKUP(label,Results,9,FALSE)*1000)</f>
        <v>1.2561078242956376</v>
      </c>
      <c r="C21" s="207">
        <f t="shared" si="14"/>
        <v>1.5778068662567204</v>
      </c>
      <c r="D21" s="49">
        <v>50</v>
      </c>
      <c r="E21" s="47">
        <f t="shared" si="15"/>
        <v>2</v>
      </c>
      <c r="F21" s="44">
        <f t="shared" si="16"/>
        <v>1.2447372536034262</v>
      </c>
      <c r="G21" t="s">
        <v>128</v>
      </c>
      <c r="K21" s="213" t="s">
        <v>260</v>
      </c>
      <c r="S21" s="192" t="s">
        <v>51</v>
      </c>
      <c r="T21" s="1">
        <v>4.0000000000000001E-3</v>
      </c>
      <c r="U21" s="1">
        <f t="shared" si="6"/>
        <v>2.0000000000000001E-4</v>
      </c>
      <c r="V21" s="1">
        <v>2.0000000000000002E-5</v>
      </c>
      <c r="W21" s="1">
        <f t="shared" si="7"/>
        <v>1.0000000000000002E-6</v>
      </c>
      <c r="AB21" s="192" t="s">
        <v>51</v>
      </c>
      <c r="AC21" s="193">
        <v>4.3793554025836338E-2</v>
      </c>
      <c r="AD21" s="194">
        <v>2.0977926557420261</v>
      </c>
      <c r="AE21" s="193">
        <v>1.6840153817817761E-2</v>
      </c>
      <c r="AF21" s="194">
        <v>2.161270454723319</v>
      </c>
      <c r="AG21" s="195"/>
      <c r="AH21" t="str">
        <f t="shared" si="0"/>
        <v>2Z</v>
      </c>
      <c r="AI21">
        <f t="shared" si="8"/>
        <v>691.43474312025762</v>
      </c>
      <c r="AJ21" s="197">
        <f t="shared" si="1"/>
        <v>9.9999999999999995E-7</v>
      </c>
      <c r="AK21" s="197">
        <f t="shared" si="2"/>
        <v>2</v>
      </c>
      <c r="AL21">
        <f t="shared" si="9"/>
        <v>3.8900894206998582</v>
      </c>
      <c r="AM21" s="197">
        <f t="shared" si="3"/>
        <v>1</v>
      </c>
      <c r="AN21" s="197">
        <f t="shared" si="4"/>
        <v>0.02</v>
      </c>
      <c r="AO21">
        <f t="shared" si="5"/>
        <v>1592.2099999999998</v>
      </c>
      <c r="AQ21" s="270">
        <f t="shared" si="10"/>
        <v>1.0507839700396086E-2</v>
      </c>
      <c r="AR21" s="77">
        <f t="shared" si="11"/>
        <v>0.23994032761526748</v>
      </c>
      <c r="AS21" s="270">
        <f t="shared" si="12"/>
        <v>8.8907989887758047E-5</v>
      </c>
      <c r="AT21" s="243">
        <f t="shared" si="13"/>
        <v>5.2795236225033028E-3</v>
      </c>
      <c r="AU21" s="198"/>
      <c r="AV21" s="81"/>
      <c r="AW21" s="198"/>
      <c r="AX21" s="81"/>
    </row>
    <row r="22" spans="1:50">
      <c r="A22" s="48"/>
      <c r="B22" s="47">
        <v>0</v>
      </c>
      <c r="C22" s="207">
        <f t="shared" si="14"/>
        <v>0</v>
      </c>
      <c r="D22" s="45">
        <v>1</v>
      </c>
      <c r="E22" s="46">
        <f t="shared" si="15"/>
        <v>5000</v>
      </c>
      <c r="F22" s="44">
        <f t="shared" si="16"/>
        <v>0</v>
      </c>
      <c r="S22" s="192" t="s">
        <v>52</v>
      </c>
      <c r="T22" s="1">
        <v>4.0000000000000001E-3</v>
      </c>
      <c r="U22" s="1">
        <f t="shared" si="6"/>
        <v>2.0000000000000001E-4</v>
      </c>
      <c r="V22" s="1">
        <v>2.0000000000000002E-5</v>
      </c>
      <c r="W22" s="1">
        <f t="shared" si="7"/>
        <v>1.0000000000000002E-6</v>
      </c>
      <c r="AB22" s="192" t="s">
        <v>52</v>
      </c>
      <c r="AC22" s="193">
        <v>4.9780146226325726E-2</v>
      </c>
      <c r="AD22" s="194">
        <v>2.1006904869237588</v>
      </c>
      <c r="AE22" s="193">
        <v>1.8149510860698846E-2</v>
      </c>
      <c r="AF22" s="194">
        <v>2.1612600885625648</v>
      </c>
      <c r="AG22" s="195"/>
      <c r="AH22" t="str">
        <f t="shared" si="0"/>
        <v>2Z</v>
      </c>
      <c r="AI22">
        <f t="shared" si="8"/>
        <v>789.22936656460445</v>
      </c>
      <c r="AJ22" s="197">
        <f t="shared" si="1"/>
        <v>9.9999999999999995E-7</v>
      </c>
      <c r="AK22" s="197">
        <f t="shared" si="2"/>
        <v>2</v>
      </c>
      <c r="AL22">
        <f t="shared" si="9"/>
        <v>4.1925207552784549</v>
      </c>
      <c r="AM22" s="197">
        <f t="shared" si="3"/>
        <v>1</v>
      </c>
      <c r="AN22" s="197">
        <f t="shared" si="4"/>
        <v>0.02</v>
      </c>
      <c r="AO22">
        <f t="shared" si="5"/>
        <v>1592.28</v>
      </c>
      <c r="AQ22" s="270">
        <f t="shared" si="10"/>
        <v>1.1884442977274411E-2</v>
      </c>
      <c r="AR22" s="77">
        <f t="shared" si="11"/>
        <v>0.23873861123753479</v>
      </c>
      <c r="AS22" s="270">
        <f t="shared" si="12"/>
        <v>9.9155110115205482E-5</v>
      </c>
      <c r="AT22" s="243">
        <f t="shared" si="13"/>
        <v>5.4632386997225954E-3</v>
      </c>
      <c r="AU22" s="198"/>
      <c r="AV22" s="81"/>
      <c r="AW22" s="198"/>
      <c r="AX22" s="81"/>
    </row>
    <row r="23" spans="1:50" ht="13.5" thickBot="1">
      <c r="B23" s="50" t="s">
        <v>24</v>
      </c>
      <c r="C23" s="207">
        <f>SUM(C14:C22)</f>
        <v>6.620445896692531</v>
      </c>
      <c r="E23" s="23" t="s">
        <v>25</v>
      </c>
      <c r="F23" s="207">
        <f>SUM(F14:F22)</f>
        <v>2.9771685012365219</v>
      </c>
      <c r="S23" s="192" t="s">
        <v>53</v>
      </c>
      <c r="T23" s="1">
        <v>4.0000000000000001E-3</v>
      </c>
      <c r="U23" s="1">
        <f t="shared" si="6"/>
        <v>2.0000000000000001E-4</v>
      </c>
      <c r="V23" s="1">
        <v>2.0000000000000002E-5</v>
      </c>
      <c r="W23" s="1">
        <f t="shared" si="7"/>
        <v>1.0000000000000002E-6</v>
      </c>
      <c r="AB23" s="192" t="s">
        <v>53</v>
      </c>
      <c r="AC23" s="193">
        <v>5.581598467918935E-2</v>
      </c>
      <c r="AD23" s="194">
        <v>2.1027967369018765</v>
      </c>
      <c r="AE23" s="193">
        <v>1.9521988990701358E-2</v>
      </c>
      <c r="AF23" s="194">
        <v>2.1612512007577558</v>
      </c>
      <c r="AG23" s="195"/>
      <c r="AH23" t="str">
        <f t="shared" si="0"/>
        <v>2Z</v>
      </c>
      <c r="AI23">
        <f t="shared" si="8"/>
        <v>887.49408433796009</v>
      </c>
      <c r="AJ23" s="197">
        <f t="shared" si="1"/>
        <v>9.9999999999999995E-7</v>
      </c>
      <c r="AK23" s="197">
        <f t="shared" si="2"/>
        <v>2</v>
      </c>
      <c r="AL23">
        <f t="shared" si="9"/>
        <v>4.5095331184545051</v>
      </c>
      <c r="AM23" s="197">
        <f t="shared" si="3"/>
        <v>1</v>
      </c>
      <c r="AN23" s="197">
        <f t="shared" si="4"/>
        <v>0.02</v>
      </c>
      <c r="AO23">
        <f t="shared" si="5"/>
        <v>1592.3400000000001</v>
      </c>
      <c r="AQ23" s="270">
        <f t="shared" si="10"/>
        <v>1.3277500704580954E-2</v>
      </c>
      <c r="AR23" s="77">
        <f t="shared" si="11"/>
        <v>0.23787989732502901</v>
      </c>
      <c r="AS23" s="270">
        <f t="shared" si="12"/>
        <v>1.0963598240275874E-4</v>
      </c>
      <c r="AT23" s="243">
        <f t="shared" si="13"/>
        <v>5.6160252141818209E-3</v>
      </c>
      <c r="AU23" s="198"/>
      <c r="AV23" s="81"/>
      <c r="AW23" s="198"/>
      <c r="AX23" s="81"/>
    </row>
    <row r="24" spans="1:50">
      <c r="B24" s="50" t="s">
        <v>261</v>
      </c>
      <c r="C24" s="214">
        <f>SQRT(C23)</f>
        <v>2.5730227159301435</v>
      </c>
      <c r="E24" s="51" t="s">
        <v>26</v>
      </c>
      <c r="F24" s="215">
        <f>L_standard_uncertainty^4/F23</f>
        <v>14.722144162424373</v>
      </c>
      <c r="S24" s="192" t="s">
        <v>54</v>
      </c>
      <c r="T24" s="1">
        <v>4.0000000000000001E-3</v>
      </c>
      <c r="U24" s="1">
        <f t="shared" si="6"/>
        <v>2.0000000000000001E-4</v>
      </c>
      <c r="V24" s="1">
        <v>2.0000000000000002E-5</v>
      </c>
      <c r="W24" s="1">
        <f t="shared" si="7"/>
        <v>1.0000000000000002E-6</v>
      </c>
      <c r="AB24" s="192" t="s">
        <v>54</v>
      </c>
      <c r="AC24" s="193">
        <v>6.1804450847096237E-2</v>
      </c>
      <c r="AD24" s="194">
        <v>2.1044974711324844</v>
      </c>
      <c r="AE24" s="193">
        <v>2.0849970335959339E-2</v>
      </c>
      <c r="AF24" s="194">
        <v>2.1612428322015229</v>
      </c>
      <c r="AG24" s="195"/>
      <c r="AH24" t="str">
        <f t="shared" si="0"/>
        <v>2Z</v>
      </c>
      <c r="AI24">
        <f t="shared" si="8"/>
        <v>984.95063994570069</v>
      </c>
      <c r="AJ24" s="197">
        <f t="shared" si="1"/>
        <v>9.9999999999999995E-7</v>
      </c>
      <c r="AK24" s="197">
        <f t="shared" si="2"/>
        <v>2</v>
      </c>
      <c r="AL24">
        <f t="shared" si="9"/>
        <v>4.8162647563917478</v>
      </c>
      <c r="AM24" s="197">
        <f t="shared" si="3"/>
        <v>1</v>
      </c>
      <c r="AN24" s="197">
        <f t="shared" si="4"/>
        <v>0.02</v>
      </c>
      <c r="AO24">
        <f t="shared" si="5"/>
        <v>1592.3799999999999</v>
      </c>
      <c r="AQ24" s="270">
        <f t="shared" si="10"/>
        <v>1.4660113832702416E-2</v>
      </c>
      <c r="AR24" s="77">
        <f t="shared" si="11"/>
        <v>0.23720158713118303</v>
      </c>
      <c r="AS24" s="270">
        <f t="shared" si="12"/>
        <v>1.2002300707900998E-4</v>
      </c>
      <c r="AT24" s="243">
        <f t="shared" si="13"/>
        <v>5.7565073304689449E-3</v>
      </c>
      <c r="AU24" s="198"/>
      <c r="AV24" s="81"/>
      <c r="AW24" s="198"/>
      <c r="AX24" s="81"/>
    </row>
    <row r="25" spans="1:50">
      <c r="B25" s="30"/>
      <c r="E25" s="52" t="s">
        <v>12</v>
      </c>
      <c r="F25" s="216">
        <f>$G$3+$G$4/F24+$G$5/F24^2+$G$6/F24^3</f>
        <v>2.1292183069855128</v>
      </c>
      <c r="S25" s="192"/>
      <c r="AB25" s="192"/>
      <c r="AC25" s="193"/>
      <c r="AD25" s="194"/>
      <c r="AE25" s="193"/>
      <c r="AF25" s="194"/>
      <c r="AG25" s="195"/>
      <c r="AH25" t="e">
        <f t="shared" si="0"/>
        <v>#N/A</v>
      </c>
      <c r="AI25" t="e">
        <f t="shared" si="8"/>
        <v>#N/A</v>
      </c>
      <c r="AJ25" s="197" t="e">
        <f t="shared" si="1"/>
        <v>#N/A</v>
      </c>
      <c r="AK25" s="197" t="e">
        <f t="shared" si="2"/>
        <v>#N/A</v>
      </c>
      <c r="AL25" t="e">
        <f t="shared" si="9"/>
        <v>#N/A</v>
      </c>
      <c r="AM25" s="197" t="e">
        <f t="shared" si="3"/>
        <v>#N/A</v>
      </c>
      <c r="AN25" s="197" t="e">
        <f t="shared" si="4"/>
        <v>#N/A</v>
      </c>
      <c r="AO25" t="e">
        <f t="shared" si="5"/>
        <v>#N/A</v>
      </c>
      <c r="AQ25" s="3"/>
      <c r="AR25" s="81"/>
      <c r="AS25" s="270"/>
      <c r="AT25" s="81"/>
      <c r="AU25" s="198"/>
      <c r="AV25" s="81"/>
      <c r="AW25" s="198"/>
      <c r="AX25" s="81"/>
    </row>
    <row r="26" spans="1:50" ht="13.5" thickBot="1">
      <c r="A26" s="23" t="s">
        <v>262</v>
      </c>
      <c r="B26" s="30"/>
      <c r="E26" s="53" t="s">
        <v>129</v>
      </c>
      <c r="F26" s="217">
        <f>F25*L_standard_uncertainty</f>
        <v>5.4785270710480463</v>
      </c>
      <c r="S26" s="192"/>
      <c r="AB26" s="192"/>
      <c r="AC26" s="193"/>
      <c r="AD26" s="194"/>
      <c r="AE26" s="193"/>
      <c r="AF26" s="194"/>
      <c r="AG26" s="195"/>
      <c r="AH26" t="e">
        <f t="shared" si="0"/>
        <v>#N/A</v>
      </c>
      <c r="AI26" t="e">
        <f t="shared" si="8"/>
        <v>#N/A</v>
      </c>
      <c r="AJ26" s="197" t="e">
        <f t="shared" si="1"/>
        <v>#N/A</v>
      </c>
      <c r="AK26" s="197" t="e">
        <f t="shared" si="2"/>
        <v>#N/A</v>
      </c>
      <c r="AL26" t="e">
        <f t="shared" si="9"/>
        <v>#N/A</v>
      </c>
      <c r="AM26" s="197" t="e">
        <f t="shared" si="3"/>
        <v>#N/A</v>
      </c>
      <c r="AN26" s="197" t="e">
        <f t="shared" si="4"/>
        <v>#N/A</v>
      </c>
      <c r="AO26" t="e">
        <f t="shared" si="5"/>
        <v>#N/A</v>
      </c>
      <c r="AR26" s="81"/>
      <c r="AS26" s="270"/>
      <c r="AT26" s="81"/>
      <c r="AU26" s="198"/>
      <c r="AV26" s="81"/>
      <c r="AW26" s="198"/>
      <c r="AX26" s="81"/>
    </row>
    <row r="27" spans="1:50">
      <c r="A27" s="25" t="s">
        <v>263</v>
      </c>
      <c r="B27" s="30"/>
      <c r="S27" s="192"/>
      <c r="AB27" s="192"/>
      <c r="AC27" s="193"/>
      <c r="AD27" s="194"/>
      <c r="AE27" s="193"/>
      <c r="AF27" s="194"/>
      <c r="AG27" s="195"/>
      <c r="AH27" t="e">
        <f t="shared" si="0"/>
        <v>#N/A</v>
      </c>
      <c r="AI27" t="e">
        <f t="shared" si="8"/>
        <v>#N/A</v>
      </c>
      <c r="AJ27" s="197" t="e">
        <f t="shared" si="1"/>
        <v>#N/A</v>
      </c>
      <c r="AK27" s="197" t="e">
        <f t="shared" si="2"/>
        <v>#N/A</v>
      </c>
      <c r="AL27" t="e">
        <f t="shared" si="9"/>
        <v>#N/A</v>
      </c>
      <c r="AM27" s="197" t="e">
        <f t="shared" si="3"/>
        <v>#N/A</v>
      </c>
      <c r="AN27" s="197" t="e">
        <f t="shared" si="4"/>
        <v>#N/A</v>
      </c>
      <c r="AO27" t="e">
        <f t="shared" si="5"/>
        <v>#N/A</v>
      </c>
      <c r="AR27" s="81"/>
      <c r="AS27" s="3"/>
      <c r="AT27" s="81"/>
      <c r="AU27" s="198"/>
      <c r="AV27" s="81"/>
      <c r="AW27" s="198"/>
      <c r="AX27" s="81"/>
    </row>
    <row r="28" spans="1:50">
      <c r="A28" t="s">
        <v>264</v>
      </c>
      <c r="B28" s="30"/>
      <c r="E28" s="25"/>
      <c r="F28" s="54"/>
      <c r="S28" s="192"/>
      <c r="AB28" s="192"/>
      <c r="AC28" s="193"/>
      <c r="AD28" s="194"/>
      <c r="AE28" s="193"/>
      <c r="AF28" s="194"/>
      <c r="AG28" s="195"/>
      <c r="AH28" t="e">
        <f t="shared" si="0"/>
        <v>#N/A</v>
      </c>
      <c r="AI28" t="e">
        <f t="shared" si="8"/>
        <v>#N/A</v>
      </c>
      <c r="AJ28" s="197" t="e">
        <f t="shared" si="1"/>
        <v>#N/A</v>
      </c>
      <c r="AK28" s="197" t="e">
        <f t="shared" si="2"/>
        <v>#N/A</v>
      </c>
      <c r="AL28" t="e">
        <f t="shared" si="9"/>
        <v>#N/A</v>
      </c>
      <c r="AM28" s="197" t="e">
        <f t="shared" si="3"/>
        <v>#N/A</v>
      </c>
      <c r="AN28" s="197" t="e">
        <f t="shared" si="4"/>
        <v>#N/A</v>
      </c>
      <c r="AO28" t="e">
        <f t="shared" si="5"/>
        <v>#N/A</v>
      </c>
      <c r="AQ28" s="270"/>
      <c r="AR28" s="81"/>
      <c r="AS28" s="270"/>
      <c r="AT28" s="81"/>
      <c r="AU28" s="198"/>
      <c r="AV28" s="81"/>
      <c r="AW28" s="198"/>
      <c r="AX28" s="81"/>
    </row>
    <row r="29" spans="1:50">
      <c r="A29" t="s">
        <v>265</v>
      </c>
      <c r="B29" s="30"/>
      <c r="S29" s="192"/>
      <c r="AB29" s="192"/>
      <c r="AC29" s="193"/>
      <c r="AD29" s="194"/>
      <c r="AE29" s="193"/>
      <c r="AF29" s="194"/>
      <c r="AG29" s="195"/>
      <c r="AH29" t="e">
        <f t="shared" si="0"/>
        <v>#N/A</v>
      </c>
      <c r="AI29" t="e">
        <f t="shared" si="8"/>
        <v>#N/A</v>
      </c>
      <c r="AJ29" s="197" t="e">
        <f t="shared" si="1"/>
        <v>#N/A</v>
      </c>
      <c r="AK29" s="197" t="e">
        <f t="shared" si="2"/>
        <v>#N/A</v>
      </c>
      <c r="AL29" t="e">
        <f t="shared" si="9"/>
        <v>#N/A</v>
      </c>
      <c r="AM29" s="197" t="e">
        <f t="shared" si="3"/>
        <v>#N/A</v>
      </c>
      <c r="AN29" s="197" t="e">
        <f t="shared" si="4"/>
        <v>#N/A</v>
      </c>
      <c r="AO29" t="e">
        <f t="shared" si="5"/>
        <v>#N/A</v>
      </c>
      <c r="AQ29" s="270"/>
      <c r="AR29" s="81"/>
      <c r="AS29" s="270"/>
      <c r="AT29" s="81"/>
      <c r="AU29" s="198"/>
      <c r="AV29" s="81"/>
      <c r="AW29" s="198"/>
      <c r="AX29" s="81"/>
    </row>
    <row r="30" spans="1:50">
      <c r="A30" t="s">
        <v>266</v>
      </c>
      <c r="S30" s="192"/>
      <c r="AB30" s="192"/>
      <c r="AC30" s="193"/>
      <c r="AD30" s="194"/>
      <c r="AE30" s="193"/>
      <c r="AF30" s="194"/>
      <c r="AG30" s="195"/>
      <c r="AH30" t="e">
        <f t="shared" si="0"/>
        <v>#N/A</v>
      </c>
      <c r="AI30" t="e">
        <f t="shared" si="8"/>
        <v>#N/A</v>
      </c>
      <c r="AJ30" s="197" t="e">
        <f t="shared" si="1"/>
        <v>#N/A</v>
      </c>
      <c r="AK30" s="197" t="e">
        <f t="shared" si="2"/>
        <v>#N/A</v>
      </c>
      <c r="AL30" t="e">
        <f t="shared" si="9"/>
        <v>#N/A</v>
      </c>
      <c r="AM30" s="197" t="e">
        <f t="shared" si="3"/>
        <v>#N/A</v>
      </c>
      <c r="AN30" s="197" t="e">
        <f t="shared" si="4"/>
        <v>#N/A</v>
      </c>
      <c r="AO30" t="e">
        <f t="shared" si="5"/>
        <v>#N/A</v>
      </c>
      <c r="AQ30" s="270"/>
      <c r="AR30" s="81"/>
      <c r="AS30" s="270"/>
      <c r="AT30" s="81"/>
      <c r="AU30" s="198"/>
      <c r="AV30" s="81"/>
      <c r="AW30" s="198"/>
      <c r="AX30" s="81"/>
    </row>
    <row r="31" spans="1:50">
      <c r="S31" s="192"/>
      <c r="AB31" s="192"/>
      <c r="AC31" s="193"/>
      <c r="AD31" s="194"/>
      <c r="AE31" s="193"/>
      <c r="AF31" s="194"/>
      <c r="AG31" s="195"/>
      <c r="AH31" t="e">
        <f t="shared" si="0"/>
        <v>#N/A</v>
      </c>
      <c r="AI31" t="e">
        <f t="shared" si="8"/>
        <v>#N/A</v>
      </c>
      <c r="AJ31" s="197" t="e">
        <f t="shared" si="1"/>
        <v>#N/A</v>
      </c>
      <c r="AK31" s="197" t="e">
        <f t="shared" si="2"/>
        <v>#N/A</v>
      </c>
      <c r="AL31" t="e">
        <f t="shared" si="9"/>
        <v>#N/A</v>
      </c>
      <c r="AM31" s="197" t="e">
        <f t="shared" si="3"/>
        <v>#N/A</v>
      </c>
      <c r="AN31" s="197" t="e">
        <f t="shared" si="4"/>
        <v>#N/A</v>
      </c>
      <c r="AO31" t="e">
        <f t="shared" si="5"/>
        <v>#N/A</v>
      </c>
      <c r="AQ31" s="270"/>
      <c r="AR31" s="81"/>
      <c r="AS31" s="270"/>
      <c r="AT31" s="81"/>
      <c r="AU31" s="198"/>
      <c r="AV31" s="81"/>
      <c r="AW31" s="198"/>
      <c r="AX31" s="81"/>
    </row>
    <row r="32" spans="1:50">
      <c r="S32" s="192"/>
      <c r="AB32" s="192"/>
      <c r="AC32" s="193"/>
      <c r="AD32" s="194"/>
      <c r="AE32" s="193"/>
      <c r="AF32" s="194"/>
      <c r="AG32" s="195"/>
      <c r="AH32" t="e">
        <f t="shared" si="0"/>
        <v>#N/A</v>
      </c>
      <c r="AI32" t="e">
        <f t="shared" si="8"/>
        <v>#N/A</v>
      </c>
      <c r="AJ32" s="197" t="e">
        <f t="shared" si="1"/>
        <v>#N/A</v>
      </c>
      <c r="AK32" s="197" t="e">
        <f t="shared" si="2"/>
        <v>#N/A</v>
      </c>
      <c r="AL32" t="e">
        <f t="shared" si="9"/>
        <v>#N/A</v>
      </c>
      <c r="AM32" s="197" t="e">
        <f t="shared" si="3"/>
        <v>#N/A</v>
      </c>
      <c r="AN32" s="197" t="e">
        <f t="shared" si="4"/>
        <v>#N/A</v>
      </c>
      <c r="AO32" t="e">
        <f t="shared" si="5"/>
        <v>#N/A</v>
      </c>
      <c r="AQ32" s="270"/>
      <c r="AR32" s="81"/>
      <c r="AS32" s="270"/>
      <c r="AT32" s="81"/>
      <c r="AU32" s="198"/>
      <c r="AV32" s="81"/>
      <c r="AW32" s="198"/>
      <c r="AX32" s="81"/>
    </row>
    <row r="33" spans="1:50" ht="15.75">
      <c r="A33" s="34" t="s">
        <v>154</v>
      </c>
      <c r="B33" s="35"/>
      <c r="C33" s="36"/>
      <c r="D33" s="37"/>
      <c r="F33" s="25" t="s">
        <v>15</v>
      </c>
      <c r="S33" s="192"/>
      <c r="AB33" s="192"/>
      <c r="AC33" s="193"/>
      <c r="AD33" s="194"/>
      <c r="AE33" s="193"/>
      <c r="AF33" s="194"/>
      <c r="AG33" s="195"/>
      <c r="AH33" t="e">
        <f t="shared" si="0"/>
        <v>#N/A</v>
      </c>
      <c r="AI33" t="e">
        <f t="shared" si="8"/>
        <v>#N/A</v>
      </c>
      <c r="AJ33" s="197" t="e">
        <f t="shared" si="1"/>
        <v>#N/A</v>
      </c>
      <c r="AK33" s="197" t="e">
        <f t="shared" si="2"/>
        <v>#N/A</v>
      </c>
      <c r="AL33" t="e">
        <f t="shared" si="9"/>
        <v>#N/A</v>
      </c>
      <c r="AM33" s="197" t="e">
        <f t="shared" si="3"/>
        <v>#N/A</v>
      </c>
      <c r="AN33" s="197" t="e">
        <f t="shared" si="4"/>
        <v>#N/A</v>
      </c>
      <c r="AO33" t="e">
        <f t="shared" si="5"/>
        <v>#N/A</v>
      </c>
      <c r="AQ33" s="270"/>
      <c r="AR33" s="81"/>
      <c r="AS33" s="270"/>
      <c r="AT33" s="81"/>
      <c r="AU33" s="198"/>
      <c r="AV33" s="81"/>
      <c r="AW33" s="198"/>
      <c r="AX33" s="81"/>
    </row>
    <row r="34" spans="1:50">
      <c r="A34" s="38"/>
      <c r="B34" s="39" t="s">
        <v>16</v>
      </c>
      <c r="C34" s="218" t="s">
        <v>250</v>
      </c>
      <c r="D34" s="219">
        <f>VLOOKUP(label,Results,4,FALSE)</f>
        <v>569099</v>
      </c>
      <c r="E34" s="220" t="s">
        <v>267</v>
      </c>
      <c r="F34" s="221"/>
      <c r="G34" s="210" t="s">
        <v>268</v>
      </c>
      <c r="S34" s="192"/>
      <c r="AB34" s="192"/>
      <c r="AC34" s="193"/>
      <c r="AD34" s="194"/>
      <c r="AE34" s="193"/>
      <c r="AF34" s="194"/>
      <c r="AG34" s="195"/>
      <c r="AH34" t="e">
        <f t="shared" si="0"/>
        <v>#N/A</v>
      </c>
      <c r="AI34" t="e">
        <f t="shared" si="8"/>
        <v>#N/A</v>
      </c>
      <c r="AJ34" s="197" t="e">
        <f t="shared" si="1"/>
        <v>#N/A</v>
      </c>
      <c r="AK34" s="197" t="e">
        <f t="shared" si="2"/>
        <v>#N/A</v>
      </c>
      <c r="AL34" t="e">
        <f t="shared" si="9"/>
        <v>#N/A</v>
      </c>
      <c r="AM34" s="197" t="e">
        <f t="shared" si="3"/>
        <v>#N/A</v>
      </c>
      <c r="AN34" s="197" t="e">
        <f t="shared" si="4"/>
        <v>#N/A</v>
      </c>
      <c r="AO34" t="e">
        <f t="shared" si="5"/>
        <v>#N/A</v>
      </c>
      <c r="AQ34" s="270"/>
      <c r="AR34" s="81"/>
      <c r="AS34" s="270"/>
      <c r="AT34" s="81"/>
      <c r="AU34" s="198"/>
      <c r="AV34" s="81"/>
      <c r="AW34" s="198"/>
      <c r="AX34" s="81"/>
    </row>
    <row r="35" spans="1:50">
      <c r="A35" s="40" t="s">
        <v>17</v>
      </c>
      <c r="B35" s="39" t="s">
        <v>18</v>
      </c>
      <c r="E35" s="40" t="s">
        <v>19</v>
      </c>
      <c r="S35" s="192"/>
      <c r="AB35" s="192"/>
      <c r="AC35" s="193"/>
      <c r="AD35" s="194"/>
      <c r="AE35" s="193"/>
      <c r="AF35" s="194"/>
      <c r="AG35" s="195"/>
      <c r="AH35" t="e">
        <f t="shared" si="0"/>
        <v>#N/A</v>
      </c>
      <c r="AI35" t="e">
        <f t="shared" si="8"/>
        <v>#N/A</v>
      </c>
      <c r="AJ35" s="197" t="e">
        <f t="shared" si="1"/>
        <v>#N/A</v>
      </c>
      <c r="AK35" s="197" t="e">
        <f t="shared" si="2"/>
        <v>#N/A</v>
      </c>
      <c r="AL35" t="e">
        <f t="shared" si="9"/>
        <v>#N/A</v>
      </c>
      <c r="AM35" s="197" t="e">
        <f t="shared" si="3"/>
        <v>#N/A</v>
      </c>
      <c r="AN35" s="197" t="e">
        <f t="shared" si="4"/>
        <v>#N/A</v>
      </c>
      <c r="AO35" t="e">
        <f t="shared" si="5"/>
        <v>#N/A</v>
      </c>
      <c r="AQ35" s="270"/>
      <c r="AR35" s="81"/>
      <c r="AS35" s="270"/>
      <c r="AT35" s="81"/>
      <c r="AU35" s="198"/>
      <c r="AV35" s="81"/>
      <c r="AW35" s="198"/>
      <c r="AX35" s="81"/>
    </row>
    <row r="36" spans="1:50" ht="15.75">
      <c r="A36" s="42"/>
      <c r="B36" s="39" t="s">
        <v>252</v>
      </c>
      <c r="C36" s="40" t="s">
        <v>20</v>
      </c>
      <c r="D36" s="40" t="s">
        <v>21</v>
      </c>
      <c r="E36" s="40" t="s">
        <v>22</v>
      </c>
      <c r="F36" s="40" t="s">
        <v>23</v>
      </c>
      <c r="K36" s="205" t="s">
        <v>155</v>
      </c>
      <c r="S36" s="192"/>
      <c r="AB36" s="192"/>
      <c r="AC36" s="193"/>
      <c r="AD36" s="194"/>
      <c r="AE36" s="193"/>
      <c r="AF36" s="194"/>
      <c r="AG36" s="195"/>
      <c r="AH36" t="e">
        <f t="shared" si="0"/>
        <v>#N/A</v>
      </c>
      <c r="AI36" t="e">
        <f t="shared" si="8"/>
        <v>#N/A</v>
      </c>
      <c r="AJ36" s="197" t="e">
        <f t="shared" si="1"/>
        <v>#N/A</v>
      </c>
      <c r="AK36" s="197" t="e">
        <f t="shared" si="2"/>
        <v>#N/A</v>
      </c>
      <c r="AL36" t="e">
        <f t="shared" si="9"/>
        <v>#N/A</v>
      </c>
      <c r="AM36" s="197" t="e">
        <f t="shared" si="3"/>
        <v>#N/A</v>
      </c>
      <c r="AN36" s="197" t="e">
        <f t="shared" si="4"/>
        <v>#N/A</v>
      </c>
      <c r="AO36" t="e">
        <f t="shared" si="5"/>
        <v>#N/A</v>
      </c>
      <c r="AQ36" s="270"/>
      <c r="AR36" s="81"/>
      <c r="AS36" s="270"/>
      <c r="AT36" s="81"/>
      <c r="AU36" s="198"/>
      <c r="AV36" s="81"/>
      <c r="AW36" s="198"/>
      <c r="AX36" s="81"/>
    </row>
    <row r="37" spans="1:50">
      <c r="A37" s="43" t="s">
        <v>269</v>
      </c>
      <c r="B37" s="222">
        <f>10*0.000016*D11</f>
        <v>15.903839999999999</v>
      </c>
      <c r="C37" s="44">
        <f t="shared" ref="C37:C45" si="17">B37^2</f>
        <v>252.93212674559996</v>
      </c>
      <c r="D37" s="55" t="s">
        <v>130</v>
      </c>
      <c r="E37" s="46">
        <v>13</v>
      </c>
      <c r="F37" s="44">
        <f t="shared" ref="F37:F45" si="18">B37^4/E37</f>
        <v>4921.1277492347881</v>
      </c>
      <c r="G37" t="s">
        <v>131</v>
      </c>
      <c r="K37" s="210" t="s">
        <v>270</v>
      </c>
      <c r="L37" t="s">
        <v>271</v>
      </c>
      <c r="S37" s="192"/>
      <c r="AB37" s="192"/>
      <c r="AC37" s="193"/>
      <c r="AD37" s="194"/>
      <c r="AE37" s="193"/>
      <c r="AF37" s="194"/>
      <c r="AG37" s="195"/>
      <c r="AH37" t="e">
        <f t="shared" ref="AH37:AH59" si="19">VLOOKUP(AB37, Results,2,FALSE)</f>
        <v>#N/A</v>
      </c>
      <c r="AI37" t="e">
        <f t="shared" si="8"/>
        <v>#N/A</v>
      </c>
      <c r="AJ37" s="197" t="e">
        <f t="shared" ref="AJ37:AJ59" si="20">VLOOKUP(AH37,multiplier,4,FALSE)</f>
        <v>#N/A</v>
      </c>
      <c r="AK37" s="197" t="e">
        <f t="shared" ref="AK37:AK59" si="21">VLOOKUP(AH37,multiplier,8,FALSE)</f>
        <v>#N/A</v>
      </c>
      <c r="AL37" t="e">
        <f t="shared" si="9"/>
        <v>#N/A</v>
      </c>
      <c r="AM37" s="197" t="e">
        <f t="shared" ref="AM37:AM59" si="22">VLOOKUP(AH37,multiplier,7,FALSE)</f>
        <v>#N/A</v>
      </c>
      <c r="AN37" s="197" t="e">
        <f t="shared" ref="AN37:AN59" si="23">VLOOKUP(AH37,multiplier,9,FALSE)</f>
        <v>#N/A</v>
      </c>
      <c r="AO37" t="e">
        <f t="shared" ref="AO37:AO59" si="24">VLOOKUP(AB37,Results,9,FALSE)*1000</f>
        <v>#N/A</v>
      </c>
      <c r="AQ37" s="270"/>
      <c r="AR37" s="81"/>
      <c r="AS37" s="270"/>
      <c r="AT37" s="81"/>
      <c r="AU37" s="198"/>
      <c r="AV37" s="81"/>
      <c r="AW37" s="198"/>
      <c r="AX37" s="81"/>
    </row>
    <row r="38" spans="1:50">
      <c r="A38" s="43" t="s">
        <v>121</v>
      </c>
      <c r="B38" s="209">
        <v>10</v>
      </c>
      <c r="C38" s="44">
        <f t="shared" si="17"/>
        <v>100</v>
      </c>
      <c r="D38" s="45">
        <v>30</v>
      </c>
      <c r="E38" s="46">
        <f t="shared" ref="E38:E44" si="25">0.5*(1/(0.01*D38)^2)</f>
        <v>5.5555555555555554</v>
      </c>
      <c r="F38" s="44">
        <f t="shared" si="18"/>
        <v>1800</v>
      </c>
      <c r="K38" s="210" t="s">
        <v>272</v>
      </c>
      <c r="S38" s="192"/>
      <c r="AB38" s="192"/>
      <c r="AC38" s="193"/>
      <c r="AD38" s="194"/>
      <c r="AE38" s="193"/>
      <c r="AF38" s="194"/>
      <c r="AG38" s="195"/>
      <c r="AH38" t="e">
        <f t="shared" si="19"/>
        <v>#N/A</v>
      </c>
      <c r="AI38" t="e">
        <f t="shared" si="8"/>
        <v>#N/A</v>
      </c>
      <c r="AJ38" s="197" t="e">
        <f t="shared" si="20"/>
        <v>#N/A</v>
      </c>
      <c r="AK38" s="197" t="e">
        <f t="shared" si="21"/>
        <v>#N/A</v>
      </c>
      <c r="AL38" t="e">
        <f t="shared" si="9"/>
        <v>#N/A</v>
      </c>
      <c r="AM38" s="197" t="e">
        <f t="shared" si="22"/>
        <v>#N/A</v>
      </c>
      <c r="AN38" s="197" t="e">
        <f t="shared" si="23"/>
        <v>#N/A</v>
      </c>
      <c r="AO38" t="e">
        <f t="shared" si="24"/>
        <v>#N/A</v>
      </c>
      <c r="AQ38" s="270"/>
      <c r="AR38" s="81"/>
      <c r="AS38" s="270"/>
      <c r="AT38" s="81"/>
      <c r="AU38" s="198"/>
      <c r="AV38" s="81"/>
      <c r="AW38" s="198"/>
      <c r="AX38" s="81"/>
    </row>
    <row r="39" spans="1:50">
      <c r="A39" s="43" t="s">
        <v>119</v>
      </c>
      <c r="B39" s="206">
        <f>2.5*0.000001*D34*10</f>
        <v>14.227474999999998</v>
      </c>
      <c r="C39" s="44">
        <f t="shared" si="17"/>
        <v>202.42104487562494</v>
      </c>
      <c r="D39" s="45">
        <v>30</v>
      </c>
      <c r="E39" s="46">
        <f t="shared" si="25"/>
        <v>5.5555555555555554</v>
      </c>
      <c r="F39" s="44">
        <f t="shared" si="18"/>
        <v>7375.3702935371584</v>
      </c>
      <c r="G39" t="s">
        <v>120</v>
      </c>
      <c r="K39" s="208"/>
      <c r="S39" s="192"/>
      <c r="AB39" s="192"/>
      <c r="AC39" s="193"/>
      <c r="AD39" s="194"/>
      <c r="AE39" s="193"/>
      <c r="AF39" s="194"/>
      <c r="AG39" s="195"/>
      <c r="AH39" t="e">
        <f t="shared" si="19"/>
        <v>#N/A</v>
      </c>
      <c r="AI39" t="e">
        <f t="shared" si="8"/>
        <v>#N/A</v>
      </c>
      <c r="AJ39" s="197" t="e">
        <f t="shared" si="20"/>
        <v>#N/A</v>
      </c>
      <c r="AK39" s="197" t="e">
        <f t="shared" si="21"/>
        <v>#N/A</v>
      </c>
      <c r="AL39" t="e">
        <f t="shared" si="9"/>
        <v>#N/A</v>
      </c>
      <c r="AM39" s="197" t="e">
        <f t="shared" si="22"/>
        <v>#N/A</v>
      </c>
      <c r="AN39" s="197" t="e">
        <f t="shared" si="23"/>
        <v>#N/A</v>
      </c>
      <c r="AO39" t="e">
        <f t="shared" si="24"/>
        <v>#N/A</v>
      </c>
      <c r="AQ39" s="270"/>
      <c r="AR39" s="81"/>
      <c r="AS39" s="270"/>
      <c r="AT39" s="81"/>
      <c r="AU39" s="198"/>
      <c r="AV39" s="81"/>
      <c r="AW39" s="198"/>
      <c r="AX39" s="81"/>
    </row>
    <row r="40" spans="1:50">
      <c r="A40" s="48" t="s">
        <v>127</v>
      </c>
      <c r="B40" s="212">
        <f>2000/(VLOOKUP(label,Results,9,FALSE)*1000)*10</f>
        <v>12.561078242956377</v>
      </c>
      <c r="C40" s="44">
        <f t="shared" si="17"/>
        <v>157.78068662567208</v>
      </c>
      <c r="D40" s="45">
        <v>30</v>
      </c>
      <c r="E40" s="46">
        <f t="shared" si="25"/>
        <v>5.5555555555555554</v>
      </c>
      <c r="F40" s="44">
        <f t="shared" si="18"/>
        <v>4481.054112972336</v>
      </c>
      <c r="G40" t="s">
        <v>273</v>
      </c>
      <c r="L40" s="223" t="s">
        <v>274</v>
      </c>
      <c r="S40" s="192"/>
      <c r="AB40" s="192"/>
      <c r="AC40" s="193"/>
      <c r="AD40" s="194"/>
      <c r="AE40" s="193"/>
      <c r="AF40" s="194"/>
      <c r="AG40" s="195"/>
      <c r="AH40" t="e">
        <f t="shared" si="19"/>
        <v>#N/A</v>
      </c>
      <c r="AI40" t="e">
        <f t="shared" si="8"/>
        <v>#N/A</v>
      </c>
      <c r="AJ40" s="197" t="e">
        <f t="shared" si="20"/>
        <v>#N/A</v>
      </c>
      <c r="AK40" s="197" t="e">
        <f t="shared" si="21"/>
        <v>#N/A</v>
      </c>
      <c r="AL40" t="e">
        <f t="shared" si="9"/>
        <v>#N/A</v>
      </c>
      <c r="AM40" s="197" t="e">
        <f t="shared" si="22"/>
        <v>#N/A</v>
      </c>
      <c r="AN40" s="197" t="e">
        <f t="shared" si="23"/>
        <v>#N/A</v>
      </c>
      <c r="AO40" t="e">
        <f t="shared" si="24"/>
        <v>#N/A</v>
      </c>
      <c r="AQ40" s="270"/>
      <c r="AR40" s="81"/>
      <c r="AS40" s="270"/>
      <c r="AT40" s="81"/>
      <c r="AU40" s="198"/>
      <c r="AV40" s="81"/>
      <c r="AW40" s="198"/>
      <c r="AX40" s="81"/>
    </row>
    <row r="41" spans="1:50">
      <c r="A41" s="43" t="s">
        <v>122</v>
      </c>
      <c r="B41" s="206">
        <f>17*0.000001*D34</f>
        <v>9.6746829999999999</v>
      </c>
      <c r="C41" s="44">
        <f t="shared" si="17"/>
        <v>93.599491150489001</v>
      </c>
      <c r="D41" s="45">
        <v>30</v>
      </c>
      <c r="E41" s="46">
        <f t="shared" si="25"/>
        <v>5.5555555555555554</v>
      </c>
      <c r="F41" s="44">
        <f t="shared" si="18"/>
        <v>1576.9556538534846</v>
      </c>
      <c r="G41" t="s">
        <v>275</v>
      </c>
      <c r="K41" s="210" t="s">
        <v>254</v>
      </c>
      <c r="S41" s="192"/>
      <c r="AB41" s="192"/>
      <c r="AC41" s="193"/>
      <c r="AD41" s="194"/>
      <c r="AE41" s="193"/>
      <c r="AF41" s="194"/>
      <c r="AG41" s="224"/>
      <c r="AH41" t="e">
        <f t="shared" si="19"/>
        <v>#N/A</v>
      </c>
      <c r="AI41" t="e">
        <f t="shared" si="8"/>
        <v>#N/A</v>
      </c>
      <c r="AJ41" s="197" t="e">
        <f t="shared" si="20"/>
        <v>#N/A</v>
      </c>
      <c r="AK41" s="197" t="e">
        <f t="shared" si="21"/>
        <v>#N/A</v>
      </c>
      <c r="AL41" t="e">
        <f t="shared" si="9"/>
        <v>#N/A</v>
      </c>
      <c r="AM41" s="197" t="e">
        <f t="shared" si="22"/>
        <v>#N/A</v>
      </c>
      <c r="AN41" s="197" t="e">
        <f t="shared" si="23"/>
        <v>#N/A</v>
      </c>
      <c r="AO41" t="e">
        <f t="shared" si="24"/>
        <v>#N/A</v>
      </c>
      <c r="AQ41" s="270"/>
      <c r="AR41" s="81"/>
      <c r="AS41" s="270"/>
      <c r="AT41" s="81"/>
      <c r="AU41" s="198"/>
      <c r="AV41" s="81"/>
      <c r="AW41" s="198"/>
      <c r="AX41" s="81"/>
    </row>
    <row r="42" spans="1:50">
      <c r="A42" s="48" t="s">
        <v>123</v>
      </c>
      <c r="B42" s="211">
        <f>2*0.000001*D34*10</f>
        <v>11.38198</v>
      </c>
      <c r="C42" s="44">
        <f t="shared" si="17"/>
        <v>129.5494687204</v>
      </c>
      <c r="D42" s="45">
        <v>50</v>
      </c>
      <c r="E42" s="46">
        <f t="shared" si="25"/>
        <v>2</v>
      </c>
      <c r="F42" s="44">
        <f t="shared" si="18"/>
        <v>8391.5324228689497</v>
      </c>
      <c r="G42" t="s">
        <v>124</v>
      </c>
      <c r="K42" s="208"/>
      <c r="S42" s="192"/>
      <c r="AB42" s="192"/>
      <c r="AC42" s="193"/>
      <c r="AD42" s="194"/>
      <c r="AE42" s="193"/>
      <c r="AF42" s="194"/>
      <c r="AG42" s="224"/>
      <c r="AH42" t="e">
        <f t="shared" si="19"/>
        <v>#N/A</v>
      </c>
      <c r="AI42" t="e">
        <f t="shared" si="8"/>
        <v>#N/A</v>
      </c>
      <c r="AJ42" s="197" t="e">
        <f t="shared" si="20"/>
        <v>#N/A</v>
      </c>
      <c r="AK42" s="197" t="e">
        <f t="shared" si="21"/>
        <v>#N/A</v>
      </c>
      <c r="AL42" t="e">
        <f t="shared" si="9"/>
        <v>#N/A</v>
      </c>
      <c r="AM42" s="197" t="e">
        <f t="shared" si="22"/>
        <v>#N/A</v>
      </c>
      <c r="AN42" s="197" t="e">
        <f t="shared" si="23"/>
        <v>#N/A</v>
      </c>
      <c r="AO42" t="e">
        <f t="shared" si="24"/>
        <v>#N/A</v>
      </c>
      <c r="AQ42" s="270"/>
      <c r="AR42" s="81"/>
      <c r="AS42" s="270"/>
      <c r="AT42" s="81"/>
      <c r="AU42" s="198"/>
      <c r="AV42" s="81"/>
      <c r="AW42" s="198"/>
      <c r="AX42" s="81"/>
    </row>
    <row r="43" spans="1:50">
      <c r="A43" s="48" t="s">
        <v>126</v>
      </c>
      <c r="B43" s="211">
        <f>2*0.000001*D34*10</f>
        <v>11.38198</v>
      </c>
      <c r="C43" s="207">
        <f t="shared" si="17"/>
        <v>129.5494687204</v>
      </c>
      <c r="D43" s="45">
        <v>30</v>
      </c>
      <c r="E43" s="46">
        <f t="shared" si="25"/>
        <v>5.5555555555555554</v>
      </c>
      <c r="F43" s="44">
        <f t="shared" si="18"/>
        <v>3020.9516722328221</v>
      </c>
      <c r="G43" t="s">
        <v>132</v>
      </c>
      <c r="K43" s="208"/>
      <c r="S43" s="192"/>
      <c r="AB43" s="192"/>
      <c r="AC43" s="193"/>
      <c r="AD43" s="194"/>
      <c r="AE43" s="193"/>
      <c r="AF43" s="194"/>
      <c r="AG43" s="224"/>
      <c r="AH43" t="e">
        <f t="shared" si="19"/>
        <v>#N/A</v>
      </c>
      <c r="AI43" t="e">
        <f t="shared" si="8"/>
        <v>#N/A</v>
      </c>
      <c r="AJ43" s="197" t="e">
        <f t="shared" si="20"/>
        <v>#N/A</v>
      </c>
      <c r="AK43" s="197" t="e">
        <f t="shared" si="21"/>
        <v>#N/A</v>
      </c>
      <c r="AL43" t="e">
        <f t="shared" si="9"/>
        <v>#N/A</v>
      </c>
      <c r="AM43" s="197" t="e">
        <f t="shared" si="22"/>
        <v>#N/A</v>
      </c>
      <c r="AN43" s="197" t="e">
        <f t="shared" si="23"/>
        <v>#N/A</v>
      </c>
      <c r="AO43" t="e">
        <f t="shared" si="24"/>
        <v>#N/A</v>
      </c>
      <c r="AQ43" s="270"/>
      <c r="AR43" s="81"/>
      <c r="AS43" s="270"/>
      <c r="AT43" s="81"/>
      <c r="AU43" s="198"/>
      <c r="AV43" s="81"/>
      <c r="AW43" s="198"/>
      <c r="AX43" s="81"/>
    </row>
    <row r="44" spans="1:50">
      <c r="B44" s="47">
        <v>0</v>
      </c>
      <c r="C44" s="44">
        <f t="shared" si="17"/>
        <v>0</v>
      </c>
      <c r="D44" s="45">
        <v>50</v>
      </c>
      <c r="E44" s="46">
        <f t="shared" si="25"/>
        <v>2</v>
      </c>
      <c r="F44" s="44">
        <f t="shared" si="18"/>
        <v>0</v>
      </c>
      <c r="K44" s="210" t="s">
        <v>276</v>
      </c>
      <c r="S44" s="192"/>
      <c r="AB44" s="192"/>
      <c r="AC44" s="193"/>
      <c r="AD44" s="194"/>
      <c r="AE44" s="193"/>
      <c r="AF44" s="194"/>
      <c r="AG44" s="195"/>
      <c r="AH44" t="e">
        <f t="shared" si="19"/>
        <v>#N/A</v>
      </c>
      <c r="AI44" t="e">
        <f t="shared" si="8"/>
        <v>#N/A</v>
      </c>
      <c r="AJ44" s="197" t="e">
        <f t="shared" si="20"/>
        <v>#N/A</v>
      </c>
      <c r="AK44" s="197" t="e">
        <f t="shared" si="21"/>
        <v>#N/A</v>
      </c>
      <c r="AL44" t="e">
        <f t="shared" si="9"/>
        <v>#N/A</v>
      </c>
      <c r="AM44" s="197" t="e">
        <f t="shared" si="22"/>
        <v>#N/A</v>
      </c>
      <c r="AN44" s="197" t="e">
        <f t="shared" si="23"/>
        <v>#N/A</v>
      </c>
      <c r="AO44" t="e">
        <f t="shared" si="24"/>
        <v>#N/A</v>
      </c>
      <c r="AQ44" s="270"/>
      <c r="AR44" s="81"/>
      <c r="AS44" s="270"/>
      <c r="AT44" s="81"/>
      <c r="AU44" s="198"/>
      <c r="AV44" s="81"/>
      <c r="AW44" s="198"/>
      <c r="AX44" s="81"/>
    </row>
    <row r="45" spans="1:50">
      <c r="A45" s="48"/>
      <c r="B45" s="47">
        <v>0</v>
      </c>
      <c r="C45" s="44">
        <f t="shared" si="17"/>
        <v>0</v>
      </c>
      <c r="D45" s="45">
        <v>1</v>
      </c>
      <c r="E45" s="46">
        <f>0.5*(1/(0.01*D45)^2)</f>
        <v>5000</v>
      </c>
      <c r="F45" s="44">
        <f t="shared" si="18"/>
        <v>0</v>
      </c>
      <c r="S45" s="192"/>
      <c r="AB45" s="192"/>
      <c r="AC45" s="193"/>
      <c r="AD45" s="194"/>
      <c r="AE45" s="193"/>
      <c r="AF45" s="194"/>
      <c r="AG45" s="195"/>
      <c r="AH45" t="e">
        <f t="shared" si="19"/>
        <v>#N/A</v>
      </c>
      <c r="AI45" t="e">
        <f t="shared" si="8"/>
        <v>#N/A</v>
      </c>
      <c r="AJ45" s="197" t="e">
        <f t="shared" si="20"/>
        <v>#N/A</v>
      </c>
      <c r="AK45" s="197" t="e">
        <f t="shared" si="21"/>
        <v>#N/A</v>
      </c>
      <c r="AL45" t="e">
        <f t="shared" si="9"/>
        <v>#N/A</v>
      </c>
      <c r="AM45" s="197" t="e">
        <f t="shared" si="22"/>
        <v>#N/A</v>
      </c>
      <c r="AN45" s="197" t="e">
        <f t="shared" si="23"/>
        <v>#N/A</v>
      </c>
      <c r="AO45" t="e">
        <f t="shared" si="24"/>
        <v>#N/A</v>
      </c>
      <c r="AQ45" s="270"/>
      <c r="AR45" s="81"/>
      <c r="AS45" s="270"/>
      <c r="AT45" s="81"/>
      <c r="AU45" s="198"/>
      <c r="AV45" s="81"/>
      <c r="AW45" s="198"/>
      <c r="AX45" s="81"/>
    </row>
    <row r="46" spans="1:50" ht="13.5" thickBot="1">
      <c r="B46" s="50" t="s">
        <v>24</v>
      </c>
      <c r="C46" s="225">
        <f>SUM(C37:C45)</f>
        <v>1065.8322868381861</v>
      </c>
      <c r="E46" s="23" t="s">
        <v>25</v>
      </c>
      <c r="F46" s="207">
        <f>SUM(F37:F45)</f>
        <v>31566.991904699538</v>
      </c>
      <c r="S46" s="192"/>
      <c r="AB46" s="192"/>
      <c r="AC46" s="193"/>
      <c r="AD46" s="194"/>
      <c r="AE46" s="193"/>
      <c r="AF46" s="194"/>
      <c r="AG46" s="195"/>
      <c r="AH46" t="e">
        <f t="shared" si="19"/>
        <v>#N/A</v>
      </c>
      <c r="AI46" t="e">
        <f t="shared" si="8"/>
        <v>#N/A</v>
      </c>
      <c r="AJ46" s="197" t="e">
        <f t="shared" si="20"/>
        <v>#N/A</v>
      </c>
      <c r="AK46" s="197" t="e">
        <f t="shared" si="21"/>
        <v>#N/A</v>
      </c>
      <c r="AL46" t="e">
        <f t="shared" si="9"/>
        <v>#N/A</v>
      </c>
      <c r="AM46" s="197" t="e">
        <f t="shared" si="22"/>
        <v>#N/A</v>
      </c>
      <c r="AN46" s="197" t="e">
        <f t="shared" si="23"/>
        <v>#N/A</v>
      </c>
      <c r="AO46" t="e">
        <f t="shared" si="24"/>
        <v>#N/A</v>
      </c>
      <c r="AQ46" s="270"/>
      <c r="AR46" s="81"/>
      <c r="AS46" s="270"/>
      <c r="AT46" s="81"/>
      <c r="AU46" s="198"/>
      <c r="AV46" s="81"/>
      <c r="AW46" s="198"/>
      <c r="AX46" s="81"/>
    </row>
    <row r="47" spans="1:50">
      <c r="B47" s="50" t="s">
        <v>261</v>
      </c>
      <c r="C47" s="226">
        <f>SQRT(C46)</f>
        <v>32.647086957923001</v>
      </c>
      <c r="E47" s="51" t="s">
        <v>26</v>
      </c>
      <c r="F47" s="215">
        <f>R_standard_uncertainty^4/F46</f>
        <v>35.986908955287419</v>
      </c>
      <c r="S47" s="192"/>
      <c r="AB47" s="192"/>
      <c r="AC47" s="193"/>
      <c r="AD47" s="194"/>
      <c r="AE47" s="193"/>
      <c r="AF47" s="194"/>
      <c r="AG47" s="196"/>
      <c r="AH47" t="e">
        <f t="shared" si="19"/>
        <v>#N/A</v>
      </c>
      <c r="AI47" t="e">
        <f t="shared" si="8"/>
        <v>#N/A</v>
      </c>
      <c r="AJ47" s="197" t="e">
        <f t="shared" si="20"/>
        <v>#N/A</v>
      </c>
      <c r="AK47" s="197" t="e">
        <f t="shared" si="21"/>
        <v>#N/A</v>
      </c>
      <c r="AL47" t="e">
        <f t="shared" si="9"/>
        <v>#N/A</v>
      </c>
      <c r="AM47" s="197" t="e">
        <f t="shared" si="22"/>
        <v>#N/A</v>
      </c>
      <c r="AN47" s="197" t="e">
        <f t="shared" si="23"/>
        <v>#N/A</v>
      </c>
      <c r="AO47" t="e">
        <f t="shared" si="24"/>
        <v>#N/A</v>
      </c>
      <c r="AQ47" s="270"/>
      <c r="AR47" s="81"/>
      <c r="AS47" s="270"/>
      <c r="AT47" s="81"/>
      <c r="AU47" s="198"/>
      <c r="AV47" s="81"/>
      <c r="AW47" s="198"/>
      <c r="AX47" s="81"/>
    </row>
    <row r="48" spans="1:50">
      <c r="B48" s="30"/>
      <c r="E48" s="52" t="s">
        <v>12</v>
      </c>
      <c r="F48" s="216">
        <f>$G$3+$G$4/F47+$G$5/F47^2+$G$6/F47^3</f>
        <v>2.0270486280540463</v>
      </c>
      <c r="S48" s="192"/>
      <c r="AB48" s="192"/>
      <c r="AC48" s="193"/>
      <c r="AD48" s="194"/>
      <c r="AE48" s="193"/>
      <c r="AF48" s="194"/>
      <c r="AG48" s="196"/>
      <c r="AH48" t="e">
        <f t="shared" si="19"/>
        <v>#N/A</v>
      </c>
      <c r="AI48" t="e">
        <f t="shared" si="8"/>
        <v>#N/A</v>
      </c>
      <c r="AJ48" s="197" t="e">
        <f t="shared" si="20"/>
        <v>#N/A</v>
      </c>
      <c r="AK48" s="197" t="e">
        <f t="shared" si="21"/>
        <v>#N/A</v>
      </c>
      <c r="AL48" t="e">
        <f t="shared" si="9"/>
        <v>#N/A</v>
      </c>
      <c r="AM48" s="197" t="e">
        <f t="shared" si="22"/>
        <v>#N/A</v>
      </c>
      <c r="AN48" s="197" t="e">
        <f t="shared" si="23"/>
        <v>#N/A</v>
      </c>
      <c r="AO48" t="e">
        <f t="shared" si="24"/>
        <v>#N/A</v>
      </c>
      <c r="AQ48" s="270"/>
      <c r="AR48" s="81"/>
      <c r="AS48" s="270"/>
      <c r="AT48" s="81"/>
      <c r="AU48" s="198"/>
      <c r="AV48" s="81"/>
      <c r="AW48" s="198"/>
      <c r="AX48" s="81"/>
    </row>
    <row r="49" spans="1:50" ht="13.5" thickBot="1">
      <c r="A49" s="23" t="s">
        <v>262</v>
      </c>
      <c r="B49" s="30"/>
      <c r="E49" s="53" t="s">
        <v>129</v>
      </c>
      <c r="F49" s="217">
        <f>F48*R_standard_uncertainty</f>
        <v>66.177232828018973</v>
      </c>
      <c r="S49" s="192"/>
      <c r="AB49" s="192"/>
      <c r="AC49" s="193"/>
      <c r="AD49" s="194"/>
      <c r="AE49" s="193"/>
      <c r="AF49" s="194"/>
      <c r="AG49" s="196"/>
      <c r="AH49" t="e">
        <f t="shared" si="19"/>
        <v>#N/A</v>
      </c>
      <c r="AI49" t="e">
        <f t="shared" si="8"/>
        <v>#N/A</v>
      </c>
      <c r="AJ49" s="197" t="e">
        <f t="shared" si="20"/>
        <v>#N/A</v>
      </c>
      <c r="AK49" s="197" t="e">
        <f t="shared" si="21"/>
        <v>#N/A</v>
      </c>
      <c r="AL49" t="e">
        <f t="shared" si="9"/>
        <v>#N/A</v>
      </c>
      <c r="AM49" s="197" t="e">
        <f t="shared" si="22"/>
        <v>#N/A</v>
      </c>
      <c r="AN49" s="197" t="e">
        <f t="shared" si="23"/>
        <v>#N/A</v>
      </c>
      <c r="AO49" t="e">
        <f t="shared" si="24"/>
        <v>#N/A</v>
      </c>
      <c r="AQ49" s="270"/>
      <c r="AR49" s="81"/>
      <c r="AS49" s="270"/>
      <c r="AT49" s="81"/>
      <c r="AU49" s="198"/>
      <c r="AV49" s="81"/>
      <c r="AW49" s="198"/>
      <c r="AX49" s="81"/>
    </row>
    <row r="50" spans="1:50">
      <c r="A50" s="25" t="s">
        <v>277</v>
      </c>
      <c r="B50" s="30"/>
      <c r="S50" s="192"/>
      <c r="AB50" s="192"/>
      <c r="AC50" s="193"/>
      <c r="AD50" s="194"/>
      <c r="AE50" s="193"/>
      <c r="AF50" s="194"/>
      <c r="AG50" s="195"/>
      <c r="AH50" t="e">
        <f t="shared" si="19"/>
        <v>#N/A</v>
      </c>
      <c r="AI50" t="e">
        <f t="shared" si="8"/>
        <v>#N/A</v>
      </c>
      <c r="AJ50" s="197" t="e">
        <f t="shared" si="20"/>
        <v>#N/A</v>
      </c>
      <c r="AK50" s="197" t="e">
        <f t="shared" si="21"/>
        <v>#N/A</v>
      </c>
      <c r="AL50" t="e">
        <f t="shared" si="9"/>
        <v>#N/A</v>
      </c>
      <c r="AM50" s="197" t="e">
        <f t="shared" si="22"/>
        <v>#N/A</v>
      </c>
      <c r="AN50" s="197" t="e">
        <f t="shared" si="23"/>
        <v>#N/A</v>
      </c>
      <c r="AO50" t="e">
        <f t="shared" si="24"/>
        <v>#N/A</v>
      </c>
      <c r="AQ50" s="270"/>
      <c r="AR50" s="81"/>
      <c r="AS50" s="270"/>
      <c r="AT50" s="81"/>
      <c r="AU50" s="198"/>
      <c r="AV50" s="81"/>
      <c r="AW50" s="198"/>
      <c r="AX50" s="81"/>
    </row>
    <row r="51" spans="1:50">
      <c r="A51" t="s">
        <v>278</v>
      </c>
      <c r="B51" s="30"/>
      <c r="E51" s="25"/>
      <c r="F51" s="54"/>
      <c r="S51" s="192"/>
      <c r="AB51" s="192"/>
      <c r="AC51" s="193"/>
      <c r="AD51" s="194"/>
      <c r="AE51" s="193"/>
      <c r="AF51" s="194"/>
      <c r="AG51" s="195"/>
      <c r="AH51" t="e">
        <f t="shared" si="19"/>
        <v>#N/A</v>
      </c>
      <c r="AI51" t="e">
        <f t="shared" si="8"/>
        <v>#N/A</v>
      </c>
      <c r="AJ51" s="197" t="e">
        <f t="shared" si="20"/>
        <v>#N/A</v>
      </c>
      <c r="AK51" s="197" t="e">
        <f t="shared" si="21"/>
        <v>#N/A</v>
      </c>
      <c r="AL51" t="e">
        <f t="shared" si="9"/>
        <v>#N/A</v>
      </c>
      <c r="AM51" s="197" t="e">
        <f t="shared" si="22"/>
        <v>#N/A</v>
      </c>
      <c r="AN51" s="197" t="e">
        <f t="shared" si="23"/>
        <v>#N/A</v>
      </c>
      <c r="AO51" t="e">
        <f t="shared" si="24"/>
        <v>#N/A</v>
      </c>
      <c r="AQ51" s="270"/>
      <c r="AR51" s="81"/>
      <c r="AS51" s="270"/>
      <c r="AT51" s="81"/>
      <c r="AU51" s="198"/>
      <c r="AV51" s="81"/>
      <c r="AW51" s="198"/>
      <c r="AX51" s="81"/>
    </row>
    <row r="52" spans="1:50">
      <c r="B52" s="30"/>
      <c r="S52" s="192"/>
      <c r="AB52" s="192"/>
      <c r="AC52" s="193"/>
      <c r="AD52" s="194"/>
      <c r="AE52" s="193"/>
      <c r="AF52" s="194"/>
      <c r="AG52" s="195"/>
      <c r="AH52" t="e">
        <f t="shared" si="19"/>
        <v>#N/A</v>
      </c>
      <c r="AI52" t="e">
        <f t="shared" si="8"/>
        <v>#N/A</v>
      </c>
      <c r="AJ52" s="197" t="e">
        <f t="shared" si="20"/>
        <v>#N/A</v>
      </c>
      <c r="AK52" s="197" t="e">
        <f t="shared" si="21"/>
        <v>#N/A</v>
      </c>
      <c r="AL52" t="e">
        <f t="shared" si="9"/>
        <v>#N/A</v>
      </c>
      <c r="AM52" s="197" t="e">
        <f t="shared" si="22"/>
        <v>#N/A</v>
      </c>
      <c r="AN52" s="197" t="e">
        <f t="shared" si="23"/>
        <v>#N/A</v>
      </c>
      <c r="AO52" t="e">
        <f t="shared" si="24"/>
        <v>#N/A</v>
      </c>
      <c r="AQ52" s="270"/>
      <c r="AR52" s="81"/>
      <c r="AS52" s="270"/>
      <c r="AT52" s="81"/>
      <c r="AU52" s="198"/>
      <c r="AV52" s="81"/>
      <c r="AW52" s="198"/>
      <c r="AX52" s="81"/>
    </row>
    <row r="53" spans="1:50">
      <c r="S53" s="192"/>
      <c r="AB53" s="192"/>
      <c r="AC53" s="193"/>
      <c r="AD53" s="194"/>
      <c r="AE53" s="193"/>
      <c r="AF53" s="194"/>
      <c r="AG53" s="195"/>
      <c r="AH53" t="e">
        <f t="shared" si="19"/>
        <v>#N/A</v>
      </c>
      <c r="AI53" t="e">
        <f t="shared" si="8"/>
        <v>#N/A</v>
      </c>
      <c r="AJ53" s="197" t="e">
        <f t="shared" si="20"/>
        <v>#N/A</v>
      </c>
      <c r="AK53" s="197" t="e">
        <f t="shared" si="21"/>
        <v>#N/A</v>
      </c>
      <c r="AL53" t="e">
        <f t="shared" si="9"/>
        <v>#N/A</v>
      </c>
      <c r="AM53" s="197" t="e">
        <f t="shared" si="22"/>
        <v>#N/A</v>
      </c>
      <c r="AN53" s="197" t="e">
        <f t="shared" si="23"/>
        <v>#N/A</v>
      </c>
      <c r="AO53" t="e">
        <f t="shared" si="24"/>
        <v>#N/A</v>
      </c>
      <c r="AQ53" s="270"/>
      <c r="AR53" s="81"/>
      <c r="AS53" s="270"/>
      <c r="AT53" s="81"/>
      <c r="AU53" s="198"/>
      <c r="AV53" s="81"/>
      <c r="AW53" s="198"/>
      <c r="AX53" s="81"/>
    </row>
    <row r="54" spans="1:50" ht="15.75">
      <c r="A54" s="34" t="s">
        <v>290</v>
      </c>
      <c r="B54" s="35"/>
      <c r="C54" s="36"/>
      <c r="D54" s="37"/>
      <c r="F54" s="25" t="s">
        <v>15</v>
      </c>
      <c r="I54" s="100"/>
      <c r="S54" s="192"/>
      <c r="AB54" s="192"/>
      <c r="AC54" s="193"/>
      <c r="AD54" s="194"/>
      <c r="AE54" s="193"/>
      <c r="AF54" s="194"/>
      <c r="AG54" s="195"/>
      <c r="AH54" t="e">
        <f t="shared" si="19"/>
        <v>#N/A</v>
      </c>
      <c r="AI54" t="e">
        <f t="shared" si="8"/>
        <v>#N/A</v>
      </c>
      <c r="AJ54" s="197" t="e">
        <f t="shared" si="20"/>
        <v>#N/A</v>
      </c>
      <c r="AK54" s="197" t="e">
        <f t="shared" si="21"/>
        <v>#N/A</v>
      </c>
      <c r="AL54" t="e">
        <f t="shared" si="9"/>
        <v>#N/A</v>
      </c>
      <c r="AM54" s="197" t="e">
        <f t="shared" si="22"/>
        <v>#N/A</v>
      </c>
      <c r="AN54" s="197" t="e">
        <f t="shared" si="23"/>
        <v>#N/A</v>
      </c>
      <c r="AO54" t="e">
        <f t="shared" si="24"/>
        <v>#N/A</v>
      </c>
      <c r="AQ54" s="271"/>
      <c r="AR54" s="227"/>
      <c r="AS54" s="3"/>
      <c r="AT54" s="81"/>
    </row>
    <row r="55" spans="1:50">
      <c r="A55" s="38"/>
      <c r="B55" s="39" t="s">
        <v>16</v>
      </c>
      <c r="C55" s="56"/>
      <c r="D55" s="57"/>
      <c r="E55" s="38"/>
      <c r="F55" s="38"/>
      <c r="S55" s="192"/>
      <c r="AB55" s="192"/>
      <c r="AC55" s="193"/>
      <c r="AD55" s="194"/>
      <c r="AE55" s="193"/>
      <c r="AF55" s="194"/>
      <c r="AG55" s="195"/>
      <c r="AH55" t="e">
        <f t="shared" si="19"/>
        <v>#N/A</v>
      </c>
      <c r="AI55" t="e">
        <f t="shared" si="8"/>
        <v>#N/A</v>
      </c>
      <c r="AJ55" s="197" t="e">
        <f t="shared" si="20"/>
        <v>#N/A</v>
      </c>
      <c r="AK55" s="197" t="e">
        <f t="shared" si="21"/>
        <v>#N/A</v>
      </c>
      <c r="AL55" t="e">
        <f t="shared" si="9"/>
        <v>#N/A</v>
      </c>
      <c r="AM55" s="197" t="e">
        <f t="shared" si="22"/>
        <v>#N/A</v>
      </c>
      <c r="AN55" s="197" t="e">
        <f t="shared" si="23"/>
        <v>#N/A</v>
      </c>
      <c r="AO55" t="e">
        <f t="shared" si="24"/>
        <v>#N/A</v>
      </c>
      <c r="AQ55" s="271"/>
      <c r="AR55" s="227"/>
      <c r="AS55" s="3"/>
      <c r="AT55" s="81"/>
    </row>
    <row r="56" spans="1:50">
      <c r="A56" s="40" t="s">
        <v>17</v>
      </c>
      <c r="B56" s="39" t="s">
        <v>18</v>
      </c>
      <c r="E56" s="40" t="s">
        <v>19</v>
      </c>
      <c r="S56" s="192"/>
      <c r="AB56" s="192"/>
      <c r="AC56" s="193"/>
      <c r="AD56" s="194"/>
      <c r="AE56" s="193"/>
      <c r="AF56" s="194"/>
      <c r="AG56" s="195"/>
      <c r="AH56" t="e">
        <f t="shared" si="19"/>
        <v>#N/A</v>
      </c>
      <c r="AI56" t="e">
        <f t="shared" si="8"/>
        <v>#N/A</v>
      </c>
      <c r="AJ56" s="197" t="e">
        <f t="shared" si="20"/>
        <v>#N/A</v>
      </c>
      <c r="AK56" s="197" t="e">
        <f t="shared" si="21"/>
        <v>#N/A</v>
      </c>
      <c r="AL56" t="e">
        <f t="shared" si="9"/>
        <v>#N/A</v>
      </c>
      <c r="AM56" s="197" t="e">
        <f t="shared" si="22"/>
        <v>#N/A</v>
      </c>
      <c r="AN56" s="197" t="e">
        <f t="shared" si="23"/>
        <v>#N/A</v>
      </c>
      <c r="AO56" t="e">
        <f t="shared" si="24"/>
        <v>#N/A</v>
      </c>
      <c r="AQ56" s="271"/>
      <c r="AR56" s="227"/>
      <c r="AS56" s="3"/>
      <c r="AT56" s="81"/>
    </row>
    <row r="57" spans="1:50" ht="15.75">
      <c r="A57" s="42"/>
      <c r="B57" s="39" t="s">
        <v>252</v>
      </c>
      <c r="C57" s="40" t="s">
        <v>20</v>
      </c>
      <c r="D57" s="40" t="s">
        <v>21</v>
      </c>
      <c r="E57" s="40" t="s">
        <v>22</v>
      </c>
      <c r="F57" s="40" t="s">
        <v>23</v>
      </c>
      <c r="S57" s="192"/>
      <c r="AB57" s="192"/>
      <c r="AC57" s="193"/>
      <c r="AD57" s="194"/>
      <c r="AE57" s="193"/>
      <c r="AF57" s="194"/>
      <c r="AG57" s="195"/>
      <c r="AH57" t="e">
        <f t="shared" si="19"/>
        <v>#N/A</v>
      </c>
      <c r="AI57" t="e">
        <f t="shared" si="8"/>
        <v>#N/A</v>
      </c>
      <c r="AJ57" s="197" t="e">
        <f t="shared" si="20"/>
        <v>#N/A</v>
      </c>
      <c r="AK57" s="197" t="e">
        <f t="shared" si="21"/>
        <v>#N/A</v>
      </c>
      <c r="AL57" t="e">
        <f t="shared" si="9"/>
        <v>#N/A</v>
      </c>
      <c r="AM57" s="197" t="e">
        <f t="shared" si="22"/>
        <v>#N/A</v>
      </c>
      <c r="AN57" s="197" t="e">
        <f t="shared" si="23"/>
        <v>#N/A</v>
      </c>
      <c r="AO57" t="e">
        <f t="shared" si="24"/>
        <v>#N/A</v>
      </c>
      <c r="AQ57" s="271"/>
      <c r="AR57" s="227"/>
      <c r="AS57" s="3"/>
      <c r="AT57" s="81"/>
    </row>
    <row r="58" spans="1:50">
      <c r="A58" s="43" t="s">
        <v>279</v>
      </c>
      <c r="B58" s="212">
        <f>R_standard_uncertainty</f>
        <v>32.647086957923001</v>
      </c>
      <c r="C58" s="44">
        <f>B58^2</f>
        <v>1065.8322868381861</v>
      </c>
      <c r="D58" s="55" t="s">
        <v>130</v>
      </c>
      <c r="E58" s="228">
        <f>R_v</f>
        <v>35.986908955287419</v>
      </c>
      <c r="F58" s="44">
        <f>B58^4/E58</f>
        <v>31566.991904699538</v>
      </c>
      <c r="G58" t="s">
        <v>280</v>
      </c>
      <c r="S58" s="192"/>
      <c r="AB58" s="192"/>
      <c r="AC58" s="193"/>
      <c r="AD58" s="194"/>
      <c r="AE58" s="193"/>
      <c r="AF58" s="194"/>
      <c r="AG58" s="195"/>
      <c r="AH58" t="e">
        <f t="shared" si="19"/>
        <v>#N/A</v>
      </c>
      <c r="AI58" t="e">
        <f t="shared" si="8"/>
        <v>#N/A</v>
      </c>
      <c r="AJ58" s="197" t="e">
        <f t="shared" si="20"/>
        <v>#N/A</v>
      </c>
      <c r="AK58" s="197" t="e">
        <f t="shared" si="21"/>
        <v>#N/A</v>
      </c>
      <c r="AL58" t="e">
        <f t="shared" si="9"/>
        <v>#N/A</v>
      </c>
      <c r="AM58" s="197" t="e">
        <f t="shared" si="22"/>
        <v>#N/A</v>
      </c>
      <c r="AN58" s="197" t="e">
        <f t="shared" si="23"/>
        <v>#N/A</v>
      </c>
      <c r="AO58" t="e">
        <f t="shared" si="24"/>
        <v>#N/A</v>
      </c>
      <c r="AQ58" s="271"/>
      <c r="AR58" s="227"/>
      <c r="AS58" s="3"/>
      <c r="AT58" s="81"/>
    </row>
    <row r="59" spans="1:50">
      <c r="A59" s="43" t="s">
        <v>174</v>
      </c>
      <c r="B59" s="229">
        <v>0</v>
      </c>
      <c r="C59" s="44">
        <f>B59^2</f>
        <v>0</v>
      </c>
      <c r="D59" s="45">
        <v>30</v>
      </c>
      <c r="E59" s="46">
        <f>0.5*(1/(0.01*D59)^2)</f>
        <v>5.5555555555555554</v>
      </c>
      <c r="F59" s="44">
        <f>B59^4/E59</f>
        <v>0</v>
      </c>
      <c r="S59" s="192"/>
      <c r="AB59" s="192"/>
      <c r="AC59" s="193"/>
      <c r="AD59" s="194"/>
      <c r="AE59" s="193"/>
      <c r="AF59" s="194"/>
      <c r="AG59" s="195"/>
      <c r="AH59" t="e">
        <f t="shared" si="19"/>
        <v>#N/A</v>
      </c>
      <c r="AI59" t="e">
        <f t="shared" si="8"/>
        <v>#N/A</v>
      </c>
      <c r="AJ59" s="197" t="e">
        <f t="shared" si="20"/>
        <v>#N/A</v>
      </c>
      <c r="AK59" s="197" t="e">
        <f t="shared" si="21"/>
        <v>#N/A</v>
      </c>
      <c r="AL59" t="e">
        <f t="shared" si="9"/>
        <v>#N/A</v>
      </c>
      <c r="AM59" s="197" t="e">
        <f t="shared" si="22"/>
        <v>#N/A</v>
      </c>
      <c r="AN59" s="197" t="e">
        <f t="shared" si="23"/>
        <v>#N/A</v>
      </c>
      <c r="AO59" t="e">
        <f t="shared" si="24"/>
        <v>#N/A</v>
      </c>
      <c r="AQ59" s="271"/>
      <c r="AR59" s="227"/>
      <c r="AS59" s="3"/>
      <c r="AT59" s="81"/>
    </row>
    <row r="60" spans="1:50">
      <c r="A60" s="43" t="s">
        <v>133</v>
      </c>
      <c r="B60" s="206">
        <f>SQRT((VLOOKUP(label, Params,2,FALSE)*0.5)^2+(0.5*VLOOKUP(label, Params,3,FALSE))^2)*D34</f>
        <v>1139.6198593926001</v>
      </c>
      <c r="C60" s="44">
        <f>B60^2</f>
        <v>1298733.4239220098</v>
      </c>
      <c r="D60" s="45">
        <v>20</v>
      </c>
      <c r="E60" s="46">
        <f>0.5*(1/(0.01*D60)^2)</f>
        <v>12.499999999999998</v>
      </c>
      <c r="F60" s="44">
        <f>B60^4/E60</f>
        <v>134936680512.97496</v>
      </c>
      <c r="G60" t="s">
        <v>281</v>
      </c>
    </row>
    <row r="61" spans="1:50">
      <c r="A61" s="43" t="s">
        <v>282</v>
      </c>
      <c r="B61" s="206">
        <f>VLOOKUP(label,Params,7,FALSE)</f>
        <v>0</v>
      </c>
      <c r="C61" s="207">
        <f>B61^2</f>
        <v>0</v>
      </c>
      <c r="D61" s="45">
        <v>30</v>
      </c>
      <c r="E61" s="46">
        <f>0.5*(1/(0.01*D61)^2)</f>
        <v>5.5555555555555554</v>
      </c>
      <c r="F61" s="44">
        <f>B61^4/E61</f>
        <v>0</v>
      </c>
      <c r="G61" t="s">
        <v>283</v>
      </c>
    </row>
    <row r="62" spans="1:50" ht="13.5" thickBot="1">
      <c r="B62" s="50" t="s">
        <v>24</v>
      </c>
      <c r="C62" s="225">
        <f>SUM(C58:C61)</f>
        <v>1299799.256208848</v>
      </c>
      <c r="E62" s="23" t="s">
        <v>25</v>
      </c>
      <c r="F62" s="44">
        <f>SUM(F58:F61)</f>
        <v>134936712079.96686</v>
      </c>
    </row>
    <row r="63" spans="1:50">
      <c r="B63" s="50" t="s">
        <v>261</v>
      </c>
      <c r="C63" s="209">
        <f>SQRT(C62)</f>
        <v>1140.0873897245106</v>
      </c>
      <c r="E63" s="51" t="s">
        <v>26</v>
      </c>
      <c r="F63" s="215">
        <f>C63^4/F62</f>
        <v>12.520522253720305</v>
      </c>
      <c r="G63" s="100"/>
    </row>
    <row r="64" spans="1:50">
      <c r="B64" s="30"/>
      <c r="E64" s="52" t="s">
        <v>12</v>
      </c>
      <c r="F64" s="230">
        <f>$G$3+$G$4/F63+$G$5/F63^2+$G$6/F63^3</f>
        <v>2.1611893636399615</v>
      </c>
      <c r="G64" s="100"/>
    </row>
    <row r="65" spans="1:7" ht="13.5" thickBot="1">
      <c r="A65" s="23" t="s">
        <v>262</v>
      </c>
      <c r="B65" s="30"/>
      <c r="E65" s="53" t="s">
        <v>129</v>
      </c>
      <c r="F65" s="231">
        <f>F64*C63</f>
        <v>2463.9447402926598</v>
      </c>
      <c r="G65" s="100"/>
    </row>
    <row r="66" spans="1:7">
      <c r="A66" s="25" t="s">
        <v>284</v>
      </c>
      <c r="B66" s="30"/>
      <c r="F66" s="232">
        <f>F65*VLOOKUP(VLOOKUP(label,Results,2,FALSE),multiplier,5,FALSE)</f>
        <v>2.46394474029266E-2</v>
      </c>
      <c r="G66" s="232" t="str">
        <f>VLOOKUP(label,Results,8,FALSE)</f>
        <v>ohm</v>
      </c>
    </row>
    <row r="67" spans="1:7">
      <c r="B67" s="30"/>
      <c r="E67" s="25"/>
      <c r="F67" s="54"/>
    </row>
    <row r="68" spans="1:7" ht="15.75">
      <c r="A68" s="34" t="s">
        <v>291</v>
      </c>
      <c r="B68" s="35"/>
      <c r="C68" s="36"/>
      <c r="D68" s="233"/>
      <c r="F68" s="25" t="s">
        <v>15</v>
      </c>
    </row>
    <row r="69" spans="1:7">
      <c r="A69" s="38"/>
      <c r="B69" s="39" t="s">
        <v>16</v>
      </c>
      <c r="C69" s="38"/>
      <c r="D69" s="38"/>
      <c r="E69" s="38"/>
      <c r="F69" s="38"/>
    </row>
    <row r="70" spans="1:7">
      <c r="A70" s="40" t="s">
        <v>17</v>
      </c>
      <c r="B70" s="39" t="s">
        <v>18</v>
      </c>
      <c r="E70" s="40" t="s">
        <v>19</v>
      </c>
    </row>
    <row r="71" spans="1:7" ht="15.75">
      <c r="A71" s="42"/>
      <c r="B71" s="39" t="s">
        <v>252</v>
      </c>
      <c r="C71" s="40" t="s">
        <v>20</v>
      </c>
      <c r="D71" s="40" t="s">
        <v>21</v>
      </c>
      <c r="E71" s="40" t="s">
        <v>22</v>
      </c>
      <c r="F71" s="40" t="s">
        <v>23</v>
      </c>
    </row>
    <row r="72" spans="1:7">
      <c r="A72" s="43" t="s">
        <v>279</v>
      </c>
      <c r="B72" s="234">
        <f>L_standard_uncertainty</f>
        <v>2.5730227159301435</v>
      </c>
      <c r="C72" s="207">
        <f>B72^2</f>
        <v>6.6204458966925319</v>
      </c>
      <c r="D72" s="55" t="s">
        <v>130</v>
      </c>
      <c r="E72" s="228">
        <f>L_v</f>
        <v>14.722144162424373</v>
      </c>
      <c r="F72" s="207">
        <f>B72^4/E72</f>
        <v>2.9771685012365219</v>
      </c>
      <c r="G72" s="100"/>
    </row>
    <row r="73" spans="1:7">
      <c r="A73" s="43" t="s">
        <v>133</v>
      </c>
      <c r="B73" s="206">
        <f>SQRT((VLOOKUP(label, Params,4,FALSE)*0.5)^2+(0.5*VLOOKUP(label, Params,5,FALSE))^2)*D11</f>
        <v>0.99523171191449178</v>
      </c>
      <c r="C73" s="207">
        <f>B73^2</f>
        <v>0.99048616040024995</v>
      </c>
      <c r="D73" s="45">
        <v>30</v>
      </c>
      <c r="E73" s="228">
        <f>0.5*(1/(0.01*D73)^2)</f>
        <v>5.5555555555555554</v>
      </c>
      <c r="F73" s="207">
        <f>B73^4/E73</f>
        <v>0.17659131010999735</v>
      </c>
      <c r="G73" s="235" t="s">
        <v>285</v>
      </c>
    </row>
    <row r="74" spans="1:7">
      <c r="A74" s="43" t="s">
        <v>174</v>
      </c>
      <c r="B74" s="206">
        <f>0.00002*D11</f>
        <v>1.9879800000000001</v>
      </c>
      <c r="C74" s="207">
        <f>B74^2</f>
        <v>3.9520644804000002</v>
      </c>
      <c r="D74" s="45">
        <v>30</v>
      </c>
      <c r="E74" s="228">
        <f>0.5*(1/(0.01*D74)^2)</f>
        <v>5.5555555555555554</v>
      </c>
      <c r="F74" s="207">
        <f>B74^4/E74</f>
        <v>2.8113864583030783</v>
      </c>
      <c r="G74" s="100" t="s">
        <v>293</v>
      </c>
    </row>
    <row r="75" spans="1:7">
      <c r="A75" s="43" t="s">
        <v>286</v>
      </c>
      <c r="B75" s="206">
        <f>VLOOKUP(label,Params,6,FALSE)</f>
        <v>0</v>
      </c>
      <c r="C75" s="207">
        <f>B75^2</f>
        <v>0</v>
      </c>
      <c r="D75" s="45">
        <v>30</v>
      </c>
      <c r="E75" s="228">
        <f>0.5*(1/(0.01*D75)^2)</f>
        <v>5.5555555555555554</v>
      </c>
      <c r="F75" s="207">
        <f>B75^4/E75</f>
        <v>0</v>
      </c>
      <c r="G75" s="100" t="s">
        <v>283</v>
      </c>
    </row>
    <row r="76" spans="1:7" ht="13.5" thickBot="1">
      <c r="B76" s="236" t="s">
        <v>24</v>
      </c>
      <c r="C76" s="225">
        <f>SUM(C72:C75)</f>
        <v>11.562996537492783</v>
      </c>
      <c r="E76" s="237" t="s">
        <v>25</v>
      </c>
      <c r="F76" s="207">
        <f>SUM(F72:F75)</f>
        <v>5.9651462696495976</v>
      </c>
      <c r="G76" s="100"/>
    </row>
    <row r="77" spans="1:7">
      <c r="B77" s="236" t="s">
        <v>287</v>
      </c>
      <c r="C77" s="226">
        <f>SQRT(C76)</f>
        <v>3.4004406387250437</v>
      </c>
      <c r="E77" s="238" t="s">
        <v>26</v>
      </c>
      <c r="F77" s="215">
        <f>C77^4/F76</f>
        <v>22.414016837498941</v>
      </c>
      <c r="G77" s="100"/>
    </row>
    <row r="78" spans="1:7">
      <c r="B78" s="30"/>
      <c r="E78" s="239" t="s">
        <v>12</v>
      </c>
      <c r="F78" s="230">
        <f>$G$3+$G$4/F77+$G$5/F77^2+$G$6/F77^3</f>
        <v>2.0689921097547925</v>
      </c>
      <c r="G78" s="100"/>
    </row>
    <row r="79" spans="1:7" ht="13.5" thickBot="1">
      <c r="A79" s="23" t="s">
        <v>262</v>
      </c>
      <c r="B79" s="30"/>
      <c r="E79" s="240" t="s">
        <v>288</v>
      </c>
      <c r="F79" s="241">
        <f>F78*C77</f>
        <v>7.0354848512116623</v>
      </c>
      <c r="G79" s="100"/>
    </row>
    <row r="80" spans="1:7">
      <c r="A80" s="25" t="s">
        <v>284</v>
      </c>
      <c r="B80" s="30"/>
      <c r="E80" s="100"/>
      <c r="F80" s="232">
        <f>F79*VLOOKUP(VLOOKUP(label,Results,2,FALSE),multiplier,2,FALSE)</f>
        <v>7.0354848512116632E-5</v>
      </c>
      <c r="G80" s="242" t="str">
        <f>VLOOKUP(label,Results,6,FALSE)</f>
        <v>milliH</v>
      </c>
    </row>
  </sheetData>
  <phoneticPr fontId="21" type="noConversion"/>
  <conditionalFormatting sqref="AV5:AV53 AX5:AX53 AR5:AR59 AT5:AT59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75" right="0.75" top="1" bottom="1" header="0.5" footer="0.5"/>
  <pageSetup paperSize="9" scale="24" orientation="landscape" r:id="rId1"/>
  <headerFooter alignWithMargins="0">
    <oddHeader>&amp;A</oddHeader>
    <oddFooter>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G34"/>
  <sheetViews>
    <sheetView showGridLines="0" topLeftCell="A10" workbookViewId="0">
      <selection activeCell="C21" sqref="C21:I33"/>
    </sheetView>
  </sheetViews>
  <sheetFormatPr defaultRowHeight="12.75"/>
  <cols>
    <col min="1" max="1" width="10.85546875" customWidth="1"/>
    <col min="3" max="3" width="10.28515625" style="3" customWidth="1"/>
    <col min="4" max="4" width="14.5703125" customWidth="1"/>
    <col min="5" max="5" width="12.28515625" customWidth="1"/>
    <col min="6" max="6" width="10.140625" customWidth="1"/>
    <col min="7" max="7" width="12.85546875" customWidth="1"/>
    <col min="8" max="8" width="12.5703125" customWidth="1"/>
    <col min="9" max="9" width="10.42578125" customWidth="1"/>
    <col min="10" max="10" width="7.42578125" customWidth="1"/>
    <col min="11" max="11" width="12" customWidth="1"/>
    <col min="12" max="12" width="12.28515625" customWidth="1"/>
    <col min="13" max="13" width="14.28515625" customWidth="1"/>
    <col min="14" max="15" width="10.140625" bestFit="1" customWidth="1"/>
    <col min="18" max="18" width="11" customWidth="1"/>
    <col min="19" max="20" width="11.140625" customWidth="1"/>
  </cols>
  <sheetData>
    <row r="1" spans="1:33">
      <c r="A1" s="26" t="s">
        <v>170</v>
      </c>
      <c r="C1"/>
      <c r="D1" t="s">
        <v>183</v>
      </c>
      <c r="E1" s="81">
        <f>'Room data logger'!C55</f>
        <v>43.073469387755118</v>
      </c>
      <c r="F1" t="s">
        <v>184</v>
      </c>
    </row>
    <row r="2" spans="1:33" ht="15.75">
      <c r="C2"/>
      <c r="D2" t="s">
        <v>185</v>
      </c>
      <c r="E2" s="77">
        <f>H3</f>
        <v>19.484999999999996</v>
      </c>
      <c r="L2" s="158">
        <v>39997</v>
      </c>
    </row>
    <row r="3" spans="1:33">
      <c r="C3"/>
      <c r="G3" s="144" t="s">
        <v>185</v>
      </c>
      <c r="H3">
        <f>AVERAGE(Results!L12:L31)</f>
        <v>19.484999999999996</v>
      </c>
      <c r="L3" s="244" t="s">
        <v>294</v>
      </c>
      <c r="M3" s="244">
        <v>2009</v>
      </c>
      <c r="N3" s="244"/>
      <c r="O3" s="244"/>
      <c r="P3" s="244"/>
      <c r="Q3" s="244"/>
      <c r="R3" s="244"/>
    </row>
    <row r="4" spans="1:33">
      <c r="C4" s="15"/>
      <c r="D4" s="15"/>
      <c r="E4" s="15"/>
      <c r="F4" s="15"/>
      <c r="G4" s="15"/>
      <c r="H4" s="15"/>
      <c r="I4" s="80"/>
      <c r="J4" s="15"/>
      <c r="L4" s="244"/>
      <c r="M4" s="244"/>
      <c r="N4" s="244"/>
      <c r="O4" s="244"/>
      <c r="P4" s="244"/>
      <c r="Q4" s="244"/>
      <c r="R4" s="244"/>
    </row>
    <row r="5" spans="1:33">
      <c r="B5" s="78" t="s">
        <v>134</v>
      </c>
      <c r="C5" s="120" t="s">
        <v>144</v>
      </c>
      <c r="D5" s="121" t="s">
        <v>142</v>
      </c>
      <c r="E5" s="122" t="s">
        <v>135</v>
      </c>
      <c r="F5" s="123" t="s">
        <v>168</v>
      </c>
      <c r="G5" s="122" t="s">
        <v>143</v>
      </c>
      <c r="H5" s="121" t="s">
        <v>135</v>
      </c>
      <c r="I5" s="124" t="s">
        <v>145</v>
      </c>
      <c r="L5" s="245" t="s">
        <v>144</v>
      </c>
      <c r="M5" s="246" t="s">
        <v>142</v>
      </c>
      <c r="N5" s="247" t="s">
        <v>135</v>
      </c>
      <c r="O5" s="248" t="s">
        <v>168</v>
      </c>
      <c r="P5" s="247" t="s">
        <v>143</v>
      </c>
      <c r="Q5" s="246" t="s">
        <v>135</v>
      </c>
      <c r="R5" s="249" t="s">
        <v>145</v>
      </c>
      <c r="AA5" s="120" t="s">
        <v>144</v>
      </c>
      <c r="AB5" s="121" t="s">
        <v>142</v>
      </c>
      <c r="AC5" s="122" t="s">
        <v>135</v>
      </c>
      <c r="AD5" s="123" t="s">
        <v>168</v>
      </c>
      <c r="AE5" s="122" t="s">
        <v>143</v>
      </c>
      <c r="AF5" s="121" t="s">
        <v>135</v>
      </c>
      <c r="AG5" s="124" t="s">
        <v>145</v>
      </c>
    </row>
    <row r="6" spans="1:33">
      <c r="B6" s="78"/>
      <c r="C6" s="125"/>
      <c r="D6" s="126"/>
      <c r="E6" s="127" t="s">
        <v>136</v>
      </c>
      <c r="F6" s="128" t="s">
        <v>169</v>
      </c>
      <c r="G6" s="127"/>
      <c r="H6" s="126" t="s">
        <v>136</v>
      </c>
      <c r="I6" s="129" t="s">
        <v>169</v>
      </c>
      <c r="L6" s="250"/>
      <c r="M6" s="251"/>
      <c r="N6" s="252" t="s">
        <v>136</v>
      </c>
      <c r="O6" s="253" t="s">
        <v>169</v>
      </c>
      <c r="P6" s="252"/>
      <c r="Q6" s="251" t="s">
        <v>136</v>
      </c>
      <c r="R6" s="254" t="s">
        <v>169</v>
      </c>
      <c r="AA6" s="125"/>
      <c r="AB6" s="126"/>
      <c r="AC6" s="127" t="s">
        <v>136</v>
      </c>
      <c r="AD6" s="128" t="s">
        <v>169</v>
      </c>
      <c r="AE6" s="127"/>
      <c r="AF6" s="126" t="s">
        <v>136</v>
      </c>
      <c r="AG6" s="129" t="s">
        <v>169</v>
      </c>
    </row>
    <row r="7" spans="1:33" ht="15" customHeight="1">
      <c r="B7" s="78"/>
      <c r="C7" s="130"/>
      <c r="D7" s="326" t="s">
        <v>175</v>
      </c>
      <c r="E7" s="327" t="s">
        <v>175</v>
      </c>
      <c r="F7" s="328"/>
      <c r="G7" s="327" t="s">
        <v>176</v>
      </c>
      <c r="H7" s="326" t="s">
        <v>176</v>
      </c>
      <c r="I7" s="329"/>
      <c r="L7" s="255"/>
      <c r="M7" s="256" t="s">
        <v>190</v>
      </c>
      <c r="N7" s="257" t="s">
        <v>190</v>
      </c>
      <c r="O7" s="258"/>
      <c r="P7" s="257" t="s">
        <v>191</v>
      </c>
      <c r="Q7" s="256" t="s">
        <v>191</v>
      </c>
      <c r="R7" s="259"/>
      <c r="AA7" s="130"/>
      <c r="AB7" s="131" t="s">
        <v>190</v>
      </c>
      <c r="AC7" s="132" t="s">
        <v>190</v>
      </c>
      <c r="AD7" s="133"/>
      <c r="AE7" s="132" t="s">
        <v>191</v>
      </c>
      <c r="AF7" s="131" t="s">
        <v>191</v>
      </c>
      <c r="AG7" s="134"/>
    </row>
    <row r="8" spans="1:33">
      <c r="B8" s="78" t="s">
        <v>34</v>
      </c>
      <c r="C8" s="125">
        <v>1</v>
      </c>
      <c r="D8" s="189">
        <f t="shared" ref="D8:D17" si="0">VLOOKUP(B8,Rangex,5,FALSE)*1000</f>
        <v>994.1994958187754</v>
      </c>
      <c r="E8" s="321">
        <f t="shared" ref="E8:E17" si="1">VLOOKUP($B8,ub_uncertainty,2,FALSE)*1000</f>
        <v>7.0354848512116638E-2</v>
      </c>
      <c r="F8" s="322">
        <f t="shared" ref="F8:F17" si="2">VLOOKUP($B8,ub_uncertainty,3,FALSE)</f>
        <v>2.0689921097547925</v>
      </c>
      <c r="G8" s="323">
        <f t="shared" ref="G8:G17" si="3">VLOOKUP(B8,Rangex,7,FALSE)</f>
        <v>5.6914914979891744</v>
      </c>
      <c r="H8" s="324">
        <f>VLOOKUP($B8,ub_uncertainty,4,FALSE)</f>
        <v>2.46394474029266E-2</v>
      </c>
      <c r="I8" s="188">
        <f t="shared" ref="I8:I17" si="4">VLOOKUP($B8,ub_uncertainty,5,FALSE)</f>
        <v>2.1611893636399615</v>
      </c>
      <c r="J8" s="80"/>
      <c r="L8" s="250">
        <v>1</v>
      </c>
      <c r="M8" s="260">
        <v>994.06462458559236</v>
      </c>
      <c r="N8" s="261">
        <v>6.568141814259279E-2</v>
      </c>
      <c r="O8" s="253">
        <v>2.0503423179903106</v>
      </c>
      <c r="P8" s="262">
        <v>5.677548749095207</v>
      </c>
      <c r="Q8" s="263">
        <v>2.4544537160157656E-2</v>
      </c>
      <c r="R8" s="254">
        <v>2.161436466703142</v>
      </c>
      <c r="AA8" s="125">
        <v>1</v>
      </c>
      <c r="AB8" s="151">
        <v>994.06462458559236</v>
      </c>
      <c r="AC8" s="153">
        <v>6.568141814259279E-2</v>
      </c>
      <c r="AD8" s="155">
        <v>2.0503423179903106</v>
      </c>
      <c r="AE8" s="152">
        <v>5.677548749095207</v>
      </c>
      <c r="AF8" s="154">
        <v>2.4544537160157656E-2</v>
      </c>
      <c r="AG8" s="156">
        <v>2.161436466703142</v>
      </c>
    </row>
    <row r="9" spans="1:33">
      <c r="B9" s="78" t="s">
        <v>35</v>
      </c>
      <c r="C9" s="125">
        <v>2</v>
      </c>
      <c r="D9" s="189">
        <f t="shared" si="0"/>
        <v>1980.7774623034068</v>
      </c>
      <c r="E9" s="321">
        <f t="shared" si="1"/>
        <v>0.12681450620557366</v>
      </c>
      <c r="F9" s="322">
        <f t="shared" si="2"/>
        <v>2.0918646476835807</v>
      </c>
      <c r="G9" s="321">
        <f t="shared" si="3"/>
        <v>8.3824613285417247</v>
      </c>
      <c r="H9" s="325">
        <f t="shared" ref="H9:H17" si="5">VLOOKUP($B9,ub_uncertainty,4,FALSE)</f>
        <v>3.6289917965254666E-2</v>
      </c>
      <c r="I9" s="188">
        <f t="shared" si="4"/>
        <v>2.1611657316693687</v>
      </c>
      <c r="J9" s="80"/>
      <c r="L9" s="250">
        <v>2</v>
      </c>
      <c r="M9" s="260">
        <v>1980.507910351655</v>
      </c>
      <c r="N9" s="261">
        <v>0.12155553261399499</v>
      </c>
      <c r="O9" s="253">
        <v>2.0650027804738258</v>
      </c>
      <c r="P9" s="261">
        <v>8.3614741573688409</v>
      </c>
      <c r="Q9" s="260">
        <v>3.6146851937968155E-2</v>
      </c>
      <c r="R9" s="254">
        <v>2.1614658175970463</v>
      </c>
      <c r="AA9" s="125">
        <v>2</v>
      </c>
      <c r="AB9" s="151">
        <v>1980.507910351655</v>
      </c>
      <c r="AC9" s="153">
        <v>0.12155553261399499</v>
      </c>
      <c r="AD9" s="155">
        <v>2.0650027804738258</v>
      </c>
      <c r="AE9" s="153">
        <v>8.3614741573688409</v>
      </c>
      <c r="AF9" s="151">
        <v>3.6146851937968155E-2</v>
      </c>
      <c r="AG9" s="156">
        <v>2.1614658175970463</v>
      </c>
    </row>
    <row r="10" spans="1:33">
      <c r="B10" s="78" t="s">
        <v>36</v>
      </c>
      <c r="C10" s="125">
        <v>3</v>
      </c>
      <c r="D10" s="135">
        <f t="shared" si="0"/>
        <v>2969.7059004330827</v>
      </c>
      <c r="E10" s="321">
        <f t="shared" si="1"/>
        <v>0.18621611490830547</v>
      </c>
      <c r="F10" s="322">
        <f t="shared" si="2"/>
        <v>2.1049841430547538</v>
      </c>
      <c r="G10" s="321">
        <f t="shared" si="3"/>
        <v>10.661872126260937</v>
      </c>
      <c r="H10" s="325">
        <f t="shared" si="5"/>
        <v>4.615965030486828E-2</v>
      </c>
      <c r="I10" s="129">
        <f t="shared" si="4"/>
        <v>2.1611208380101714</v>
      </c>
      <c r="J10" s="80"/>
      <c r="L10" s="250">
        <v>3</v>
      </c>
      <c r="M10" s="260">
        <v>2969.2816054942932</v>
      </c>
      <c r="N10" s="261">
        <v>0.17972597727546136</v>
      </c>
      <c r="O10" s="253">
        <v>2.0714289956524903</v>
      </c>
      <c r="P10" s="261">
        <v>10.635115808838302</v>
      </c>
      <c r="Q10" s="260">
        <v>4.5975788498306754E-2</v>
      </c>
      <c r="R10" s="254">
        <v>2.161471741360538</v>
      </c>
      <c r="AA10" s="125">
        <v>3</v>
      </c>
      <c r="AB10" s="135">
        <v>2969.2816054942932</v>
      </c>
      <c r="AC10" s="136">
        <v>0.17972597727546136</v>
      </c>
      <c r="AD10" s="128">
        <v>2.0714289956524903</v>
      </c>
      <c r="AE10" s="136">
        <v>10.635115808838302</v>
      </c>
      <c r="AF10" s="135">
        <v>4.5975788498306754E-2</v>
      </c>
      <c r="AG10" s="129">
        <v>2.161471741360538</v>
      </c>
    </row>
    <row r="11" spans="1:33">
      <c r="B11" s="78" t="s">
        <v>37</v>
      </c>
      <c r="C11" s="125">
        <v>4</v>
      </c>
      <c r="D11" s="135">
        <f t="shared" si="0"/>
        <v>3949.4224901155844</v>
      </c>
      <c r="E11" s="136">
        <f t="shared" si="1"/>
        <v>0.24566311735745949</v>
      </c>
      <c r="F11" s="128">
        <f t="shared" si="2"/>
        <v>2.1113631382487044</v>
      </c>
      <c r="G11" s="136">
        <f t="shared" si="3"/>
        <v>12.646962161550064</v>
      </c>
      <c r="H11" s="325">
        <f t="shared" si="5"/>
        <v>5.4755824587075855E-2</v>
      </c>
      <c r="I11" s="129">
        <f t="shared" si="4"/>
        <v>2.1610729144666547</v>
      </c>
      <c r="J11" s="80"/>
      <c r="L11" s="250">
        <v>4</v>
      </c>
      <c r="M11" s="260">
        <v>3948.8536842144022</v>
      </c>
      <c r="N11" s="261">
        <v>0.23784992233010249</v>
      </c>
      <c r="O11" s="253">
        <v>2.0741144708594379</v>
      </c>
      <c r="P11" s="261">
        <v>12.615190461794949</v>
      </c>
      <c r="Q11" s="260">
        <v>5.4535761317777466E-2</v>
      </c>
      <c r="R11" s="254">
        <v>2.1614718591427411</v>
      </c>
      <c r="AA11" s="125">
        <v>4</v>
      </c>
      <c r="AB11" s="135">
        <v>3948.8536842144022</v>
      </c>
      <c r="AC11" s="136">
        <v>0.23784992233010249</v>
      </c>
      <c r="AD11" s="128">
        <v>2.0741144708594379</v>
      </c>
      <c r="AE11" s="136">
        <v>12.615190461794949</v>
      </c>
      <c r="AF11" s="135">
        <v>5.4535761317777466E-2</v>
      </c>
      <c r="AG11" s="129">
        <v>2.1614718591427411</v>
      </c>
    </row>
    <row r="12" spans="1:33">
      <c r="B12" s="78" t="s">
        <v>38</v>
      </c>
      <c r="C12" s="125">
        <v>5</v>
      </c>
      <c r="D12" s="135">
        <f t="shared" si="0"/>
        <v>4933.3499247451664</v>
      </c>
      <c r="E12" s="136">
        <f t="shared" si="1"/>
        <v>0.30556721734767073</v>
      </c>
      <c r="F12" s="128">
        <f t="shared" si="2"/>
        <v>2.1150498162178559</v>
      </c>
      <c r="G12" s="136">
        <f t="shared" si="3"/>
        <v>14.414976883576967</v>
      </c>
      <c r="H12" s="135">
        <f t="shared" si="5"/>
        <v>6.2412783356981166E-2</v>
      </c>
      <c r="I12" s="129">
        <f t="shared" si="4"/>
        <v>2.1610228592569287</v>
      </c>
      <c r="J12" s="80"/>
      <c r="L12" s="250">
        <v>5</v>
      </c>
      <c r="M12" s="260">
        <v>4932.5964955955924</v>
      </c>
      <c r="N12" s="261">
        <v>0.29641068199148124</v>
      </c>
      <c r="O12" s="253">
        <v>2.075480111128992</v>
      </c>
      <c r="P12" s="261">
        <v>14.378432559420149</v>
      </c>
      <c r="Q12" s="260">
        <v>6.2158452734892143E-2</v>
      </c>
      <c r="R12" s="254">
        <v>2.1614696573754344</v>
      </c>
      <c r="AA12" s="125">
        <v>5</v>
      </c>
      <c r="AB12" s="135">
        <v>4932.5964955955924</v>
      </c>
      <c r="AC12" s="136">
        <v>0.29641068199148124</v>
      </c>
      <c r="AD12" s="128">
        <v>2.075480111128992</v>
      </c>
      <c r="AE12" s="136">
        <v>14.378432559420149</v>
      </c>
      <c r="AF12" s="135">
        <v>6.2158452734892143E-2</v>
      </c>
      <c r="AG12" s="129">
        <v>2.1614696573754344</v>
      </c>
    </row>
    <row r="13" spans="1:33">
      <c r="B13" s="78" t="s">
        <v>39</v>
      </c>
      <c r="C13" s="125">
        <v>6</v>
      </c>
      <c r="D13" s="135">
        <f t="shared" si="0"/>
        <v>5915.9670964577226</v>
      </c>
      <c r="E13" s="136">
        <f t="shared" si="1"/>
        <v>0.36551399421712316</v>
      </c>
      <c r="F13" s="128">
        <f t="shared" si="2"/>
        <v>2.1173333526086289</v>
      </c>
      <c r="G13" s="136">
        <f t="shared" si="3"/>
        <v>16.100455783234331</v>
      </c>
      <c r="H13" s="135">
        <f t="shared" si="5"/>
        <v>6.971273800587853E-2</v>
      </c>
      <c r="I13" s="129">
        <f t="shared" si="4"/>
        <v>2.1609762229494116</v>
      </c>
      <c r="J13" s="80"/>
      <c r="L13" s="250">
        <v>6</v>
      </c>
      <c r="M13" s="260">
        <v>5915.0490803262319</v>
      </c>
      <c r="N13" s="261">
        <v>0.35499064244618639</v>
      </c>
      <c r="O13" s="253">
        <v>2.0762585686041564</v>
      </c>
      <c r="P13" s="261">
        <v>16.058829860054029</v>
      </c>
      <c r="Q13" s="260">
        <v>6.9423051736596006E-2</v>
      </c>
      <c r="R13" s="254">
        <v>2.1614668645824242</v>
      </c>
      <c r="AA13" s="125">
        <v>6</v>
      </c>
      <c r="AB13" s="135">
        <v>5915.0490803262319</v>
      </c>
      <c r="AC13" s="136">
        <v>0.35499064244618639</v>
      </c>
      <c r="AD13" s="128">
        <v>2.0762585686041564</v>
      </c>
      <c r="AE13" s="136">
        <v>16.058829860054029</v>
      </c>
      <c r="AF13" s="135">
        <v>6.9423051736596006E-2</v>
      </c>
      <c r="AG13" s="129">
        <v>2.1614668645824242</v>
      </c>
    </row>
    <row r="14" spans="1:33">
      <c r="B14" s="78" t="s">
        <v>40</v>
      </c>
      <c r="C14" s="125">
        <v>7</v>
      </c>
      <c r="D14" s="135">
        <f t="shared" si="0"/>
        <v>6892.8931261871721</v>
      </c>
      <c r="E14" s="136">
        <f t="shared" si="1"/>
        <v>0.42518958312958827</v>
      </c>
      <c r="F14" s="128">
        <f t="shared" si="2"/>
        <v>2.1188414032160767</v>
      </c>
      <c r="G14" s="136">
        <f t="shared" si="3"/>
        <v>17.743071659182036</v>
      </c>
      <c r="H14" s="135">
        <f t="shared" si="5"/>
        <v>7.6827316914593505E-2</v>
      </c>
      <c r="I14" s="129">
        <f t="shared" si="4"/>
        <v>2.1609343001944921</v>
      </c>
      <c r="J14" s="80"/>
      <c r="L14" s="250">
        <v>7</v>
      </c>
      <c r="M14" s="260">
        <v>6891.8206670916588</v>
      </c>
      <c r="N14" s="261">
        <v>0.41328668823587084</v>
      </c>
      <c r="O14" s="253">
        <v>2.0767415945863044</v>
      </c>
      <c r="P14" s="261">
        <v>17.696424682280998</v>
      </c>
      <c r="Q14" s="260">
        <v>7.65026432167729E-2</v>
      </c>
      <c r="R14" s="254">
        <v>2.1614640143246415</v>
      </c>
      <c r="AA14" s="125">
        <v>7</v>
      </c>
      <c r="AB14" s="135">
        <v>6891.8206670916588</v>
      </c>
      <c r="AC14" s="136">
        <v>0.41328668823587084</v>
      </c>
      <c r="AD14" s="128">
        <v>2.0767415945863044</v>
      </c>
      <c r="AE14" s="136">
        <v>17.696424682280998</v>
      </c>
      <c r="AF14" s="135">
        <v>7.65026432167729E-2</v>
      </c>
      <c r="AG14" s="129">
        <v>2.1614640143246415</v>
      </c>
    </row>
    <row r="15" spans="1:33">
      <c r="B15" s="78" t="s">
        <v>41</v>
      </c>
      <c r="C15" s="125">
        <v>8</v>
      </c>
      <c r="D15" s="135">
        <f t="shared" si="0"/>
        <v>7865.3282547735362</v>
      </c>
      <c r="E15" s="136">
        <f t="shared" si="1"/>
        <v>0.4846071532884238</v>
      </c>
      <c r="F15" s="128">
        <f t="shared" si="2"/>
        <v>2.1199614108329095</v>
      </c>
      <c r="G15" s="136">
        <f t="shared" si="3"/>
        <v>19.257578497864046</v>
      </c>
      <c r="H15" s="135">
        <f t="shared" si="5"/>
        <v>8.3387610319554065E-2</v>
      </c>
      <c r="I15" s="129">
        <f t="shared" si="4"/>
        <v>2.1608918728915971</v>
      </c>
      <c r="J15" s="80"/>
      <c r="L15" s="250">
        <v>8</v>
      </c>
      <c r="M15" s="260">
        <v>7864.1514737575153</v>
      </c>
      <c r="N15" s="261">
        <v>0.47134831784994147</v>
      </c>
      <c r="O15" s="253">
        <v>2.0770672360788165</v>
      </c>
      <c r="P15" s="261">
        <v>19.206342111559135</v>
      </c>
      <c r="Q15" s="260">
        <v>8.3030326697468612E-2</v>
      </c>
      <c r="R15" s="254">
        <v>2.1614607292046943</v>
      </c>
      <c r="AA15" s="125">
        <v>8</v>
      </c>
      <c r="AB15" s="135">
        <v>7864.1514737575153</v>
      </c>
      <c r="AC15" s="136">
        <v>0.47134831784994147</v>
      </c>
      <c r="AD15" s="128">
        <v>2.0770672360788165</v>
      </c>
      <c r="AE15" s="136">
        <v>19.206342111559135</v>
      </c>
      <c r="AF15" s="135">
        <v>8.3030326697468612E-2</v>
      </c>
      <c r="AG15" s="129">
        <v>2.1614607292046943</v>
      </c>
    </row>
    <row r="16" spans="1:33">
      <c r="B16" s="78" t="s">
        <v>42</v>
      </c>
      <c r="C16" s="125">
        <v>9</v>
      </c>
      <c r="D16" s="135">
        <f t="shared" si="0"/>
        <v>8834.5327350988391</v>
      </c>
      <c r="E16" s="136">
        <f t="shared" si="1"/>
        <v>0.54384988417887448</v>
      </c>
      <c r="F16" s="128">
        <f t="shared" si="2"/>
        <v>2.1208049087090437</v>
      </c>
      <c r="G16" s="136">
        <f t="shared" si="3"/>
        <v>20.713051172066791</v>
      </c>
      <c r="H16" s="135">
        <f t="shared" si="5"/>
        <v>8.9692541470112908E-2</v>
      </c>
      <c r="I16" s="129">
        <f t="shared" si="4"/>
        <v>2.1608513129982896</v>
      </c>
      <c r="J16" s="80"/>
      <c r="L16" s="250">
        <v>9</v>
      </c>
      <c r="M16" s="260">
        <v>8833.2017041336039</v>
      </c>
      <c r="N16" s="261">
        <v>0.52923558486057276</v>
      </c>
      <c r="O16" s="253">
        <v>2.0772969764887752</v>
      </c>
      <c r="P16" s="261">
        <v>20.657266124920831</v>
      </c>
      <c r="Q16" s="260">
        <v>8.9303007460961925E-2</v>
      </c>
      <c r="R16" s="254">
        <v>2.1614574094292225</v>
      </c>
      <c r="AA16" s="125">
        <v>9</v>
      </c>
      <c r="AB16" s="135">
        <v>8833.2017041336039</v>
      </c>
      <c r="AC16" s="136">
        <v>0.52923558486057276</v>
      </c>
      <c r="AD16" s="128">
        <v>2.0772969764887752</v>
      </c>
      <c r="AE16" s="136">
        <v>20.657266124920831</v>
      </c>
      <c r="AF16" s="135">
        <v>8.9303007460961925E-2</v>
      </c>
      <c r="AG16" s="129">
        <v>2.1614574094292225</v>
      </c>
    </row>
    <row r="17" spans="1:33">
      <c r="B17" s="78" t="s">
        <v>43</v>
      </c>
      <c r="C17" s="130">
        <v>10</v>
      </c>
      <c r="D17" s="139">
        <f t="shared" si="0"/>
        <v>9805.067482355169</v>
      </c>
      <c r="E17" s="140">
        <f t="shared" si="1"/>
        <v>0.6032087169134106</v>
      </c>
      <c r="F17" s="133">
        <f t="shared" si="2"/>
        <v>2.1214333328849317</v>
      </c>
      <c r="G17" s="140">
        <f t="shared" si="3"/>
        <v>22.189995360946309</v>
      </c>
      <c r="H17" s="139">
        <f t="shared" si="5"/>
        <v>9.6090494144193281E-2</v>
      </c>
      <c r="I17" s="134">
        <f t="shared" si="4"/>
        <v>2.1608154693760713</v>
      </c>
      <c r="J17" s="80"/>
      <c r="L17" s="255">
        <v>10</v>
      </c>
      <c r="M17" s="264">
        <v>9803.6321769730675</v>
      </c>
      <c r="N17" s="265">
        <v>0.5872223511692064</v>
      </c>
      <c r="O17" s="258">
        <v>2.0774642558890282</v>
      </c>
      <c r="P17" s="265">
        <v>22.129571376327846</v>
      </c>
      <c r="Q17" s="264">
        <v>9.5668127962578578E-2</v>
      </c>
      <c r="R17" s="259">
        <v>2.1614544299729537</v>
      </c>
      <c r="AA17" s="130">
        <v>10</v>
      </c>
      <c r="AB17" s="139">
        <v>9803.6321769730675</v>
      </c>
      <c r="AC17" s="140">
        <v>0.5872223511692064</v>
      </c>
      <c r="AD17" s="133">
        <v>2.0774642558890282</v>
      </c>
      <c r="AE17" s="140">
        <v>22.129571376327846</v>
      </c>
      <c r="AF17" s="139">
        <v>9.5668127962578578E-2</v>
      </c>
      <c r="AG17" s="134">
        <v>2.1614544299729537</v>
      </c>
    </row>
    <row r="18" spans="1:33">
      <c r="B18" s="83"/>
      <c r="C18" s="84"/>
      <c r="D18" s="80"/>
      <c r="E18" s="80"/>
      <c r="F18" s="80"/>
      <c r="G18" s="85"/>
      <c r="H18" s="85"/>
      <c r="I18" s="80"/>
      <c r="J18" s="15"/>
      <c r="L18" s="266"/>
      <c r="M18" s="267"/>
      <c r="N18" s="267"/>
      <c r="O18" s="244"/>
      <c r="P18" s="244"/>
      <c r="Q18" s="244"/>
      <c r="R18" s="244"/>
      <c r="AA18" s="84"/>
      <c r="AB18" s="80"/>
      <c r="AC18" s="80"/>
      <c r="AD18" s="80"/>
      <c r="AE18" s="85"/>
      <c r="AF18" s="85"/>
      <c r="AG18" s="80"/>
    </row>
    <row r="19" spans="1:33">
      <c r="A19" s="15"/>
      <c r="B19" s="83"/>
      <c r="C19" s="84"/>
      <c r="D19" s="80"/>
      <c r="E19" s="80"/>
      <c r="F19" s="80"/>
      <c r="G19" s="85"/>
      <c r="H19" s="85"/>
      <c r="I19" s="80"/>
      <c r="J19" s="15"/>
      <c r="K19" s="15"/>
      <c r="L19" s="266"/>
      <c r="M19" s="267"/>
      <c r="N19" s="267"/>
      <c r="O19" s="244"/>
      <c r="P19" s="244"/>
      <c r="Q19" s="244"/>
      <c r="R19" s="244"/>
      <c r="AA19" s="84"/>
      <c r="AB19" s="80"/>
      <c r="AC19" s="80"/>
      <c r="AD19" s="80"/>
      <c r="AE19" s="85"/>
      <c r="AF19" s="85"/>
      <c r="AG19" s="80"/>
    </row>
    <row r="20" spans="1:33">
      <c r="A20" s="15"/>
      <c r="B20" s="83"/>
      <c r="C20" s="84"/>
      <c r="D20" s="83"/>
      <c r="E20" s="83"/>
      <c r="F20" s="86"/>
      <c r="G20" s="83"/>
      <c r="H20" s="83"/>
      <c r="I20" s="86"/>
      <c r="J20" s="15"/>
      <c r="K20" s="15"/>
      <c r="L20" s="244"/>
      <c r="M20" s="244"/>
      <c r="N20" s="244"/>
      <c r="O20" s="244"/>
      <c r="P20" s="244"/>
      <c r="Q20" s="244"/>
      <c r="R20" s="244"/>
      <c r="AA20" s="84"/>
      <c r="AB20" s="83"/>
      <c r="AC20" s="83"/>
      <c r="AD20" s="86"/>
      <c r="AE20" s="83"/>
      <c r="AF20" s="83"/>
      <c r="AG20" s="86"/>
    </row>
    <row r="21" spans="1:33">
      <c r="B21" s="78"/>
      <c r="C21" s="120" t="s">
        <v>144</v>
      </c>
      <c r="D21" s="121" t="s">
        <v>142</v>
      </c>
      <c r="E21" s="122" t="s">
        <v>135</v>
      </c>
      <c r="F21" s="123" t="s">
        <v>145</v>
      </c>
      <c r="G21" s="122" t="s">
        <v>143</v>
      </c>
      <c r="H21" s="121" t="s">
        <v>135</v>
      </c>
      <c r="I21" s="124" t="s">
        <v>145</v>
      </c>
      <c r="J21" s="80"/>
      <c r="L21" s="245" t="s">
        <v>144</v>
      </c>
      <c r="M21" s="246" t="s">
        <v>142</v>
      </c>
      <c r="N21" s="247" t="s">
        <v>135</v>
      </c>
      <c r="O21" s="248" t="s">
        <v>145</v>
      </c>
      <c r="P21" s="247" t="s">
        <v>143</v>
      </c>
      <c r="Q21" s="246" t="s">
        <v>135</v>
      </c>
      <c r="R21" s="249" t="s">
        <v>145</v>
      </c>
      <c r="AA21" s="120" t="s">
        <v>144</v>
      </c>
      <c r="AB21" s="121" t="s">
        <v>142</v>
      </c>
      <c r="AC21" s="122" t="s">
        <v>135</v>
      </c>
      <c r="AD21" s="123" t="s">
        <v>145</v>
      </c>
      <c r="AE21" s="122" t="s">
        <v>143</v>
      </c>
      <c r="AF21" s="121" t="s">
        <v>135</v>
      </c>
      <c r="AG21" s="124" t="s">
        <v>145</v>
      </c>
    </row>
    <row r="22" spans="1:33">
      <c r="B22" s="78"/>
      <c r="C22" s="125"/>
      <c r="D22" s="126"/>
      <c r="E22" s="127" t="s">
        <v>136</v>
      </c>
      <c r="F22" s="128" t="s">
        <v>169</v>
      </c>
      <c r="G22" s="127"/>
      <c r="H22" s="126" t="s">
        <v>136</v>
      </c>
      <c r="I22" s="129" t="s">
        <v>169</v>
      </c>
      <c r="L22" s="250"/>
      <c r="M22" s="251"/>
      <c r="N22" s="252" t="s">
        <v>136</v>
      </c>
      <c r="O22" s="253" t="s">
        <v>169</v>
      </c>
      <c r="P22" s="252"/>
      <c r="Q22" s="251" t="s">
        <v>136</v>
      </c>
      <c r="R22" s="254" t="s">
        <v>169</v>
      </c>
      <c r="AA22" s="125"/>
      <c r="AB22" s="126"/>
      <c r="AC22" s="127" t="s">
        <v>136</v>
      </c>
      <c r="AD22" s="128" t="s">
        <v>169</v>
      </c>
      <c r="AE22" s="127"/>
      <c r="AF22" s="126" t="s">
        <v>136</v>
      </c>
      <c r="AG22" s="129" t="s">
        <v>169</v>
      </c>
    </row>
    <row r="23" spans="1:33" ht="15" customHeight="1">
      <c r="B23" s="78"/>
      <c r="C23" s="130"/>
      <c r="D23" s="326" t="s">
        <v>175</v>
      </c>
      <c r="E23" s="327" t="s">
        <v>175</v>
      </c>
      <c r="F23" s="328"/>
      <c r="G23" s="327" t="s">
        <v>176</v>
      </c>
      <c r="H23" s="326" t="s">
        <v>176</v>
      </c>
      <c r="I23" s="329"/>
      <c r="L23" s="255"/>
      <c r="M23" s="256" t="s">
        <v>190</v>
      </c>
      <c r="N23" s="257" t="s">
        <v>190</v>
      </c>
      <c r="O23" s="258"/>
      <c r="P23" s="257" t="s">
        <v>191</v>
      </c>
      <c r="Q23" s="256" t="s">
        <v>191</v>
      </c>
      <c r="R23" s="259"/>
      <c r="AA23" s="130"/>
      <c r="AB23" s="131" t="s">
        <v>190</v>
      </c>
      <c r="AC23" s="132" t="s">
        <v>190</v>
      </c>
      <c r="AD23" s="133"/>
      <c r="AE23" s="132" t="s">
        <v>191</v>
      </c>
      <c r="AF23" s="131" t="s">
        <v>191</v>
      </c>
      <c r="AG23" s="134"/>
    </row>
    <row r="24" spans="1:33">
      <c r="B24" s="78" t="s">
        <v>45</v>
      </c>
      <c r="C24" s="125">
        <v>1</v>
      </c>
      <c r="D24" s="324">
        <f t="shared" ref="D24:D30" si="6">VLOOKUP(B24,Rangex,5,FALSE)</f>
        <v>99.1588971991726</v>
      </c>
      <c r="E24" s="323">
        <f t="shared" ref="E24:E33" si="7">VLOOKUP($B24,ub_uncertainty,2,FALSE)</f>
        <v>7.6874384070307325E-3</v>
      </c>
      <c r="F24" s="322">
        <f t="shared" ref="F24:F30" si="8">VLOOKUP($B24,ub_uncertainty,3,FALSE)</f>
        <v>2.0420207170905909</v>
      </c>
      <c r="G24" s="323">
        <f t="shared" ref="G24:G32" si="9">VLOOKUP(B24,Rangex,7,FALSE)</f>
        <v>1.1660992607762031</v>
      </c>
      <c r="H24" s="324">
        <f t="shared" ref="H24:H33" si="10">VLOOKUP($B24,ub_uncertainty,4,FALSE)</f>
        <v>5.0478153500966997E-3</v>
      </c>
      <c r="I24" s="188">
        <f t="shared" ref="I24:I30" si="11">VLOOKUP($B24,ub_uncertainty,5,FALSE)</f>
        <v>2.1613191407926382</v>
      </c>
      <c r="L24" s="250">
        <v>1</v>
      </c>
      <c r="M24" s="263">
        <v>99.156418534033975</v>
      </c>
      <c r="N24" s="262">
        <v>6.6229737132988027E-3</v>
      </c>
      <c r="O24" s="253">
        <v>2.0459994233715348</v>
      </c>
      <c r="P24" s="262">
        <v>1.1635273721332464</v>
      </c>
      <c r="Q24" s="263">
        <v>5.0298841054613056E-3</v>
      </c>
      <c r="R24" s="254">
        <v>2.1614940531204527</v>
      </c>
      <c r="AA24" s="125">
        <v>1</v>
      </c>
      <c r="AB24" s="154">
        <v>99.156418534033975</v>
      </c>
      <c r="AC24" s="152">
        <v>6.6229737132988027E-3</v>
      </c>
      <c r="AD24" s="155">
        <v>2.0459994233715348</v>
      </c>
      <c r="AE24" s="152">
        <v>1.1635273721332464</v>
      </c>
      <c r="AF24" s="154">
        <v>5.0298841054613056E-3</v>
      </c>
      <c r="AG24" s="156">
        <v>2.1614940531204527</v>
      </c>
    </row>
    <row r="25" spans="1:33">
      <c r="B25" s="78" t="s">
        <v>46</v>
      </c>
      <c r="C25" s="125">
        <v>2</v>
      </c>
      <c r="D25" s="324">
        <f t="shared" si="6"/>
        <v>199.03293789885871</v>
      </c>
      <c r="E25" s="323">
        <f t="shared" si="7"/>
        <v>1.3528901744862648E-2</v>
      </c>
      <c r="F25" s="322">
        <f t="shared" si="8"/>
        <v>2.0629860540240221</v>
      </c>
      <c r="G25" s="323">
        <f t="shared" si="9"/>
        <v>1.7389426711813616</v>
      </c>
      <c r="H25" s="324">
        <f t="shared" si="10"/>
        <v>7.5275999506981316E-3</v>
      </c>
      <c r="I25" s="188">
        <f t="shared" si="11"/>
        <v>2.1613141908454638</v>
      </c>
      <c r="L25" s="250">
        <v>2</v>
      </c>
      <c r="M25" s="263">
        <v>199.02896286790826</v>
      </c>
      <c r="N25" s="262">
        <v>1.2292446827193378E-2</v>
      </c>
      <c r="O25" s="253">
        <v>2.0616927352487502</v>
      </c>
      <c r="P25" s="262">
        <v>1.7351054684200946</v>
      </c>
      <c r="Q25" s="263">
        <v>7.500773871793767E-3</v>
      </c>
      <c r="R25" s="254">
        <v>2.1615012723473339</v>
      </c>
      <c r="AA25" s="125">
        <v>2</v>
      </c>
      <c r="AB25" s="154">
        <v>199.02896286790826</v>
      </c>
      <c r="AC25" s="152">
        <v>1.2292446827193378E-2</v>
      </c>
      <c r="AD25" s="155">
        <v>2.0616927352487502</v>
      </c>
      <c r="AE25" s="152">
        <v>1.7351054684200946</v>
      </c>
      <c r="AF25" s="154">
        <v>7.500773871793767E-3</v>
      </c>
      <c r="AG25" s="156">
        <v>2.1615012723473339</v>
      </c>
    </row>
    <row r="26" spans="1:33">
      <c r="B26" s="78" t="s">
        <v>47</v>
      </c>
      <c r="C26" s="125">
        <v>3</v>
      </c>
      <c r="D26" s="324">
        <f t="shared" si="6"/>
        <v>298.30085697433333</v>
      </c>
      <c r="E26" s="323">
        <f t="shared" si="7"/>
        <v>1.9544763910559069E-2</v>
      </c>
      <c r="F26" s="322">
        <f t="shared" si="8"/>
        <v>2.0780439283142895</v>
      </c>
      <c r="G26" s="323">
        <f t="shared" si="9"/>
        <v>2.2060766244666268</v>
      </c>
      <c r="H26" s="324">
        <f t="shared" si="10"/>
        <v>9.5498358431930427E-3</v>
      </c>
      <c r="I26" s="129">
        <f t="shared" si="11"/>
        <v>2.1613033508920978</v>
      </c>
      <c r="L26" s="250">
        <v>3</v>
      </c>
      <c r="M26" s="263">
        <v>298.29440055303525</v>
      </c>
      <c r="N26" s="262">
        <v>1.8139306444178351E-2</v>
      </c>
      <c r="O26" s="253">
        <v>2.0687632045130009</v>
      </c>
      <c r="P26" s="262">
        <v>2.2012224581555255</v>
      </c>
      <c r="Q26" s="263">
        <v>9.5157748716248654E-3</v>
      </c>
      <c r="R26" s="254">
        <v>2.1615025895423203</v>
      </c>
      <c r="AA26" s="125">
        <v>3</v>
      </c>
      <c r="AB26" s="138">
        <v>298.29440055303525</v>
      </c>
      <c r="AC26" s="137">
        <v>1.8139306444178351E-2</v>
      </c>
      <c r="AD26" s="128">
        <v>2.0687632045130009</v>
      </c>
      <c r="AE26" s="137">
        <v>2.2012224581555255</v>
      </c>
      <c r="AF26" s="138">
        <v>9.5157748716248654E-3</v>
      </c>
      <c r="AG26" s="129">
        <v>2.1615025895423203</v>
      </c>
    </row>
    <row r="27" spans="1:33">
      <c r="B27" s="78" t="s">
        <v>48</v>
      </c>
      <c r="C27" s="125">
        <v>4</v>
      </c>
      <c r="D27" s="138">
        <f t="shared" si="6"/>
        <v>396.58657896238947</v>
      </c>
      <c r="E27" s="137">
        <f t="shared" si="7"/>
        <v>2.5713881679430957E-2</v>
      </c>
      <c r="F27" s="128">
        <f t="shared" si="8"/>
        <v>2.0836040751871603</v>
      </c>
      <c r="G27" s="137">
        <f t="shared" si="9"/>
        <v>2.7911949007843466</v>
      </c>
      <c r="H27" s="138">
        <f t="shared" si="10"/>
        <v>1.2082784529023076E-2</v>
      </c>
      <c r="I27" s="129">
        <f t="shared" si="11"/>
        <v>2.1613002358664013</v>
      </c>
      <c r="L27" s="250">
        <v>4</v>
      </c>
      <c r="M27" s="263">
        <v>396.57566535123084</v>
      </c>
      <c r="N27" s="262">
        <v>2.3992791211905323E-2</v>
      </c>
      <c r="O27" s="253">
        <v>2.07148705255781</v>
      </c>
      <c r="P27" s="262">
        <v>2.7851062669843603</v>
      </c>
      <c r="Q27" s="263">
        <v>1.2039874968821624E-2</v>
      </c>
      <c r="R27" s="254">
        <v>2.1615037517068671</v>
      </c>
      <c r="AA27" s="125">
        <v>4</v>
      </c>
      <c r="AB27" s="138">
        <v>396.57566535123084</v>
      </c>
      <c r="AC27" s="137">
        <v>2.3992791211905323E-2</v>
      </c>
      <c r="AD27" s="128">
        <v>2.07148705255781</v>
      </c>
      <c r="AE27" s="137">
        <v>2.7851062669843603</v>
      </c>
      <c r="AF27" s="138">
        <v>1.2039874968821624E-2</v>
      </c>
      <c r="AG27" s="129">
        <v>2.1615037517068671</v>
      </c>
    </row>
    <row r="28" spans="1:33">
      <c r="B28" s="78" t="s">
        <v>49</v>
      </c>
      <c r="C28" s="125">
        <v>5</v>
      </c>
      <c r="D28" s="138">
        <f t="shared" si="6"/>
        <v>494.54123451873937</v>
      </c>
      <c r="E28" s="137">
        <f t="shared" si="7"/>
        <v>3.1708300887431665E-2</v>
      </c>
      <c r="F28" s="128">
        <f t="shared" si="8"/>
        <v>2.0899605092736571</v>
      </c>
      <c r="G28" s="137">
        <f t="shared" si="9"/>
        <v>3.1743629308156889</v>
      </c>
      <c r="H28" s="138">
        <f t="shared" si="10"/>
        <v>1.3741586407319855E-2</v>
      </c>
      <c r="I28" s="129">
        <f t="shared" si="11"/>
        <v>2.1612897621674629</v>
      </c>
      <c r="L28" s="250">
        <v>5</v>
      </c>
      <c r="M28" s="263">
        <v>494.53587375033607</v>
      </c>
      <c r="N28" s="262">
        <v>2.9828296571378501E-2</v>
      </c>
      <c r="O28" s="253">
        <v>2.0732299253652111</v>
      </c>
      <c r="P28" s="262">
        <v>3.1675614124186975</v>
      </c>
      <c r="Q28" s="263">
        <v>1.3693218669375855E-2</v>
      </c>
      <c r="R28" s="254">
        <v>2.1615032750153746</v>
      </c>
      <c r="AA28" s="125">
        <v>5</v>
      </c>
      <c r="AB28" s="138">
        <v>494.53587375033607</v>
      </c>
      <c r="AC28" s="137">
        <v>2.9828296571378501E-2</v>
      </c>
      <c r="AD28" s="128">
        <v>2.0732299253652111</v>
      </c>
      <c r="AE28" s="137">
        <v>3.1675614124186975</v>
      </c>
      <c r="AF28" s="138">
        <v>1.3693218669375855E-2</v>
      </c>
      <c r="AG28" s="129">
        <v>2.1615032750153746</v>
      </c>
    </row>
    <row r="29" spans="1:33">
      <c r="B29" s="78" t="s">
        <v>50</v>
      </c>
      <c r="C29" s="125">
        <v>6</v>
      </c>
      <c r="D29" s="138">
        <f t="shared" si="6"/>
        <v>593.59611084510993</v>
      </c>
      <c r="E29" s="137">
        <f t="shared" si="7"/>
        <v>3.7780852055259488E-2</v>
      </c>
      <c r="F29" s="128">
        <f t="shared" si="8"/>
        <v>2.0945414662113491</v>
      </c>
      <c r="G29" s="137">
        <f t="shared" si="9"/>
        <v>3.5374895470546459</v>
      </c>
      <c r="H29" s="138">
        <f t="shared" si="10"/>
        <v>1.5313650577604837E-2</v>
      </c>
      <c r="I29" s="129">
        <f t="shared" si="11"/>
        <v>2.16127956060885</v>
      </c>
      <c r="L29" s="250">
        <v>6</v>
      </c>
      <c r="M29" s="263">
        <v>593.62027963410685</v>
      </c>
      <c r="N29" s="262">
        <v>3.5740115061982082E-2</v>
      </c>
      <c r="O29" s="253">
        <v>2.0742955050493177</v>
      </c>
      <c r="P29" s="262">
        <v>3.530387421260258</v>
      </c>
      <c r="Q29" s="263">
        <v>1.5261709050013802E-2</v>
      </c>
      <c r="R29" s="254">
        <v>2.1615026400066819</v>
      </c>
      <c r="AA29" s="125">
        <v>6</v>
      </c>
      <c r="AB29" s="138">
        <v>593.62027963410685</v>
      </c>
      <c r="AC29" s="137">
        <v>3.5740115061982082E-2</v>
      </c>
      <c r="AD29" s="128">
        <v>2.0742955050493177</v>
      </c>
      <c r="AE29" s="137">
        <v>3.530387421260258</v>
      </c>
      <c r="AF29" s="138">
        <v>1.5261709050013802E-2</v>
      </c>
      <c r="AG29" s="129">
        <v>2.1615026400066819</v>
      </c>
    </row>
    <row r="30" spans="1:33">
      <c r="B30" s="78" t="s">
        <v>51</v>
      </c>
      <c r="C30" s="125">
        <v>7</v>
      </c>
      <c r="D30" s="138">
        <f t="shared" si="6"/>
        <v>691.43474312025762</v>
      </c>
      <c r="E30" s="137">
        <f t="shared" si="7"/>
        <v>4.3793554025836338E-2</v>
      </c>
      <c r="F30" s="128">
        <f t="shared" si="8"/>
        <v>2.0977926557420261</v>
      </c>
      <c r="G30" s="137">
        <f t="shared" si="9"/>
        <v>3.8900894206998582</v>
      </c>
      <c r="H30" s="138">
        <f t="shared" si="10"/>
        <v>1.6840153817817761E-2</v>
      </c>
      <c r="I30" s="129">
        <f t="shared" si="11"/>
        <v>2.161270454723319</v>
      </c>
      <c r="L30" s="250">
        <v>7</v>
      </c>
      <c r="M30" s="263">
        <v>691.43446238128922</v>
      </c>
      <c r="N30" s="262">
        <v>4.1582222112377019E-2</v>
      </c>
      <c r="O30" s="253">
        <v>2.0749754524985673</v>
      </c>
      <c r="P30" s="262">
        <v>3.8822527954443489</v>
      </c>
      <c r="Q30" s="263">
        <v>1.6782818315103205E-2</v>
      </c>
      <c r="R30" s="254">
        <v>2.1615020068804833</v>
      </c>
      <c r="AA30" s="125">
        <v>7</v>
      </c>
      <c r="AB30" s="138">
        <v>691.43446238128922</v>
      </c>
      <c r="AC30" s="137">
        <v>4.1582222112377019E-2</v>
      </c>
      <c r="AD30" s="128">
        <v>2.0749754524985673</v>
      </c>
      <c r="AE30" s="137">
        <v>3.8822527954443489</v>
      </c>
      <c r="AF30" s="138">
        <v>1.6782818315103205E-2</v>
      </c>
      <c r="AG30" s="129">
        <v>2.1615020068804833</v>
      </c>
    </row>
    <row r="31" spans="1:33">
      <c r="B31" s="78" t="s">
        <v>52</v>
      </c>
      <c r="C31" s="125">
        <v>8</v>
      </c>
      <c r="D31" s="138">
        <f>VLOOKUP(B31,Rangex,5,FALSE)</f>
        <v>789.22936656460445</v>
      </c>
      <c r="E31" s="137">
        <f t="shared" si="7"/>
        <v>4.9780146226325726E-2</v>
      </c>
      <c r="F31" s="128">
        <f>VLOOKUP($B31,ub_uncertainty,3,FALSE)</f>
        <v>2.1006904869237588</v>
      </c>
      <c r="G31" s="137">
        <f t="shared" si="9"/>
        <v>4.1925207552784549</v>
      </c>
      <c r="H31" s="138">
        <f t="shared" si="10"/>
        <v>1.8149510860698846E-2</v>
      </c>
      <c r="I31" s="129">
        <f>VLOOKUP($B31,ub_uncertainty,5,FALSE)</f>
        <v>2.1612600885625648</v>
      </c>
      <c r="J31" s="80"/>
      <c r="L31" s="250">
        <v>8</v>
      </c>
      <c r="M31" s="263">
        <v>789.23464266869826</v>
      </c>
      <c r="N31" s="262">
        <v>4.7423930962208496E-2</v>
      </c>
      <c r="O31" s="253">
        <v>2.0754880006616849</v>
      </c>
      <c r="P31" s="262">
        <v>4.1843012850639116</v>
      </c>
      <c r="Q31" s="263">
        <v>1.8088574683767896E-2</v>
      </c>
      <c r="R31" s="254">
        <v>2.1615011618336832</v>
      </c>
      <c r="AA31" s="125">
        <v>8</v>
      </c>
      <c r="AB31" s="138">
        <v>789.23464266869826</v>
      </c>
      <c r="AC31" s="137">
        <v>4.7423930962208496E-2</v>
      </c>
      <c r="AD31" s="128">
        <v>2.0754880006616849</v>
      </c>
      <c r="AE31" s="137">
        <v>4.1843012850639116</v>
      </c>
      <c r="AF31" s="138">
        <v>1.8088574683767896E-2</v>
      </c>
      <c r="AG31" s="129">
        <v>2.1615011618336832</v>
      </c>
    </row>
    <row r="32" spans="1:33">
      <c r="B32" s="78" t="s">
        <v>53</v>
      </c>
      <c r="C32" s="125">
        <v>9</v>
      </c>
      <c r="D32" s="138">
        <f>VLOOKUP(B32,Rangex,5,FALSE)</f>
        <v>887.49408433796009</v>
      </c>
      <c r="E32" s="137">
        <f t="shared" si="7"/>
        <v>5.581598467918935E-2</v>
      </c>
      <c r="F32" s="128">
        <f>VLOOKUP($B32,ub_uncertainty,3,FALSE)</f>
        <v>2.1027967369018765</v>
      </c>
      <c r="G32" s="137">
        <f t="shared" si="9"/>
        <v>4.5095331184545051</v>
      </c>
      <c r="H32" s="138">
        <f t="shared" si="10"/>
        <v>1.9521988990701358E-2</v>
      </c>
      <c r="I32" s="129">
        <f>VLOOKUP($B32,ub_uncertainty,5,FALSE)</f>
        <v>2.1612512007577558</v>
      </c>
      <c r="L32" s="250">
        <v>9</v>
      </c>
      <c r="M32" s="263">
        <v>887.48890272304516</v>
      </c>
      <c r="N32" s="262">
        <v>5.3296748849945862E-2</v>
      </c>
      <c r="O32" s="253">
        <v>2.0758469306312266</v>
      </c>
      <c r="P32" s="262">
        <v>4.5008786159520628</v>
      </c>
      <c r="Q32" s="263">
        <v>1.9457138777032233E-2</v>
      </c>
      <c r="R32" s="254">
        <v>2.1615004345477202</v>
      </c>
      <c r="AA32" s="125">
        <v>9</v>
      </c>
      <c r="AB32" s="138">
        <v>887.48890272304516</v>
      </c>
      <c r="AC32" s="137">
        <v>5.3296748849945862E-2</v>
      </c>
      <c r="AD32" s="128">
        <v>2.0758469306312266</v>
      </c>
      <c r="AE32" s="137">
        <v>4.5008786159520628</v>
      </c>
      <c r="AF32" s="138">
        <v>1.9457138777032233E-2</v>
      </c>
      <c r="AG32" s="129">
        <v>2.1615004345477202</v>
      </c>
    </row>
    <row r="33" spans="2:33">
      <c r="B33" t="s">
        <v>54</v>
      </c>
      <c r="C33" s="130">
        <v>10</v>
      </c>
      <c r="D33" s="141">
        <f>VLOOKUP(B33,Rangex,5,FALSE)</f>
        <v>984.95063994570069</v>
      </c>
      <c r="E33" s="142">
        <f t="shared" si="7"/>
        <v>6.1804450847096237E-2</v>
      </c>
      <c r="F33" s="133">
        <f>VLOOKUP($B33,ub_uncertainty,3,FALSE)</f>
        <v>2.1044974711324844</v>
      </c>
      <c r="G33" s="142">
        <f>VLOOKUP(B33,Rangex,7,FALSE)</f>
        <v>4.8162647563917478</v>
      </c>
      <c r="H33" s="141">
        <f t="shared" si="10"/>
        <v>2.0849970335959339E-2</v>
      </c>
      <c r="I33" s="134">
        <f>VLOOKUP($B33,ub_uncertainty,5,FALSE)</f>
        <v>2.1612428322015229</v>
      </c>
      <c r="L33" s="255">
        <v>10</v>
      </c>
      <c r="M33" s="268">
        <v>984.94202204321311</v>
      </c>
      <c r="N33" s="269">
        <v>5.9123218161199212E-2</v>
      </c>
      <c r="O33" s="258">
        <v>2.0761179855929965</v>
      </c>
      <c r="P33" s="269">
        <v>4.8071563504590742</v>
      </c>
      <c r="Q33" s="268">
        <v>2.078117907662317E-2</v>
      </c>
      <c r="R33" s="259">
        <v>2.1614997264768729</v>
      </c>
      <c r="AA33" s="130">
        <v>10</v>
      </c>
      <c r="AB33" s="141">
        <v>984.94202204321311</v>
      </c>
      <c r="AC33" s="142">
        <v>5.9123218161199212E-2</v>
      </c>
      <c r="AD33" s="133">
        <v>2.0761179855929965</v>
      </c>
      <c r="AE33" s="142">
        <v>4.8071563504590742</v>
      </c>
      <c r="AF33" s="141">
        <v>2.078117907662317E-2</v>
      </c>
      <c r="AG33" s="134">
        <v>2.1614997264768729</v>
      </c>
    </row>
    <row r="34" spans="2:33">
      <c r="C34" s="143"/>
      <c r="D34" s="144"/>
      <c r="E34" s="144"/>
      <c r="F34" s="144"/>
      <c r="G34" s="144"/>
      <c r="H34" s="144"/>
      <c r="I34" s="144"/>
      <c r="AA34" s="143"/>
      <c r="AB34" s="144"/>
      <c r="AC34" s="144"/>
      <c r="AD34" s="144"/>
      <c r="AE34" s="144"/>
      <c r="AF34" s="144"/>
      <c r="AG34" s="144"/>
    </row>
  </sheetData>
  <phoneticPr fontId="21" type="noConversion"/>
  <pageMargins left="0.74803149606299213" right="0.74803149606299213" top="0.98425196850393704" bottom="0.98425196850393704" header="0.51181102362204722" footer="0.51181102362204722"/>
  <pageSetup paperSize="9" scale="98" orientation="portrait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Z34"/>
  <sheetViews>
    <sheetView topLeftCell="O1" workbookViewId="0">
      <selection activeCell="A3" sqref="A3"/>
    </sheetView>
  </sheetViews>
  <sheetFormatPr defaultRowHeight="12.75"/>
  <cols>
    <col min="2" max="2" width="10.140625" bestFit="1" customWidth="1"/>
    <col min="3" max="3" width="13.5703125" customWidth="1"/>
    <col min="23" max="23" width="10.140625" bestFit="1" customWidth="1"/>
  </cols>
  <sheetData>
    <row r="1" spans="2:26">
      <c r="C1" s="87">
        <f>'Previous History'!I57</f>
        <v>34971</v>
      </c>
      <c r="G1" s="87">
        <f>'Previous History'!R85</f>
        <v>36749</v>
      </c>
      <c r="K1" s="87">
        <f>'Previous History'!R2</f>
        <v>38408</v>
      </c>
      <c r="O1" s="87">
        <f>Report!L2</f>
        <v>39997</v>
      </c>
      <c r="S1" s="87">
        <f>Results!B1</f>
        <v>41921</v>
      </c>
      <c r="W1" s="2">
        <v>44146</v>
      </c>
    </row>
    <row r="2" spans="2:26">
      <c r="C2" s="244" t="s">
        <v>160</v>
      </c>
      <c r="D2" s="244" t="s">
        <v>301</v>
      </c>
      <c r="E2" s="244" t="s">
        <v>161</v>
      </c>
      <c r="F2" s="244" t="s">
        <v>302</v>
      </c>
      <c r="G2" s="272" t="s">
        <v>160</v>
      </c>
      <c r="H2" s="272" t="s">
        <v>301</v>
      </c>
      <c r="I2" s="272" t="s">
        <v>161</v>
      </c>
      <c r="J2" s="272" t="s">
        <v>302</v>
      </c>
      <c r="K2" s="244" t="s">
        <v>160</v>
      </c>
      <c r="L2" s="244" t="s">
        <v>301</v>
      </c>
      <c r="M2" s="244" t="s">
        <v>161</v>
      </c>
      <c r="N2" s="244" t="s">
        <v>302</v>
      </c>
      <c r="O2" s="272" t="s">
        <v>160</v>
      </c>
      <c r="P2" s="272" t="s">
        <v>301</v>
      </c>
      <c r="Q2" s="272" t="s">
        <v>161</v>
      </c>
      <c r="R2" s="272" t="s">
        <v>302</v>
      </c>
      <c r="S2" s="244" t="s">
        <v>160</v>
      </c>
      <c r="T2" s="244" t="s">
        <v>301</v>
      </c>
      <c r="U2" s="244" t="s">
        <v>161</v>
      </c>
      <c r="V2" s="244" t="s">
        <v>302</v>
      </c>
      <c r="W2" s="272" t="s">
        <v>160</v>
      </c>
      <c r="X2" s="272" t="s">
        <v>301</v>
      </c>
      <c r="Y2" s="272" t="s">
        <v>161</v>
      </c>
      <c r="Z2" s="272" t="s">
        <v>302</v>
      </c>
    </row>
    <row r="3" spans="2:26">
      <c r="B3" s="244" t="s">
        <v>34</v>
      </c>
      <c r="C3" s="77">
        <f>'Previous History'!J60</f>
        <v>994.03001307000011</v>
      </c>
      <c r="D3" s="77">
        <f>'Previous History'!K60</f>
        <v>5.4571777918739316E-2</v>
      </c>
      <c r="E3">
        <f>'Previous History'!M60</f>
        <v>5.7182273086500004</v>
      </c>
      <c r="F3">
        <f>'Previous History'!N60</f>
        <v>2.4720618609479127E-2</v>
      </c>
      <c r="G3" s="77">
        <f>'Previous History'!S89</f>
        <v>994.07001951000018</v>
      </c>
      <c r="H3" s="77">
        <f>'Previous History'!T89</f>
        <v>5.4568316340096429E-2</v>
      </c>
      <c r="I3">
        <f>'Previous History'!V89</f>
        <v>5.6995264671500001</v>
      </c>
      <c r="J3">
        <f>'Previous History'!W89</f>
        <v>2.4639772510601853E-2</v>
      </c>
      <c r="K3" s="77">
        <f>'Previous History'!T6</f>
        <v>993.99162212954604</v>
      </c>
      <c r="L3" s="77">
        <f>'Previous History'!U6</f>
        <v>0.11571013513208958</v>
      </c>
      <c r="M3">
        <f>'Previous History'!W6</f>
        <v>5.6915848571208043</v>
      </c>
      <c r="N3">
        <f>'Previous History'!X6</f>
        <v>2.4610920554940144E-2</v>
      </c>
      <c r="O3" s="77">
        <f>Report!M8</f>
        <v>994.06462458559236</v>
      </c>
      <c r="P3" s="77">
        <f>Report!N8</f>
        <v>6.568141814259279E-2</v>
      </c>
      <c r="Q3">
        <f>Report!P8</f>
        <v>5.677548749095207</v>
      </c>
      <c r="R3">
        <f>Report!Q8</f>
        <v>2.4544537160157656E-2</v>
      </c>
      <c r="S3" s="77">
        <f>Report!D8</f>
        <v>994.1994958187754</v>
      </c>
      <c r="T3" s="77">
        <f>Report!E8</f>
        <v>7.0354848512116638E-2</v>
      </c>
      <c r="U3">
        <f>Report!G8</f>
        <v>5.6914914979891744</v>
      </c>
      <c r="V3">
        <f>Report!H8</f>
        <v>2.46394474029266E-2</v>
      </c>
      <c r="W3">
        <f>pyReport!D4</f>
        <v>994.01681968295009</v>
      </c>
      <c r="X3">
        <f>pyReport!E4</f>
        <v>6.3212537943479835E-2</v>
      </c>
      <c r="Y3" s="77">
        <f>pyReport!G4</f>
        <v>5.68601177492092</v>
      </c>
      <c r="Z3" s="77">
        <f>pyReport!H4</f>
        <v>3.3718965085672653E-2</v>
      </c>
    </row>
    <row r="4" spans="2:26">
      <c r="B4" s="244" t="s">
        <v>35</v>
      </c>
      <c r="C4" s="77">
        <f>'Previous History'!J61</f>
        <v>1980.3587864400001</v>
      </c>
      <c r="D4" s="77">
        <f>'Previous History'!K61</f>
        <v>0.10366106615247855</v>
      </c>
      <c r="E4">
        <f>'Previous History'!M61</f>
        <v>8.4219489706499999</v>
      </c>
      <c r="F4">
        <f>'Previous History'!N61</f>
        <v>3.6409148712398122E-2</v>
      </c>
      <c r="G4" s="77">
        <f>'Previous History'!S90</f>
        <v>1990.1203578</v>
      </c>
      <c r="H4" s="77">
        <f>'Previous History'!T90</f>
        <v>0.10417807917403404</v>
      </c>
      <c r="I4">
        <f>'Previous History'!V90</f>
        <v>8.4938522061500006</v>
      </c>
      <c r="J4">
        <f>'Previous History'!W90</f>
        <v>3.6719995477600027E-2</v>
      </c>
      <c r="K4" s="77">
        <f>'Previous History'!T7</f>
        <v>1980.4119370007147</v>
      </c>
      <c r="L4" s="77">
        <f>'Previous History'!U7</f>
        <v>5.8868538212128758</v>
      </c>
      <c r="M4">
        <f>'Previous History'!W7</f>
        <v>8.3816783988960051</v>
      </c>
      <c r="N4">
        <f>'Previous History'!X7</f>
        <v>3.6640290460817834E-2</v>
      </c>
      <c r="O4" s="77">
        <f>Report!M9</f>
        <v>1980.507910351655</v>
      </c>
      <c r="P4" s="77">
        <f>Report!N9</f>
        <v>0.12155553261399499</v>
      </c>
      <c r="Q4">
        <f>Report!P9</f>
        <v>8.3614741573688409</v>
      </c>
      <c r="R4">
        <f>Report!Q9</f>
        <v>3.6146851937968155E-2</v>
      </c>
      <c r="S4" s="77">
        <f>Report!D9</f>
        <v>1980.7774623034068</v>
      </c>
      <c r="T4" s="77">
        <f>Report!E9</f>
        <v>0.12681450620557366</v>
      </c>
      <c r="U4">
        <f>Report!G9</f>
        <v>8.3824613285417247</v>
      </c>
      <c r="V4">
        <f>Report!H9</f>
        <v>3.6289917965254666E-2</v>
      </c>
      <c r="W4">
        <f>pyReport!D5</f>
        <v>1980.5212842130809</v>
      </c>
      <c r="X4">
        <f>pyReport!E5</f>
        <v>9.8534666896604756E-2</v>
      </c>
      <c r="Y4" s="77">
        <f>pyReport!G5</f>
        <v>8.3744971612129753</v>
      </c>
      <c r="Z4" s="77">
        <f>pyReport!H5</f>
        <v>4.9590542893043661E-2</v>
      </c>
    </row>
    <row r="5" spans="2:26">
      <c r="B5" s="244" t="s">
        <v>36</v>
      </c>
      <c r="C5" s="77">
        <f>'Previous History'!J62</f>
        <v>2968.9979317200005</v>
      </c>
      <c r="D5" s="77">
        <f>'Previous History'!K62</f>
        <v>0.15407063082965211</v>
      </c>
      <c r="E5">
        <f>'Previous History'!M62</f>
        <v>10.712052020650001</v>
      </c>
      <c r="F5">
        <f>'Previous History'!N62</f>
        <v>4.6309553334266937E-2</v>
      </c>
      <c r="G5" s="77">
        <f>'Previous History'!S91</f>
        <v>2973.7887029100002</v>
      </c>
      <c r="H5" s="77">
        <f>'Previous History'!T91</f>
        <v>0.15431972084697754</v>
      </c>
      <c r="I5">
        <f>'Previous History'!V91</f>
        <v>10.732352934149999</v>
      </c>
      <c r="J5">
        <f>'Previous History'!W91</f>
        <v>4.6397316746417117E-2</v>
      </c>
      <c r="K5" s="77">
        <f>'Previous History'!T8</f>
        <v>2968.8225955236894</v>
      </c>
      <c r="L5" s="77">
        <f>'Previous History'!U8</f>
        <v>2.0201527351531969</v>
      </c>
      <c r="M5">
        <f>'Previous History'!W8</f>
        <v>10.661008495632007</v>
      </c>
      <c r="N5">
        <f>'Previous History'!X8</f>
        <v>4.6164819870480593E-2</v>
      </c>
      <c r="O5" s="77">
        <f>Report!M10</f>
        <v>2969.2816054942932</v>
      </c>
      <c r="P5" s="77">
        <f>Report!N10</f>
        <v>0.17972597727546136</v>
      </c>
      <c r="Q5">
        <f>Report!P10</f>
        <v>10.635115808838302</v>
      </c>
      <c r="R5">
        <f>Report!Q10</f>
        <v>4.5975788498306754E-2</v>
      </c>
      <c r="S5" s="77">
        <f>Report!D10</f>
        <v>2969.7059004330827</v>
      </c>
      <c r="T5" s="77">
        <f>Report!E10</f>
        <v>0.18621611490830547</v>
      </c>
      <c r="U5">
        <f>Report!G10</f>
        <v>10.661872126260937</v>
      </c>
      <c r="V5">
        <f>Report!H10</f>
        <v>4.615965030486828E-2</v>
      </c>
      <c r="W5">
        <f>pyReport!D6</f>
        <v>2969.4166427695618</v>
      </c>
      <c r="X5">
        <f>pyReport!E6</f>
        <v>0.13829150761095629</v>
      </c>
      <c r="Y5" s="77">
        <f>pyReport!G6</f>
        <v>10.65326474493345</v>
      </c>
      <c r="Z5" s="77">
        <f>pyReport!H6</f>
        <v>6.3053901278092198E-2</v>
      </c>
    </row>
    <row r="6" spans="2:26">
      <c r="B6" s="244" t="s">
        <v>37</v>
      </c>
      <c r="C6" s="77">
        <f>'Previous History'!J63</f>
        <v>3948.4355958000006</v>
      </c>
      <c r="D6" s="77">
        <f>'Previous History'!K63</f>
        <v>0.2042337898644945</v>
      </c>
      <c r="E6">
        <f>'Previous History'!M63</f>
        <v>12.706341759650002</v>
      </c>
      <c r="F6">
        <f>'Previous History'!N63</f>
        <v>5.49311196648044E-2</v>
      </c>
      <c r="G6" s="77">
        <f>'Previous History'!S92</f>
        <v>3948.9356763000001</v>
      </c>
      <c r="H6" s="77">
        <f>'Previous History'!T92</f>
        <v>0.20425389265182087</v>
      </c>
      <c r="I6">
        <f>'Previous History'!V92</f>
        <v>12.666339959649999</v>
      </c>
      <c r="J6">
        <f>'Previous History'!W92</f>
        <v>5.4758186832981351E-2</v>
      </c>
      <c r="K6" s="77">
        <f>'Previous History'!T9</f>
        <v>3948.7117827334041</v>
      </c>
      <c r="L6" s="77">
        <f>'Previous History'!U9</f>
        <v>0.17899554500014228</v>
      </c>
      <c r="M6">
        <f>'Previous History'!W9</f>
        <v>12.646221805140009</v>
      </c>
      <c r="N6">
        <f>'Previous History'!X9</f>
        <v>5.4673058381042902E-2</v>
      </c>
      <c r="O6" s="77">
        <f>Report!M11</f>
        <v>3948.8536842144022</v>
      </c>
      <c r="P6" s="77">
        <f>Report!N11</f>
        <v>0.23784992233010249</v>
      </c>
      <c r="Q6">
        <f>Report!P11</f>
        <v>12.615190461794949</v>
      </c>
      <c r="R6">
        <f>Report!Q11</f>
        <v>5.4535761317777466E-2</v>
      </c>
      <c r="S6" s="77">
        <f>Report!D11</f>
        <v>3949.4224901155844</v>
      </c>
      <c r="T6" s="77">
        <f>Report!E11</f>
        <v>0.24566311735745949</v>
      </c>
      <c r="U6">
        <f>Report!G11</f>
        <v>12.646962161550064</v>
      </c>
      <c r="V6">
        <f>Report!H11</f>
        <v>5.4755824587075855E-2</v>
      </c>
      <c r="W6">
        <f>pyReport!D7</f>
        <v>3949.1493088906282</v>
      </c>
      <c r="X6">
        <f>pyReport!E7</f>
        <v>0.17901486866776378</v>
      </c>
      <c r="Y6" s="77">
        <f>pyReport!G7</f>
        <v>12.638105842186681</v>
      </c>
      <c r="Z6" s="77">
        <f>pyReport!H7</f>
        <v>7.4789449082862863E-2</v>
      </c>
    </row>
    <row r="7" spans="2:26">
      <c r="B7" s="244" t="s">
        <v>38</v>
      </c>
      <c r="C7" s="77">
        <f>'Previous History'!J64</f>
        <v>4931.9739199800006</v>
      </c>
      <c r="D7" s="77">
        <f>'Previous History'!K64</f>
        <v>0.25468228969874401</v>
      </c>
      <c r="E7">
        <f>'Previous History'!M64</f>
        <v>14.481821652650002</v>
      </c>
      <c r="F7">
        <f>'Previous History'!N64</f>
        <v>6.2606743405269838E-2</v>
      </c>
      <c r="G7" s="77">
        <f>'Previous History'!S93</f>
        <v>4932.7240407300005</v>
      </c>
      <c r="H7" s="77">
        <f>'Previous History'!T93</f>
        <v>0.25471523702584337</v>
      </c>
      <c r="I7">
        <f>'Previous History'!V93</f>
        <v>14.43751965915</v>
      </c>
      <c r="J7">
        <f>'Previous History'!W93</f>
        <v>6.2415220294025825E-2</v>
      </c>
      <c r="K7" s="77">
        <f>'Previous History'!T10</f>
        <v>4932.4416330702215</v>
      </c>
      <c r="L7" s="77">
        <f>'Previous History'!U10</f>
        <v>0.21647581974526398</v>
      </c>
      <c r="M7">
        <f>'Previous History'!W10</f>
        <v>14.413922699748008</v>
      </c>
      <c r="N7">
        <f>'Previous History'!X10</f>
        <v>6.2314743472247858E-2</v>
      </c>
      <c r="O7" s="77">
        <f>Report!M12</f>
        <v>4932.5964955955924</v>
      </c>
      <c r="P7" s="77">
        <f>Report!N12</f>
        <v>0.29641068199148124</v>
      </c>
      <c r="Q7">
        <f>Report!P12</f>
        <v>14.378432559420149</v>
      </c>
      <c r="R7">
        <f>Report!Q12</f>
        <v>6.2158452734892143E-2</v>
      </c>
      <c r="S7" s="77">
        <f>Report!D12</f>
        <v>4933.3499247451664</v>
      </c>
      <c r="T7" s="77">
        <f>Report!E12</f>
        <v>0.30556721734767073</v>
      </c>
      <c r="U7">
        <f>Report!G12</f>
        <v>14.414976883576967</v>
      </c>
      <c r="V7">
        <f>Report!H12</f>
        <v>6.2412783356981166E-2</v>
      </c>
      <c r="W7">
        <f>pyReport!D8</f>
        <v>4933.13443743475</v>
      </c>
      <c r="X7">
        <f>pyReport!E8</f>
        <v>0.22044425967197429</v>
      </c>
      <c r="Y7" s="77">
        <f>pyReport!G8</f>
        <v>14.407734745796329</v>
      </c>
      <c r="Z7" s="77">
        <f>pyReport!H8</f>
        <v>8.5247953063210424E-2</v>
      </c>
    </row>
    <row r="8" spans="2:26">
      <c r="B8" s="244" t="s">
        <v>39</v>
      </c>
      <c r="C8" s="77">
        <f>'Previous History'!J65</f>
        <v>5914.2020332499997</v>
      </c>
      <c r="D8" s="77">
        <f>'Previous History'!K65</f>
        <v>0.30510597042793774</v>
      </c>
      <c r="E8">
        <f>'Previous History'!M65</f>
        <v>16.174397815150002</v>
      </c>
      <c r="F8">
        <f>'Previous History'!N65</f>
        <v>6.9923963851782053E-2</v>
      </c>
      <c r="G8" s="77">
        <f>'Previous History'!S94</f>
        <v>5915.1821910300005</v>
      </c>
      <c r="H8" s="77">
        <f>'Previous History'!T94</f>
        <v>0.30515030022618911</v>
      </c>
      <c r="I8">
        <f>'Previous History'!V94</f>
        <v>16.122765491799999</v>
      </c>
      <c r="J8">
        <f>'Previous History'!W94</f>
        <v>6.9700750799106453E-2</v>
      </c>
      <c r="K8" s="77">
        <f>'Previous History'!T11</f>
        <v>5914.8612571839922</v>
      </c>
      <c r="L8" s="77">
        <f>'Previous History'!U11</f>
        <v>0.25412328163134523</v>
      </c>
      <c r="M8">
        <f>'Previous History'!W11</f>
        <v>16.099118885256011</v>
      </c>
      <c r="N8">
        <f>'Previous History'!X11</f>
        <v>6.9599105048537294E-2</v>
      </c>
      <c r="O8" s="77">
        <f>Report!M13</f>
        <v>5915.0490803262319</v>
      </c>
      <c r="P8" s="77">
        <f>Report!N13</f>
        <v>0.35499064244618639</v>
      </c>
      <c r="Q8">
        <f>Report!P13</f>
        <v>16.058829860054029</v>
      </c>
      <c r="R8">
        <f>Report!Q13</f>
        <v>6.9423051736596006E-2</v>
      </c>
      <c r="S8" s="77">
        <f>Report!D13</f>
        <v>5915.9670964577226</v>
      </c>
      <c r="T8" s="77">
        <f>Report!E13</f>
        <v>0.36551399421712316</v>
      </c>
      <c r="U8">
        <f>Report!G13</f>
        <v>16.100455783234331</v>
      </c>
      <c r="V8">
        <f>Report!H13</f>
        <v>6.971273800587853E-2</v>
      </c>
      <c r="W8">
        <f>pyReport!D9</f>
        <v>5915.8773354081222</v>
      </c>
      <c r="X8">
        <f>pyReport!E9</f>
        <v>0.26214210239541241</v>
      </c>
      <c r="Y8" s="77">
        <f>pyReport!G9</f>
        <v>16.09352308802535</v>
      </c>
      <c r="Z8" s="77">
        <f>pyReport!H9</f>
        <v>9.5220986774527033E-2</v>
      </c>
    </row>
    <row r="9" spans="2:26">
      <c r="B9" s="244" t="s">
        <v>40</v>
      </c>
      <c r="C9" s="77">
        <f>'Previous History'!J66</f>
        <v>6890.969267460001</v>
      </c>
      <c r="D9" s="77">
        <f>'Previous History'!K66</f>
        <v>0.35527449141810952</v>
      </c>
      <c r="E9">
        <f>'Previous History'!M66</f>
        <v>17.822371970650003</v>
      </c>
      <c r="F9">
        <f>'Previous History'!N66</f>
        <v>7.7048364190811583E-2</v>
      </c>
      <c r="G9" s="77">
        <f>'Previous History'!S95</f>
        <v>6892.0394397300006</v>
      </c>
      <c r="H9" s="77">
        <f>'Previous History'!T95</f>
        <v>0.35532326451607743</v>
      </c>
      <c r="I9">
        <f>'Previous History'!V95</f>
        <v>17.765799425000001</v>
      </c>
      <c r="J9">
        <f>'Previous History'!W95</f>
        <v>7.6803793933405848E-2</v>
      </c>
      <c r="K9" s="77">
        <f>'Previous History'!T12</f>
        <v>6891.6899159642971</v>
      </c>
      <c r="L9" s="77">
        <f>'Previous History'!U12</f>
        <v>0.29240336894860569</v>
      </c>
      <c r="M9">
        <f>'Previous History'!W12</f>
        <v>17.74171263915601</v>
      </c>
      <c r="N9">
        <f>'Previous History'!X12</f>
        <v>7.6699723574913573E-2</v>
      </c>
      <c r="O9" s="77">
        <f>Report!M14</f>
        <v>6891.8206670916588</v>
      </c>
      <c r="P9" s="77">
        <f>Report!N14</f>
        <v>0.41328668823587084</v>
      </c>
      <c r="Q9">
        <f>Report!P14</f>
        <v>17.696424682280998</v>
      </c>
      <c r="R9">
        <f>Report!Q14</f>
        <v>7.65026432167729E-2</v>
      </c>
      <c r="S9" s="77">
        <f>Report!D14</f>
        <v>6892.8931261871721</v>
      </c>
      <c r="T9" s="77">
        <f>Report!E14</f>
        <v>0.42518958312958827</v>
      </c>
      <c r="U9">
        <f>Report!G14</f>
        <v>17.743071659182036</v>
      </c>
      <c r="V9">
        <f>Report!H14</f>
        <v>7.6827316914593505E-2</v>
      </c>
      <c r="W9">
        <f>pyReport!D10</f>
        <v>6892.9800496687412</v>
      </c>
      <c r="X9">
        <f>pyReport!E10</f>
        <v>0.30379823407733697</v>
      </c>
      <c r="Y9" s="77">
        <f>pyReport!G10</f>
        <v>17.73695689594307</v>
      </c>
      <c r="Z9" s="77">
        <f>pyReport!H10</f>
        <v>0.10494020952145559</v>
      </c>
    </row>
    <row r="10" spans="2:26">
      <c r="B10" s="244" t="s">
        <v>41</v>
      </c>
      <c r="C10" s="77">
        <f>'Previous History'!J67</f>
        <v>7863.1257594600002</v>
      </c>
      <c r="D10" s="77">
        <f>'Previous History'!K67</f>
        <v>0.40521193920861043</v>
      </c>
      <c r="E10">
        <f>'Previous History'!M67</f>
        <v>19.342140357150001</v>
      </c>
      <c r="F10">
        <f>'Previous History'!N67</f>
        <v>8.3618514803848271E-2</v>
      </c>
      <c r="G10" s="77">
        <f>'Previous History'!S96</f>
        <v>7864.4059655400006</v>
      </c>
      <c r="H10" s="77">
        <f>'Previous History'!T96</f>
        <v>0.40527138033420979</v>
      </c>
      <c r="I10">
        <f>'Previous History'!V96</f>
        <v>19.28131762025</v>
      </c>
      <c r="J10">
        <f>'Previous History'!W96</f>
        <v>8.3355570433061327E-2</v>
      </c>
      <c r="K10" s="77">
        <f>'Previous History'!T13</f>
        <v>7864.0478028232092</v>
      </c>
      <c r="L10" s="77">
        <f>'Previous History'!U13</f>
        <v>0.33083325097506605</v>
      </c>
      <c r="M10">
        <f>'Previous History'!W13</f>
        <v>19.256869119351613</v>
      </c>
      <c r="N10">
        <f>'Previous History'!X13</f>
        <v>8.3249655026290864E-2</v>
      </c>
      <c r="O10" s="77">
        <f>Report!M15</f>
        <v>7864.1514737575153</v>
      </c>
      <c r="P10" s="77">
        <f>Report!N15</f>
        <v>0.47134831784994147</v>
      </c>
      <c r="Q10">
        <f>Report!P15</f>
        <v>19.206342111559135</v>
      </c>
      <c r="R10">
        <f>Report!Q15</f>
        <v>8.3030326697468612E-2</v>
      </c>
      <c r="S10" s="77">
        <f>Report!D15</f>
        <v>7865.3282547735362</v>
      </c>
      <c r="T10" s="77">
        <f>Report!E15</f>
        <v>0.4846071532884238</v>
      </c>
      <c r="U10">
        <f>Report!G15</f>
        <v>19.257578497864046</v>
      </c>
      <c r="V10">
        <f>Report!H15</f>
        <v>8.3387610319554065E-2</v>
      </c>
      <c r="W10">
        <f>pyReport!D11</f>
        <v>7865.6402694594153</v>
      </c>
      <c r="X10">
        <f>pyReport!E11</f>
        <v>0.34533603943197122</v>
      </c>
      <c r="Y10" s="77">
        <f>pyReport!G11</f>
        <v>19.252523199529762</v>
      </c>
      <c r="Z10" s="77">
        <f>pyReport!H11</f>
        <v>0.1139101160682761</v>
      </c>
    </row>
    <row r="11" spans="2:26">
      <c r="B11" s="244" t="s">
        <v>42</v>
      </c>
      <c r="C11" s="77">
        <f>'Previous History'!J68</f>
        <v>8832.1617491400011</v>
      </c>
      <c r="D11" s="77">
        <f>'Previous History'!K68</f>
        <v>0.45499665544648238</v>
      </c>
      <c r="E11">
        <f>'Previous History'!M68</f>
        <v>20.801806039150001</v>
      </c>
      <c r="F11">
        <f>'Previous History'!N68</f>
        <v>8.9928833837070843E-2</v>
      </c>
      <c r="G11" s="77">
        <f>'Previous History'!S97</f>
        <v>8833.7019970800011</v>
      </c>
      <c r="H11" s="77">
        <f>'Previous History'!T97</f>
        <v>0.45506938940064529</v>
      </c>
      <c r="I11">
        <f>'Previous History'!V97</f>
        <v>20.737543147450001</v>
      </c>
      <c r="J11">
        <f>'Previous History'!W97</f>
        <v>8.9651017242747141E-2</v>
      </c>
      <c r="K11" s="77">
        <f>'Previous History'!T14</f>
        <v>8833.3751664333904</v>
      </c>
      <c r="L11" s="77">
        <f>'Previous History'!U14</f>
        <v>0.36924187058692909</v>
      </c>
      <c r="M11">
        <f>'Previous History'!W14</f>
        <v>20.713282246668015</v>
      </c>
      <c r="N11">
        <f>'Previous History'!X14</f>
        <v>8.9545714147612573E-2</v>
      </c>
      <c r="O11" s="77">
        <f>Report!M16</f>
        <v>8833.2017041336039</v>
      </c>
      <c r="P11" s="77">
        <f>Report!N16</f>
        <v>0.52923558486057276</v>
      </c>
      <c r="Q11">
        <f>Report!P16</f>
        <v>20.657266124920831</v>
      </c>
      <c r="R11">
        <f>Report!Q16</f>
        <v>8.9303007460961925E-2</v>
      </c>
      <c r="S11" s="77">
        <f>Report!D16</f>
        <v>8834.5327350988391</v>
      </c>
      <c r="T11" s="77">
        <f>Report!E16</f>
        <v>0.54384988417887448</v>
      </c>
      <c r="U11">
        <f>Report!G16</f>
        <v>20.713051172066791</v>
      </c>
      <c r="V11">
        <f>Report!H16</f>
        <v>8.9692541470112908E-2</v>
      </c>
      <c r="W11">
        <f>pyReport!D12</f>
        <v>8835.4630461998695</v>
      </c>
      <c r="X11">
        <f>pyReport!E12</f>
        <v>0.3868176692643267</v>
      </c>
      <c r="Y11" s="77">
        <f>pyReport!G12</f>
        <v>20.712765839979809</v>
      </c>
      <c r="Z11" s="77">
        <f>pyReport!H12</f>
        <v>0.1225417546724499</v>
      </c>
    </row>
    <row r="12" spans="2:26">
      <c r="B12" s="244" t="s">
        <v>43</v>
      </c>
      <c r="C12" s="77">
        <f>'Previous History'!J69</f>
        <v>9802.5679593900004</v>
      </c>
      <c r="D12" s="77">
        <f>'Previous History'!K69</f>
        <v>0.5048632034127607</v>
      </c>
      <c r="E12">
        <f>'Previous History'!M69</f>
        <v>22.283172697650002</v>
      </c>
      <c r="F12">
        <f>'Previous History'!N69</f>
        <v>9.6332968931557433E-2</v>
      </c>
      <c r="G12" s="77">
        <f>'Previous History'!S98</f>
        <v>9804.3182411400012</v>
      </c>
      <c r="H12" s="77">
        <f>'Previous History'!T98</f>
        <v>0.50494660757426246</v>
      </c>
      <c r="I12">
        <f>'Previous History'!V98</f>
        <v>22.215259641700001</v>
      </c>
      <c r="J12">
        <f>'Previous History'!W98</f>
        <v>9.6039372216329882E-2</v>
      </c>
      <c r="K12" s="77">
        <f>'Previous History'!T15</f>
        <v>9803.9927528128337</v>
      </c>
      <c r="L12" s="77">
        <f>'Previous History'!U15</f>
        <v>0.4085906403455089</v>
      </c>
      <c r="M12">
        <f>'Previous History'!W15</f>
        <v>22.195966873476014</v>
      </c>
      <c r="N12">
        <f>'Previous History'!X15</f>
        <v>9.5955077158408938E-2</v>
      </c>
      <c r="O12" s="77">
        <f>Report!M17</f>
        <v>9803.6321769730675</v>
      </c>
      <c r="P12" s="77">
        <f>Report!N17</f>
        <v>0.5872223511692064</v>
      </c>
      <c r="Q12">
        <f>Report!P17</f>
        <v>22.129571376327846</v>
      </c>
      <c r="R12">
        <f>Report!Q17</f>
        <v>9.5668127962578578E-2</v>
      </c>
      <c r="S12" s="77">
        <f>Report!D17</f>
        <v>9805.067482355169</v>
      </c>
      <c r="T12" s="77">
        <f>Report!E17</f>
        <v>0.6032087169134106</v>
      </c>
      <c r="U12">
        <f>Report!G17</f>
        <v>22.189995360946309</v>
      </c>
      <c r="V12">
        <f>Report!H17</f>
        <v>9.6090494144193281E-2</v>
      </c>
      <c r="W12">
        <f>pyReport!D13</f>
        <v>9806.5858944700067</v>
      </c>
      <c r="X12">
        <f>pyReport!E13</f>
        <v>0.42841385677505878</v>
      </c>
      <c r="Y12" s="77">
        <f>pyReport!G13</f>
        <v>22.215060692605501</v>
      </c>
      <c r="Z12" s="77">
        <f>pyReport!H13</f>
        <v>0.13132694062678729</v>
      </c>
    </row>
    <row r="13" spans="2:26">
      <c r="B13" s="244" t="s">
        <v>45</v>
      </c>
      <c r="C13" s="77">
        <f>'Previous History'!J77</f>
        <v>99.161962506000009</v>
      </c>
      <c r="D13" s="77">
        <f>'Previous History'!K77</f>
        <v>5.7278826620546265E-3</v>
      </c>
      <c r="E13">
        <f>'Previous History'!M77</f>
        <v>1.17062267565</v>
      </c>
      <c r="F13">
        <f>'Previous History'!N77</f>
        <v>5.0607496236772798E-3</v>
      </c>
      <c r="G13" s="77">
        <f>'Previous History'!S103</f>
        <v>99.157961862000008</v>
      </c>
      <c r="H13" s="77">
        <f>'Previous History'!T103</f>
        <v>5.7256553518006299E-3</v>
      </c>
      <c r="I13">
        <f>'Previous History'!V103</f>
        <v>1.1674995351150002</v>
      </c>
      <c r="J13">
        <f>'Previous History'!W103</f>
        <v>5.047247892832697E-3</v>
      </c>
      <c r="K13" s="77">
        <f>'Previous History'!T22</f>
        <v>99.161121112889361</v>
      </c>
      <c r="L13" s="77">
        <f>'Previous History'!U22</f>
        <v>6.138135074589976E-3</v>
      </c>
      <c r="M13">
        <f>'Previous History'!W22</f>
        <v>1.1671766186388006</v>
      </c>
      <c r="N13">
        <f>'Previous History'!X22</f>
        <v>5.0456073616774429E-3</v>
      </c>
      <c r="O13" s="77">
        <f>Report!M24</f>
        <v>99.156418534033975</v>
      </c>
      <c r="P13" s="77">
        <f>Report!N24</f>
        <v>6.6229737132988027E-3</v>
      </c>
      <c r="Q13">
        <f>Report!P24</f>
        <v>1.1635273721332464</v>
      </c>
      <c r="R13">
        <f>Report!Q24</f>
        <v>5.0298841054613056E-3</v>
      </c>
      <c r="S13" s="77">
        <f>Report!D24</f>
        <v>99.1588971991726</v>
      </c>
      <c r="T13" s="77">
        <f>Report!E24</f>
        <v>7.6874384070307325E-3</v>
      </c>
      <c r="U13">
        <f>Report!G24</f>
        <v>1.1660992607762031</v>
      </c>
      <c r="V13">
        <f>Report!H24</f>
        <v>5.0478153500966997E-3</v>
      </c>
      <c r="W13">
        <f>pyReport!D19</f>
        <v>99.141707182395152</v>
      </c>
      <c r="X13">
        <f>pyReport!E19</f>
        <v>7.2135113813399107E-3</v>
      </c>
      <c r="Y13" s="77">
        <f>pyReport!G19</f>
        <v>1.165597564479266</v>
      </c>
      <c r="Z13" s="77">
        <f>pyReport!H19</f>
        <v>6.8951135109526678E-3</v>
      </c>
    </row>
    <row r="14" spans="2:26">
      <c r="B14" s="244" t="s">
        <v>46</v>
      </c>
      <c r="C14" s="77">
        <f>'Previous History'!J78</f>
        <v>199.028038356</v>
      </c>
      <c r="D14" s="77">
        <f>'Previous History'!K78</f>
        <v>1.0708552017082483E-2</v>
      </c>
      <c r="E14">
        <f>'Previous History'!M78</f>
        <v>1.7456885524500001</v>
      </c>
      <c r="F14">
        <f>'Previous History'!N78</f>
        <v>7.5468320139652446E-3</v>
      </c>
      <c r="G14" s="77">
        <f>'Previous History'!S104</f>
        <v>199.028038356</v>
      </c>
      <c r="H14" s="77">
        <f>'Previous History'!T104</f>
        <v>1.0706437831240954E-2</v>
      </c>
      <c r="I14">
        <f>'Previous History'!V104</f>
        <v>1.7410403432900001</v>
      </c>
      <c r="J14">
        <f>'Previous History'!W104</f>
        <v>7.5267372189074082E-3</v>
      </c>
      <c r="K14" s="77">
        <f>'Previous History'!T23</f>
        <v>199.02636379908097</v>
      </c>
      <c r="L14" s="77">
        <f>'Previous History'!U23</f>
        <v>9.9933281432231444E-3</v>
      </c>
      <c r="M14">
        <f>'Previous History'!W23</f>
        <v>1.7402493277620008</v>
      </c>
      <c r="N14">
        <f>'Previous History'!X23</f>
        <v>7.5229625770695772E-3</v>
      </c>
      <c r="O14" s="77">
        <f>Report!M25</f>
        <v>199.02896286790826</v>
      </c>
      <c r="P14" s="77">
        <f>Report!N25</f>
        <v>1.2292446827193378E-2</v>
      </c>
      <c r="Q14">
        <f>Report!P25</f>
        <v>1.7351054684200946</v>
      </c>
      <c r="R14">
        <f>Report!Q25</f>
        <v>7.500773871793767E-3</v>
      </c>
      <c r="S14" s="77">
        <f>Report!D25</f>
        <v>199.03293789885871</v>
      </c>
      <c r="T14" s="77">
        <f>Report!E25</f>
        <v>1.3528901744862648E-2</v>
      </c>
      <c r="U14">
        <f>Report!G25</f>
        <v>1.7389426711813616</v>
      </c>
      <c r="V14">
        <f>Report!H25</f>
        <v>7.5275999506981316E-3</v>
      </c>
      <c r="W14">
        <f>pyReport!D20</f>
        <v>199.00052433831831</v>
      </c>
      <c r="X14">
        <f>pyReport!E20</f>
        <v>1.11644392449385E-2</v>
      </c>
      <c r="Y14" s="77">
        <f>pyReport!G20</f>
        <v>1.738176858421052</v>
      </c>
      <c r="Z14" s="77">
        <f>pyReport!H20</f>
        <v>1.0278923366988419E-2</v>
      </c>
    </row>
    <row r="15" spans="2:26">
      <c r="B15" s="244" t="s">
        <v>47</v>
      </c>
      <c r="C15" s="77">
        <f>'Previous History'!J79</f>
        <v>298.29401760600001</v>
      </c>
      <c r="D15" s="77">
        <f>'Previous History'!K79</f>
        <v>1.5774483799450404E-2</v>
      </c>
      <c r="E15">
        <f>'Previous History'!M79</f>
        <v>2.2146596552000002</v>
      </c>
      <c r="F15">
        <f>'Previous History'!N79</f>
        <v>9.5742533010505625E-3</v>
      </c>
      <c r="G15" s="77">
        <f>'Previous History'!S105</f>
        <v>298.27801503000001</v>
      </c>
      <c r="H15" s="77">
        <f>'Previous History'!T105</f>
        <v>1.5771525056987808E-2</v>
      </c>
      <c r="I15">
        <f>'Previous History'!V105</f>
        <v>2.2087603897450001</v>
      </c>
      <c r="J15">
        <f>'Previous History'!W105</f>
        <v>9.5487500316774592E-3</v>
      </c>
      <c r="K15" s="77">
        <f>'Previous History'!T24</f>
        <v>298.2935032170414</v>
      </c>
      <c r="L15" s="77">
        <f>'Previous History'!U24</f>
        <v>1.4440465662378006E-2</v>
      </c>
      <c r="M15">
        <f>'Previous History'!W24</f>
        <v>2.207796013803601</v>
      </c>
      <c r="N15">
        <f>'Previous History'!X24</f>
        <v>9.5441297944560844E-3</v>
      </c>
      <c r="O15" s="77">
        <f>Report!M26</f>
        <v>298.29440055303525</v>
      </c>
      <c r="P15" s="77">
        <f>Report!N26</f>
        <v>1.8139306444178351E-2</v>
      </c>
      <c r="Q15">
        <f>Report!P26</f>
        <v>2.2012224581555255</v>
      </c>
      <c r="R15">
        <f>Report!Q26</f>
        <v>9.5157748716248654E-3</v>
      </c>
      <c r="S15" s="77">
        <f>Report!D26</f>
        <v>298.30085697433333</v>
      </c>
      <c r="T15" s="77">
        <f>Report!E26</f>
        <v>1.9544763910559069E-2</v>
      </c>
      <c r="U15">
        <f>Report!G26</f>
        <v>2.2060766244666268</v>
      </c>
      <c r="V15">
        <f>Report!H26</f>
        <v>9.5498358431930427E-3</v>
      </c>
      <c r="W15">
        <f>pyReport!D21</f>
        <v>298.24917436069489</v>
      </c>
      <c r="X15">
        <f>pyReport!E21</f>
        <v>1.5327593796820691E-2</v>
      </c>
      <c r="Y15" s="77">
        <f>pyReport!G21</f>
        <v>2.20507943285509</v>
      </c>
      <c r="Z15" s="77">
        <f>pyReport!H21</f>
        <v>1.3039230984667249E-2</v>
      </c>
    </row>
    <row r="16" spans="2:26">
      <c r="B16" s="244" t="s">
        <v>48</v>
      </c>
      <c r="C16" s="77">
        <f>'Previous History'!J80</f>
        <v>396.55283472900004</v>
      </c>
      <c r="D16" s="77">
        <f>'Previous History'!K80</f>
        <v>2.0872149728755486E-2</v>
      </c>
      <c r="E16">
        <f>'Previous History'!M80</f>
        <v>2.8021960931500001</v>
      </c>
      <c r="F16">
        <f>'Previous History'!N80</f>
        <v>1.211424750165936E-2</v>
      </c>
      <c r="G16" s="77">
        <f>'Previous History'!S106</f>
        <v>396.55083440700002</v>
      </c>
      <c r="H16" s="77">
        <f>'Previous History'!T106</f>
        <v>2.0870503957503426E-2</v>
      </c>
      <c r="I16">
        <f>'Previous History'!V106</f>
        <v>2.7976668893449999</v>
      </c>
      <c r="J16">
        <f>'Previous History'!W106</f>
        <v>1.2094667181776195E-2</v>
      </c>
      <c r="K16" s="77">
        <f>'Previous History'!T25</f>
        <v>396.56347046372014</v>
      </c>
      <c r="L16" s="77">
        <f>'Previous History'!U25</f>
        <v>1.8252531785164679E-2</v>
      </c>
      <c r="M16">
        <f>'Previous History'!W25</f>
        <v>2.7933094330020016</v>
      </c>
      <c r="N16">
        <f>'Previous History'!X25</f>
        <v>1.207540840437878E-2</v>
      </c>
      <c r="O16" s="77">
        <f>Report!M27</f>
        <v>396.57566535123084</v>
      </c>
      <c r="P16" s="77">
        <f>Report!N27</f>
        <v>2.3992791211905323E-2</v>
      </c>
      <c r="Q16">
        <f>Report!P27</f>
        <v>2.7851062669843603</v>
      </c>
      <c r="R16">
        <f>Report!Q27</f>
        <v>1.2039874968821624E-2</v>
      </c>
      <c r="S16" s="77">
        <f>Report!D27</f>
        <v>396.58657896238947</v>
      </c>
      <c r="T16" s="77">
        <f>Report!E27</f>
        <v>2.5713881679430957E-2</v>
      </c>
      <c r="U16">
        <f>Report!G27</f>
        <v>2.7911949007843466</v>
      </c>
      <c r="V16">
        <f>Report!H27</f>
        <v>1.2082784529023076E-2</v>
      </c>
      <c r="W16">
        <f>pyReport!D22</f>
        <v>396.52358179154248</v>
      </c>
      <c r="X16">
        <f>pyReport!E22</f>
        <v>1.9806958848825062E-2</v>
      </c>
      <c r="Y16" s="77">
        <f>pyReport!G22</f>
        <v>2.7900002030166511</v>
      </c>
      <c r="Z16" s="77">
        <f>pyReport!H22</f>
        <v>1.6497716817181061E-2</v>
      </c>
    </row>
    <row r="17" spans="2:26">
      <c r="B17" s="244" t="s">
        <v>49</v>
      </c>
      <c r="C17" s="77">
        <f>'Previous History'!J81</f>
        <v>494.49160033200008</v>
      </c>
      <c r="D17" s="77">
        <f>'Previous History'!K81</f>
        <v>2.5900963325111551E-2</v>
      </c>
      <c r="E17">
        <f>'Previous History'!M81</f>
        <v>3.1871034132000005</v>
      </c>
      <c r="F17">
        <f>'Previous History'!N81</f>
        <v>1.3778250442668567E-2</v>
      </c>
      <c r="G17" s="77">
        <f>'Previous History'!S107</f>
        <v>494.49360065400009</v>
      </c>
      <c r="H17" s="77">
        <f>'Previous History'!T107</f>
        <v>2.5899450295097732E-2</v>
      </c>
      <c r="I17">
        <f>'Previous History'!V107</f>
        <v>3.1817881740250002</v>
      </c>
      <c r="J17">
        <f>'Previous History'!W107</f>
        <v>1.3755271992640082E-2</v>
      </c>
      <c r="K17" s="77">
        <f>'Previous History'!T26</f>
        <v>494.51438262249633</v>
      </c>
      <c r="L17" s="77">
        <f>'Previous History'!U26</f>
        <v>2.2373049606594819E-2</v>
      </c>
      <c r="M17">
        <f>'Previous History'!W26</f>
        <v>3.1765213054872019</v>
      </c>
      <c r="N17">
        <f>'Previous History'!X26</f>
        <v>1.3732013761534495E-2</v>
      </c>
      <c r="O17" s="77">
        <f>Report!M28</f>
        <v>494.53587375033607</v>
      </c>
      <c r="P17" s="77">
        <f>Report!N28</f>
        <v>2.9828296571378501E-2</v>
      </c>
      <c r="Q17">
        <f>Report!P28</f>
        <v>3.1675614124186975</v>
      </c>
      <c r="R17">
        <f>Report!Q28</f>
        <v>1.3693218669375855E-2</v>
      </c>
      <c r="S17" s="77">
        <f>Report!D28</f>
        <v>494.54123451873937</v>
      </c>
      <c r="T17" s="77">
        <f>Report!E28</f>
        <v>3.1708300887431665E-2</v>
      </c>
      <c r="U17">
        <f>Report!G28</f>
        <v>3.1743629308156889</v>
      </c>
      <c r="V17">
        <f>Report!H28</f>
        <v>1.3741586407319855E-2</v>
      </c>
      <c r="W17">
        <f>pyReport!D23</f>
        <v>494.4726844883379</v>
      </c>
      <c r="X17">
        <f>pyReport!E23</f>
        <v>0.36437502005131617</v>
      </c>
      <c r="Y17" s="77">
        <f>pyReport!G23</f>
        <v>3.1729804859140089</v>
      </c>
      <c r="Z17" s="77">
        <f>pyReport!H23</f>
        <v>1.899651737571835E-2</v>
      </c>
    </row>
    <row r="18" spans="2:26">
      <c r="B18" s="244" t="s">
        <v>50</v>
      </c>
      <c r="C18" s="77">
        <f>'Previous History'!J82</f>
        <v>593.52154158600001</v>
      </c>
      <c r="D18" s="77">
        <f>'Previous History'!K82</f>
        <v>3.0990853143765405E-2</v>
      </c>
      <c r="E18">
        <f>'Previous History'!M82</f>
        <v>3.54966972795</v>
      </c>
      <c r="F18">
        <f>'Previous History'!N82</f>
        <v>1.534567039710461E-2</v>
      </c>
      <c r="G18" s="77">
        <f>'Previous History'!S108</f>
        <v>593.52554223000004</v>
      </c>
      <c r="H18" s="77">
        <f>'Previous History'!T108</f>
        <v>3.0989350393695689E-2</v>
      </c>
      <c r="I18">
        <f>'Previous History'!V108</f>
        <v>3.5435064506150002</v>
      </c>
      <c r="J18">
        <f>'Previous History'!W108</f>
        <v>1.5319025771041475E-2</v>
      </c>
      <c r="K18" s="77">
        <f>'Previous History'!T27</f>
        <v>594.14458472669082</v>
      </c>
      <c r="L18" s="77">
        <f>'Previous History'!U27</f>
        <v>0.1251775702363514</v>
      </c>
      <c r="M18">
        <f>'Previous History'!W27</f>
        <v>3.533541683047202</v>
      </c>
      <c r="N18">
        <f>'Previous History'!X27</f>
        <v>1.5275653934598468E-2</v>
      </c>
      <c r="O18" s="77">
        <f>Report!M29</f>
        <v>593.62027963410685</v>
      </c>
      <c r="P18" s="77">
        <f>Report!N29</f>
        <v>3.5740115061982082E-2</v>
      </c>
      <c r="Q18">
        <f>Report!P29</f>
        <v>3.530387421260258</v>
      </c>
      <c r="R18">
        <f>Report!Q29</f>
        <v>1.5261709050013802E-2</v>
      </c>
      <c r="S18" s="77">
        <f>Report!D29</f>
        <v>593.59611084510993</v>
      </c>
      <c r="T18" s="77">
        <f>Report!E29</f>
        <v>3.7780852055259488E-2</v>
      </c>
      <c r="U18">
        <f>Report!G29</f>
        <v>3.5374895470546459</v>
      </c>
      <c r="V18">
        <f>Report!H29</f>
        <v>1.5313650577604837E-2</v>
      </c>
      <c r="W18">
        <f>pyReport!D24</f>
        <v>593.51196350646933</v>
      </c>
      <c r="X18">
        <f>pyReport!E24</f>
        <v>2.8287184129686931E-2</v>
      </c>
      <c r="Y18" s="77">
        <f>pyReport!G24</f>
        <v>3.5351490872197648</v>
      </c>
      <c r="Z18" s="77">
        <f>pyReport!H24</f>
        <v>2.0900121606257871E-2</v>
      </c>
    </row>
    <row r="19" spans="2:26">
      <c r="B19" s="244" t="s">
        <v>51</v>
      </c>
      <c r="C19" s="77">
        <f>'Previous History'!J83</f>
        <v>691.35529028400015</v>
      </c>
      <c r="D19" s="77">
        <f>'Previous History'!K83</f>
        <v>3.6026377145224581E-2</v>
      </c>
      <c r="E19">
        <f>'Previous History'!M83</f>
        <v>3.9065457866500002</v>
      </c>
      <c r="F19">
        <f>'Previous History'!N83</f>
        <v>1.6888490656213822E-2</v>
      </c>
      <c r="G19" s="77">
        <f>'Previous History'!S109</f>
        <v>691.35429012300006</v>
      </c>
      <c r="H19" s="77">
        <f>'Previous History'!T109</f>
        <v>3.6024535110045511E-2</v>
      </c>
      <c r="I19">
        <f>'Previous History'!V109</f>
        <v>3.8996024742150004</v>
      </c>
      <c r="J19">
        <f>'Previous History'!W109</f>
        <v>1.6858473839930142E-2</v>
      </c>
      <c r="K19" s="77">
        <f>'Previous History'!T28</f>
        <v>691.38737462140739</v>
      </c>
      <c r="L19" s="77">
        <f>'Previous History'!U28</f>
        <v>3.0514135058359197E-2</v>
      </c>
      <c r="M19">
        <f>'Previous History'!W28</f>
        <v>3.8930622033072022</v>
      </c>
      <c r="N19">
        <f>'Previous History'!X28</f>
        <v>1.6829566170225511E-2</v>
      </c>
      <c r="O19" s="77">
        <f>Report!M30</f>
        <v>691.43446238128922</v>
      </c>
      <c r="P19" s="77">
        <f>Report!N30</f>
        <v>4.1582222112377019E-2</v>
      </c>
      <c r="Q19">
        <f>Report!P30</f>
        <v>3.8822527954443489</v>
      </c>
      <c r="R19">
        <f>Report!Q30</f>
        <v>1.6782818315103205E-2</v>
      </c>
      <c r="S19" s="77">
        <f>Report!D30</f>
        <v>691.43474312025762</v>
      </c>
      <c r="T19" s="77">
        <f>Report!E30</f>
        <v>4.3793554025836338E-2</v>
      </c>
      <c r="U19">
        <f>Report!G30</f>
        <v>3.8900894206998582</v>
      </c>
      <c r="V19">
        <f>Report!H30</f>
        <v>1.6840153817817761E-2</v>
      </c>
      <c r="W19">
        <f>pyReport!D25</f>
        <v>691.34253506520588</v>
      </c>
      <c r="X19">
        <f>pyReport!E25</f>
        <v>3.2542981818679866E-2</v>
      </c>
      <c r="Y19" s="77">
        <f>pyReport!G25</f>
        <v>3.8929483431081251</v>
      </c>
      <c r="Z19" s="77">
        <f>pyReport!H25</f>
        <v>2.3014161720599721E-2</v>
      </c>
    </row>
    <row r="20" spans="2:26">
      <c r="B20" s="244" t="s">
        <v>52</v>
      </c>
      <c r="C20" s="77">
        <f>'Previous History'!J84</f>
        <v>789.14603205900016</v>
      </c>
      <c r="D20" s="77">
        <f>'Previous History'!K84</f>
        <v>4.1051582488194585E-2</v>
      </c>
      <c r="E20">
        <f>'Previous History'!M84</f>
        <v>4.2106494707000008</v>
      </c>
      <c r="F20">
        <f>'Previous History'!N84</f>
        <v>1.82031692769405E-2</v>
      </c>
      <c r="G20" s="77">
        <f>'Previous History'!S110</f>
        <v>789.14203141500013</v>
      </c>
      <c r="H20" s="77">
        <f>'Previous History'!T110</f>
        <v>4.1049472069006325E-2</v>
      </c>
      <c r="I20">
        <f>'Previous History'!V110</f>
        <v>4.2027261141650003</v>
      </c>
      <c r="J20">
        <f>'Previous History'!W110</f>
        <v>1.8168915606277154E-2</v>
      </c>
      <c r="K20" s="77">
        <f>'Previous History'!T29</f>
        <v>789.17825914988759</v>
      </c>
      <c r="L20" s="77">
        <f>'Previous History'!U29</f>
        <v>3.4488311730888635E-2</v>
      </c>
      <c r="M20">
        <f>'Previous History'!W29</f>
        <v>4.1957494797108019</v>
      </c>
      <c r="N20">
        <f>'Previous History'!X29</f>
        <v>1.8138064605077685E-2</v>
      </c>
      <c r="O20" s="77">
        <f>Report!M31</f>
        <v>789.23464266869826</v>
      </c>
      <c r="P20" s="77">
        <f>Report!N31</f>
        <v>4.7423930962208496E-2</v>
      </c>
      <c r="Q20">
        <f>Report!P31</f>
        <v>4.1843012850639116</v>
      </c>
      <c r="R20">
        <f>Report!Q31</f>
        <v>1.8088574683767896E-2</v>
      </c>
      <c r="S20" s="77">
        <f>Report!D31</f>
        <v>789.22936656460445</v>
      </c>
      <c r="T20" s="77">
        <f>Report!E31</f>
        <v>4.9780146226325726E-2</v>
      </c>
      <c r="U20">
        <f>Report!G31</f>
        <v>4.1925207552784549</v>
      </c>
      <c r="V20">
        <f>Report!H31</f>
        <v>1.8149510860698846E-2</v>
      </c>
      <c r="W20">
        <f>pyReport!D26</f>
        <v>789.1311369653564</v>
      </c>
      <c r="X20">
        <f>pyReport!E26</f>
        <v>3.674993018030371E-2</v>
      </c>
      <c r="Y20" s="77">
        <f>pyReport!G26</f>
        <v>4.1965469255980388</v>
      </c>
      <c r="Z20" s="77">
        <f>pyReport!H26</f>
        <v>2.4807693496296929E-2</v>
      </c>
    </row>
    <row r="21" spans="2:26">
      <c r="B21" s="244" t="s">
        <v>53</v>
      </c>
      <c r="C21" s="77">
        <f>'Previous History'!J85</f>
        <v>887.36284242000011</v>
      </c>
      <c r="D21" s="77">
        <f>'Previous History'!K85</f>
        <v>4.6106047718342959E-2</v>
      </c>
      <c r="E21">
        <f>'Previous History'!M85</f>
        <v>4.5292938090500003</v>
      </c>
      <c r="F21">
        <f>'Previous History'!N85</f>
        <v>1.9580708982034848E-2</v>
      </c>
      <c r="G21" s="77">
        <f>'Previous History'!S111</f>
        <v>887.36984354700007</v>
      </c>
      <c r="H21" s="77">
        <f>'Previous History'!T111</f>
        <v>4.6104400421217891E-2</v>
      </c>
      <c r="I21">
        <f>'Previous History'!V111</f>
        <v>4.5205204142650004</v>
      </c>
      <c r="J21">
        <f>'Previous History'!W111</f>
        <v>1.9542780488695261E-2</v>
      </c>
      <c r="K21" s="77">
        <f>'Previous History'!T30</f>
        <v>887.39621741672011</v>
      </c>
      <c r="L21" s="77">
        <f>'Previous History'!U30</f>
        <v>3.8437383842652051E-2</v>
      </c>
      <c r="M21">
        <f>'Previous History'!W30</f>
        <v>4.5130275889116023</v>
      </c>
      <c r="N21">
        <f>'Previous History'!X30</f>
        <v>1.950964161604923E-2</v>
      </c>
      <c r="O21" s="77">
        <f>Report!M32</f>
        <v>887.48890272304516</v>
      </c>
      <c r="P21" s="77">
        <f>Report!N32</f>
        <v>5.3296748849945862E-2</v>
      </c>
      <c r="Q21">
        <f>Report!P32</f>
        <v>4.5008786159520628</v>
      </c>
      <c r="R21">
        <f>Report!Q32</f>
        <v>1.9457138777032233E-2</v>
      </c>
      <c r="S21" s="77">
        <f>Report!D32</f>
        <v>887.49408433796009</v>
      </c>
      <c r="T21" s="77">
        <f>Report!E32</f>
        <v>5.581598467918935E-2</v>
      </c>
      <c r="U21">
        <f>Report!G32</f>
        <v>4.5095331184545051</v>
      </c>
      <c r="V21">
        <f>Report!H32</f>
        <v>1.9521988990701358E-2</v>
      </c>
      <c r="W21">
        <f>pyReport!D27</f>
        <v>887.36269332046766</v>
      </c>
      <c r="X21">
        <f>pyReport!E27</f>
        <v>4.1013267447577322E-2</v>
      </c>
      <c r="Y21" s="77">
        <f>pyReport!G27</f>
        <v>4.514552458846584</v>
      </c>
      <c r="Z21" s="77">
        <f>pyReport!H27</f>
        <v>2.6687501726403232E-2</v>
      </c>
    </row>
    <row r="22" spans="2:26">
      <c r="B22" s="244" t="s">
        <v>54</v>
      </c>
      <c r="C22" s="77">
        <f>'Previous History'!J86</f>
        <v>984.77052253200009</v>
      </c>
      <c r="D22" s="77">
        <f>'Previous History'!K86</f>
        <v>5.111981572989395E-2</v>
      </c>
      <c r="E22">
        <f>'Previous History'!M86</f>
        <v>4.8375776812000009</v>
      </c>
      <c r="F22">
        <f>'Previous History'!N86</f>
        <v>2.0913459083687032E-2</v>
      </c>
      <c r="G22" s="77">
        <f>'Previous History'!S112</f>
        <v>984.77752365900005</v>
      </c>
      <c r="H22" s="77">
        <f>'Previous History'!T112</f>
        <v>5.1118057396939448E-2</v>
      </c>
      <c r="I22">
        <f>'Previous History'!V112</f>
        <v>4.8278862451050006</v>
      </c>
      <c r="J22">
        <f>'Previous History'!W112</f>
        <v>2.0871561781857107E-2</v>
      </c>
      <c r="K22" s="77">
        <f>'Previous History'!T31</f>
        <v>984.81803822283041</v>
      </c>
      <c r="L22" s="77">
        <f>'Previous History'!U31</f>
        <v>4.2525009892841206E-2</v>
      </c>
      <c r="M22">
        <f>'Previous History'!W31</f>
        <v>4.8219112189828826</v>
      </c>
      <c r="N22">
        <f>'Previous History'!X31</f>
        <v>2.0844885511304524E-2</v>
      </c>
      <c r="O22" s="77">
        <f>Report!M33</f>
        <v>984.94202204321311</v>
      </c>
      <c r="P22" s="77">
        <f>Report!N33</f>
        <v>5.9123218161199212E-2</v>
      </c>
      <c r="Q22">
        <f>Report!P33</f>
        <v>4.8071563504590742</v>
      </c>
      <c r="R22">
        <f>Report!Q33</f>
        <v>2.078117907662317E-2</v>
      </c>
      <c r="S22" s="77">
        <f>Report!D33</f>
        <v>984.95063994570069</v>
      </c>
      <c r="T22" s="77">
        <f>Report!E33</f>
        <v>6.1804450847096237E-2</v>
      </c>
      <c r="U22">
        <f>Report!G33</f>
        <v>4.8162647563917478</v>
      </c>
      <c r="V22">
        <f>Report!H33</f>
        <v>2.0849970335959339E-2</v>
      </c>
      <c r="W22">
        <f>pyReport!D28</f>
        <v>984.79408222912127</v>
      </c>
      <c r="X22">
        <f>pyReport!E28</f>
        <v>4.5246907875903374E-2</v>
      </c>
      <c r="Y22" s="77">
        <f>pyReport!G28</f>
        <v>4.8226476107007592</v>
      </c>
      <c r="Z22" s="77">
        <f>pyReport!H28</f>
        <v>2.8508751132540242E-2</v>
      </c>
    </row>
    <row r="26" spans="2:26">
      <c r="B26" s="383" t="s">
        <v>377</v>
      </c>
    </row>
    <row r="28" spans="2:26">
      <c r="C28" s="272" t="s">
        <v>160</v>
      </c>
      <c r="D28" s="272" t="s">
        <v>301</v>
      </c>
      <c r="E28" s="272" t="s">
        <v>161</v>
      </c>
      <c r="F28" s="272" t="s">
        <v>302</v>
      </c>
    </row>
    <row r="29" spans="2:26">
      <c r="B29" s="87">
        <v>34971</v>
      </c>
      <c r="C29" s="115">
        <f>VLOOKUP($B$26,previous,2,FALSE)</f>
        <v>984.77052253200009</v>
      </c>
      <c r="D29" s="115">
        <f>VLOOKUP($B$26,previous,3,FALSE)</f>
        <v>5.111981572989395E-2</v>
      </c>
      <c r="E29" s="115">
        <f>VLOOKUP($B$26,previous,4,FALSE)</f>
        <v>4.8375776812000009</v>
      </c>
      <c r="F29" s="115">
        <f>VLOOKUP($B$26,previous,5,FALSE)</f>
        <v>2.0913459083687032E-2</v>
      </c>
    </row>
    <row r="30" spans="2:26">
      <c r="B30" s="87">
        <v>36749</v>
      </c>
      <c r="C30" s="115">
        <f>VLOOKUP($B$26,previous,6,FALSE)</f>
        <v>984.77752365900005</v>
      </c>
      <c r="D30" s="115">
        <f>VLOOKUP($B$26,previous,7,FALSE)</f>
        <v>5.1118057396939448E-2</v>
      </c>
      <c r="E30" s="115">
        <f>VLOOKUP($B$26,previous,8,FALSE)</f>
        <v>4.8278862451050006</v>
      </c>
      <c r="F30" s="115">
        <f>VLOOKUP($B$26,previous,9,FALSE)</f>
        <v>2.0871561781857107E-2</v>
      </c>
    </row>
    <row r="31" spans="2:26">
      <c r="B31" s="87">
        <v>38408</v>
      </c>
      <c r="C31" s="115">
        <f>VLOOKUP($B$26,previous,10,FALSE)</f>
        <v>984.81803822283041</v>
      </c>
      <c r="D31" s="115">
        <f>VLOOKUP($B$26,previous,11,FALSE)</f>
        <v>4.2525009892841206E-2</v>
      </c>
      <c r="E31" s="115">
        <f>VLOOKUP($B$26,previous,12,FALSE)</f>
        <v>4.8219112189828826</v>
      </c>
      <c r="F31" s="115">
        <f>VLOOKUP($B$26,previous,13,FALSE)</f>
        <v>2.0844885511304524E-2</v>
      </c>
    </row>
    <row r="32" spans="2:26">
      <c r="B32" s="87">
        <v>39997</v>
      </c>
      <c r="C32" s="115">
        <f>VLOOKUP($B$26,previous,14,FALSE)</f>
        <v>984.94202204321311</v>
      </c>
      <c r="D32" s="115">
        <f>VLOOKUP($B$26,previous,15,FALSE)</f>
        <v>5.9123218161199212E-2</v>
      </c>
      <c r="E32" s="115">
        <f>VLOOKUP($B$26,previous,16,FALSE)</f>
        <v>4.8071563504590742</v>
      </c>
      <c r="F32" s="115">
        <f>VLOOKUP($B$26,previous,17,FALSE)</f>
        <v>2.078117907662317E-2</v>
      </c>
    </row>
    <row r="33" spans="2:6">
      <c r="B33" s="87">
        <v>41921</v>
      </c>
      <c r="C33" s="115">
        <f>VLOOKUP($B$26,previous,18,FALSE)</f>
        <v>984.95063994570069</v>
      </c>
      <c r="D33" s="115">
        <f>VLOOKUP($B$26,previous,19,FALSE)</f>
        <v>6.1804450847096237E-2</v>
      </c>
      <c r="E33" s="115">
        <f>VLOOKUP($B$26,previous,20,FALSE)</f>
        <v>4.8162647563917478</v>
      </c>
      <c r="F33" s="115">
        <f>VLOOKUP($B$26,previous,21,FALSE)</f>
        <v>2.0849970335959339E-2</v>
      </c>
    </row>
    <row r="34" spans="2:6">
      <c r="B34" s="87">
        <f>W1</f>
        <v>44146</v>
      </c>
      <c r="C34" s="115">
        <f>VLOOKUP($B$26,previous,22,FALSE)</f>
        <v>984.79408222912127</v>
      </c>
      <c r="D34" s="115">
        <f>VLOOKUP($B$26,previous,23,FALSE)</f>
        <v>4.5246907875903374E-2</v>
      </c>
      <c r="E34" s="115">
        <f>VLOOKUP($B$26,previous,24,FALSE)</f>
        <v>4.8226476107007592</v>
      </c>
      <c r="F34" s="115">
        <f>VLOOKUP($B$26,previous,25,FALSE)</f>
        <v>2.8508751132540242E-2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AD165"/>
  <sheetViews>
    <sheetView topLeftCell="A37" workbookViewId="0">
      <selection activeCell="J77" sqref="J77"/>
    </sheetView>
  </sheetViews>
  <sheetFormatPr defaultRowHeight="12.75"/>
  <cols>
    <col min="1" max="1" width="10.7109375" customWidth="1"/>
    <col min="2" max="2" width="9.28515625" bestFit="1" customWidth="1"/>
    <col min="7" max="7" width="10.85546875" customWidth="1"/>
  </cols>
  <sheetData>
    <row r="1" spans="1:25">
      <c r="A1" s="99"/>
      <c r="B1" s="99"/>
      <c r="C1" s="99"/>
      <c r="D1" s="99"/>
      <c r="E1" s="100"/>
      <c r="F1" s="100"/>
      <c r="G1" s="26" t="s">
        <v>170</v>
      </c>
      <c r="H1" s="149" t="s">
        <v>186</v>
      </c>
      <c r="I1" s="149"/>
      <c r="J1" s="108"/>
      <c r="K1" s="108"/>
      <c r="L1" s="108"/>
      <c r="M1" s="108"/>
    </row>
    <row r="2" spans="1:25">
      <c r="A2" s="99"/>
      <c r="B2" s="105">
        <v>38398</v>
      </c>
      <c r="C2" s="99" t="s">
        <v>149</v>
      </c>
      <c r="D2" s="99"/>
      <c r="E2" s="100"/>
      <c r="F2" s="105">
        <v>38398</v>
      </c>
      <c r="G2" s="100"/>
      <c r="H2" s="100"/>
      <c r="J2" s="108"/>
      <c r="K2" s="109">
        <v>36749</v>
      </c>
      <c r="L2" s="108" t="s">
        <v>167</v>
      </c>
      <c r="M2" s="108"/>
      <c r="R2" s="105">
        <v>38408</v>
      </c>
    </row>
    <row r="3" spans="1:25">
      <c r="A3" s="99"/>
      <c r="B3" s="101" t="s">
        <v>156</v>
      </c>
      <c r="C3" s="99"/>
      <c r="D3" s="99"/>
      <c r="E3" s="100"/>
      <c r="F3" s="100"/>
      <c r="G3" s="100"/>
      <c r="H3" s="100"/>
      <c r="J3" s="108"/>
      <c r="K3" s="110" t="s">
        <v>156</v>
      </c>
      <c r="L3" s="108"/>
      <c r="M3" s="108"/>
      <c r="R3" s="78" t="s">
        <v>134</v>
      </c>
      <c r="S3" s="273" t="s">
        <v>144</v>
      </c>
      <c r="T3" s="274" t="s">
        <v>142</v>
      </c>
      <c r="U3" s="275" t="s">
        <v>135</v>
      </c>
      <c r="V3" s="276" t="s">
        <v>168</v>
      </c>
      <c r="W3" s="275" t="s">
        <v>143</v>
      </c>
      <c r="X3" s="274" t="s">
        <v>135</v>
      </c>
      <c r="Y3" s="277" t="s">
        <v>145</v>
      </c>
    </row>
    <row r="4" spans="1:25">
      <c r="A4" s="99" t="s">
        <v>11</v>
      </c>
      <c r="B4" s="101" t="s">
        <v>159</v>
      </c>
      <c r="C4" s="99"/>
      <c r="D4" s="99"/>
      <c r="E4" s="100"/>
      <c r="F4" s="100"/>
      <c r="G4" s="100"/>
      <c r="H4" s="100"/>
      <c r="J4" s="108" t="s">
        <v>11</v>
      </c>
      <c r="K4" s="110" t="s">
        <v>159</v>
      </c>
      <c r="L4" s="108"/>
      <c r="M4" s="108"/>
      <c r="R4" s="78"/>
      <c r="S4" s="278"/>
      <c r="T4" s="279"/>
      <c r="U4" s="84" t="s">
        <v>136</v>
      </c>
      <c r="V4" s="280" t="s">
        <v>169</v>
      </c>
      <c r="W4" s="84"/>
      <c r="X4" s="279" t="s">
        <v>136</v>
      </c>
      <c r="Y4" s="281" t="s">
        <v>169</v>
      </c>
    </row>
    <row r="5" spans="1:25">
      <c r="A5" s="101" t="s">
        <v>54</v>
      </c>
      <c r="B5" s="101">
        <v>10</v>
      </c>
      <c r="C5" s="150">
        <v>984646</v>
      </c>
      <c r="D5" s="150">
        <v>4821626</v>
      </c>
      <c r="E5" s="100"/>
      <c r="F5" s="100"/>
      <c r="G5" s="100"/>
      <c r="H5" s="100"/>
      <c r="J5" s="110" t="s">
        <v>54</v>
      </c>
      <c r="K5" s="110">
        <v>10</v>
      </c>
      <c r="L5" s="111">
        <v>984617</v>
      </c>
      <c r="M5" s="111">
        <v>4827668</v>
      </c>
      <c r="O5" s="82"/>
      <c r="P5" s="82"/>
      <c r="R5" s="78"/>
      <c r="S5" s="282"/>
      <c r="T5" s="283" t="s">
        <v>190</v>
      </c>
      <c r="U5" s="284" t="s">
        <v>190</v>
      </c>
      <c r="V5" s="285"/>
      <c r="W5" s="284"/>
      <c r="X5" s="283"/>
      <c r="Y5" s="286"/>
    </row>
    <row r="6" spans="1:25">
      <c r="A6" s="101" t="s">
        <v>53</v>
      </c>
      <c r="B6" s="101">
        <v>9</v>
      </c>
      <c r="C6" s="150">
        <v>887241</v>
      </c>
      <c r="D6" s="150">
        <v>4512760</v>
      </c>
      <c r="E6" s="100"/>
      <c r="F6" s="100"/>
      <c r="G6" s="100"/>
      <c r="H6" s="100"/>
      <c r="J6" s="110" t="s">
        <v>53</v>
      </c>
      <c r="K6" s="110">
        <v>9</v>
      </c>
      <c r="L6" s="111">
        <v>887225</v>
      </c>
      <c r="M6" s="111">
        <v>4520316</v>
      </c>
      <c r="O6" s="82"/>
      <c r="P6" s="82"/>
      <c r="R6" s="78" t="s">
        <v>34</v>
      </c>
      <c r="S6" s="278">
        <v>1</v>
      </c>
      <c r="T6" s="287">
        <v>993.99162212954604</v>
      </c>
      <c r="U6" s="288">
        <v>0.11571013513208958</v>
      </c>
      <c r="V6" s="280">
        <v>2.1007662692614359</v>
      </c>
      <c r="W6" s="85">
        <v>5.6915848571208043</v>
      </c>
      <c r="X6" s="289">
        <v>2.4610920554940144E-2</v>
      </c>
      <c r="Y6" s="281">
        <v>2.1611030292602962</v>
      </c>
    </row>
    <row r="7" spans="1:25">
      <c r="A7" s="101" t="s">
        <v>52</v>
      </c>
      <c r="B7" s="101">
        <v>8</v>
      </c>
      <c r="C7" s="150">
        <v>789040</v>
      </c>
      <c r="D7" s="150">
        <v>4195500</v>
      </c>
      <c r="E7" s="100"/>
      <c r="F7" s="107"/>
      <c r="G7" s="100"/>
      <c r="H7" s="100"/>
      <c r="J7" s="110" t="s">
        <v>52</v>
      </c>
      <c r="K7" s="110">
        <v>8</v>
      </c>
      <c r="L7" s="111">
        <v>789013</v>
      </c>
      <c r="M7" s="111">
        <v>4202536</v>
      </c>
      <c r="O7" s="82"/>
      <c r="P7" s="82"/>
      <c r="R7" s="78" t="s">
        <v>35</v>
      </c>
      <c r="S7" s="278">
        <v>2</v>
      </c>
      <c r="T7" s="287">
        <v>1980.4119370007147</v>
      </c>
      <c r="U7" s="288">
        <v>5.8868538212128758</v>
      </c>
      <c r="V7" s="280">
        <v>2.1614514700240988</v>
      </c>
      <c r="W7" s="288">
        <v>8.3816783988960051</v>
      </c>
      <c r="X7" s="287">
        <v>3.6640290460817834E-2</v>
      </c>
      <c r="Y7" s="281">
        <v>2.147301894180937</v>
      </c>
    </row>
    <row r="8" spans="1:25">
      <c r="A8" s="101" t="s">
        <v>51</v>
      </c>
      <c r="B8" s="101">
        <v>7</v>
      </c>
      <c r="C8" s="150">
        <v>691266</v>
      </c>
      <c r="D8" s="150">
        <v>3892830</v>
      </c>
      <c r="E8" s="100"/>
      <c r="F8" s="100"/>
      <c r="G8" s="100"/>
      <c r="H8" s="100"/>
      <c r="J8" s="110" t="s">
        <v>51</v>
      </c>
      <c r="K8" s="110">
        <v>7</v>
      </c>
      <c r="L8" s="111">
        <v>691241</v>
      </c>
      <c r="M8" s="111">
        <v>3899426</v>
      </c>
      <c r="O8" s="82"/>
      <c r="P8" s="82"/>
      <c r="R8" s="78" t="s">
        <v>36</v>
      </c>
      <c r="S8" s="278">
        <v>3</v>
      </c>
      <c r="T8" s="287">
        <v>2968.8225955236894</v>
      </c>
      <c r="U8" s="288">
        <v>2.0201527351531969</v>
      </c>
      <c r="V8" s="280">
        <v>2.1598891677846117</v>
      </c>
      <c r="W8" s="288">
        <v>10.661008495632007</v>
      </c>
      <c r="X8" s="287">
        <v>4.6164819870480593E-2</v>
      </c>
      <c r="Y8" s="281">
        <v>2.1591011846410932</v>
      </c>
    </row>
    <row r="9" spans="1:25">
      <c r="A9" s="101" t="s">
        <v>50</v>
      </c>
      <c r="B9" s="101">
        <v>6</v>
      </c>
      <c r="C9" s="111">
        <v>593428</v>
      </c>
      <c r="D9" s="111">
        <v>3543346</v>
      </c>
      <c r="E9" s="100"/>
      <c r="F9" s="106">
        <v>594040</v>
      </c>
      <c r="G9" s="106">
        <v>3533330</v>
      </c>
      <c r="H9" s="100"/>
      <c r="J9" s="110" t="s">
        <v>50</v>
      </c>
      <c r="K9" s="110">
        <v>6</v>
      </c>
      <c r="L9" s="111">
        <v>593428</v>
      </c>
      <c r="M9" s="111">
        <v>3543346</v>
      </c>
      <c r="O9" s="82"/>
      <c r="P9" s="82"/>
      <c r="R9" s="78" t="s">
        <v>37</v>
      </c>
      <c r="S9" s="278">
        <v>4</v>
      </c>
      <c r="T9" s="287">
        <v>3948.7117827334041</v>
      </c>
      <c r="U9" s="288">
        <v>0.17899554500014228</v>
      </c>
      <c r="V9" s="280">
        <v>2.1114097918526125</v>
      </c>
      <c r="W9" s="288">
        <v>12.646221805140009</v>
      </c>
      <c r="X9" s="287">
        <v>5.4673058381042902E-2</v>
      </c>
      <c r="Y9" s="281">
        <v>2.1613897184366198</v>
      </c>
    </row>
    <row r="10" spans="1:25">
      <c r="A10" s="101" t="s">
        <v>49</v>
      </c>
      <c r="B10" s="101">
        <v>5</v>
      </c>
      <c r="C10" s="150">
        <v>494427</v>
      </c>
      <c r="D10" s="150">
        <v>3176330</v>
      </c>
      <c r="E10" s="100"/>
      <c r="F10" s="100"/>
      <c r="G10" s="100"/>
      <c r="H10" s="100"/>
      <c r="J10" s="110" t="s">
        <v>49</v>
      </c>
      <c r="K10" s="110">
        <v>5</v>
      </c>
      <c r="L10" s="111">
        <v>494412</v>
      </c>
      <c r="M10" s="111">
        <v>3181644</v>
      </c>
      <c r="O10" s="82"/>
      <c r="P10" s="82"/>
      <c r="R10" s="78" t="s">
        <v>38</v>
      </c>
      <c r="S10" s="278">
        <v>5</v>
      </c>
      <c r="T10" s="287">
        <v>4932.4416330702215</v>
      </c>
      <c r="U10" s="288">
        <v>0.21647581974526398</v>
      </c>
      <c r="V10" s="280">
        <v>2.1361772180119116</v>
      </c>
      <c r="W10" s="288">
        <v>14.413922699748008</v>
      </c>
      <c r="X10" s="287">
        <v>6.2314743472247858E-2</v>
      </c>
      <c r="Y10" s="281">
        <v>2.1614042842246719</v>
      </c>
    </row>
    <row r="11" spans="1:25">
      <c r="A11" s="101" t="s">
        <v>48</v>
      </c>
      <c r="B11" s="101">
        <v>4</v>
      </c>
      <c r="C11" s="150">
        <v>396493</v>
      </c>
      <c r="D11" s="150">
        <v>2793140</v>
      </c>
      <c r="E11" s="100"/>
      <c r="F11" s="100"/>
      <c r="G11" s="100"/>
      <c r="H11" s="100"/>
      <c r="J11" s="110" t="s">
        <v>48</v>
      </c>
      <c r="K11" s="110">
        <v>4</v>
      </c>
      <c r="L11" s="111">
        <v>396485</v>
      </c>
      <c r="M11" s="111">
        <v>2797540</v>
      </c>
      <c r="O11" s="82"/>
      <c r="P11" s="82"/>
      <c r="R11" s="78" t="s">
        <v>39</v>
      </c>
      <c r="S11" s="278">
        <v>6</v>
      </c>
      <c r="T11" s="287">
        <v>5914.8612571839922</v>
      </c>
      <c r="U11" s="288">
        <v>0.25412328163134523</v>
      </c>
      <c r="V11" s="280">
        <v>2.1586386355683316</v>
      </c>
      <c r="W11" s="288">
        <v>16.099118885256011</v>
      </c>
      <c r="X11" s="287">
        <v>6.9599105048537294E-2</v>
      </c>
      <c r="Y11" s="281">
        <v>2.1614289165480005</v>
      </c>
    </row>
    <row r="12" spans="1:25">
      <c r="A12" s="101" t="s">
        <v>47</v>
      </c>
      <c r="B12" s="101">
        <v>3</v>
      </c>
      <c r="C12" s="150">
        <v>298240</v>
      </c>
      <c r="D12" s="150">
        <v>2207660</v>
      </c>
      <c r="E12" s="100"/>
      <c r="F12" s="100"/>
      <c r="G12" s="100"/>
      <c r="H12" s="100"/>
      <c r="J12" s="110" t="s">
        <v>47</v>
      </c>
      <c r="K12" s="110">
        <v>3</v>
      </c>
      <c r="L12" s="111">
        <v>298228</v>
      </c>
      <c r="M12" s="111">
        <v>2208660</v>
      </c>
      <c r="O12" s="82"/>
      <c r="P12" s="82"/>
      <c r="R12" s="78" t="s">
        <v>40</v>
      </c>
      <c r="S12" s="278">
        <v>7</v>
      </c>
      <c r="T12" s="287">
        <v>6891.6899159642971</v>
      </c>
      <c r="U12" s="288">
        <v>0.29240336894860569</v>
      </c>
      <c r="V12" s="280">
        <v>2.1754299682082592</v>
      </c>
      <c r="W12" s="288">
        <v>17.74171263915601</v>
      </c>
      <c r="X12" s="287">
        <v>7.6699723574913573E-2</v>
      </c>
      <c r="Y12" s="281">
        <v>2.1614407175446266</v>
      </c>
    </row>
    <row r="13" spans="1:25">
      <c r="A13" s="101" t="s">
        <v>46</v>
      </c>
      <c r="B13" s="101">
        <v>2</v>
      </c>
      <c r="C13" s="150">
        <v>198990</v>
      </c>
      <c r="D13" s="150">
        <v>1740140</v>
      </c>
      <c r="E13" s="100"/>
      <c r="F13" s="100"/>
      <c r="G13" s="100"/>
      <c r="H13" s="100"/>
      <c r="J13" s="110" t="s">
        <v>46</v>
      </c>
      <c r="K13" s="110">
        <v>2</v>
      </c>
      <c r="L13" s="111">
        <v>198994</v>
      </c>
      <c r="M13" s="111">
        <v>1740961</v>
      </c>
      <c r="O13" s="82"/>
      <c r="P13" s="82"/>
      <c r="R13" s="78" t="s">
        <v>41</v>
      </c>
      <c r="S13" s="278">
        <v>8</v>
      </c>
      <c r="T13" s="287">
        <v>7864.0478028232092</v>
      </c>
      <c r="U13" s="288">
        <v>0.33083325097506605</v>
      </c>
      <c r="V13" s="280">
        <v>2.1889453057153334</v>
      </c>
      <c r="W13" s="288">
        <v>19.256869119351613</v>
      </c>
      <c r="X13" s="287">
        <v>8.3249655026290864E-2</v>
      </c>
      <c r="Y13" s="281">
        <v>2.1614463425434289</v>
      </c>
    </row>
    <row r="14" spans="1:25">
      <c r="A14" s="101" t="s">
        <v>45</v>
      </c>
      <c r="B14" s="101">
        <v>1</v>
      </c>
      <c r="C14" s="150">
        <v>99142</v>
      </c>
      <c r="D14" s="150">
        <v>1167100</v>
      </c>
      <c r="E14" s="100"/>
      <c r="F14" s="100"/>
      <c r="G14" s="100"/>
      <c r="H14" s="100"/>
      <c r="J14" s="110" t="s">
        <v>45</v>
      </c>
      <c r="K14" s="110">
        <v>1</v>
      </c>
      <c r="L14" s="111">
        <v>99140</v>
      </c>
      <c r="M14" s="111">
        <v>1167446</v>
      </c>
      <c r="O14" s="82"/>
      <c r="P14" s="82"/>
      <c r="R14" s="78" t="s">
        <v>42</v>
      </c>
      <c r="S14" s="278">
        <v>9</v>
      </c>
      <c r="T14" s="287">
        <v>8833.3751664333904</v>
      </c>
      <c r="U14" s="288">
        <v>0.36924187058692909</v>
      </c>
      <c r="V14" s="280">
        <v>2.2005909318960777</v>
      </c>
      <c r="W14" s="288">
        <v>20.713282246668015</v>
      </c>
      <c r="X14" s="287">
        <v>8.9545714147612573E-2</v>
      </c>
      <c r="Y14" s="281">
        <v>2.161449814814008</v>
      </c>
    </row>
    <row r="15" spans="1:25">
      <c r="A15" s="99"/>
      <c r="B15" s="101">
        <v>0</v>
      </c>
      <c r="C15" s="150"/>
      <c r="D15" s="150"/>
      <c r="E15" s="100"/>
      <c r="F15" s="100"/>
      <c r="G15" s="100"/>
      <c r="H15" s="100"/>
      <c r="J15" s="108"/>
      <c r="K15" s="110">
        <v>0</v>
      </c>
      <c r="L15" s="111"/>
      <c r="M15" s="111"/>
      <c r="O15" s="82"/>
      <c r="P15" s="82"/>
      <c r="R15" s="78" t="s">
        <v>43</v>
      </c>
      <c r="S15" s="282">
        <v>10</v>
      </c>
      <c r="T15" s="290">
        <v>9803.9927528128337</v>
      </c>
      <c r="U15" s="291">
        <v>0.4085906403455089</v>
      </c>
      <c r="V15" s="285">
        <v>2.2065546232503266</v>
      </c>
      <c r="W15" s="291">
        <v>22.195966873476014</v>
      </c>
      <c r="X15" s="290">
        <v>9.5955077158408938E-2</v>
      </c>
      <c r="Y15" s="286">
        <v>2.1614569214522024</v>
      </c>
    </row>
    <row r="16" spans="1:25">
      <c r="A16" s="99"/>
      <c r="B16" s="101" t="s">
        <v>163</v>
      </c>
      <c r="C16" s="150"/>
      <c r="D16" s="150"/>
      <c r="E16" s="100"/>
      <c r="F16" s="100"/>
      <c r="G16" s="100"/>
      <c r="H16" s="100"/>
      <c r="J16" s="108"/>
      <c r="K16" s="110" t="s">
        <v>163</v>
      </c>
      <c r="L16" s="111"/>
      <c r="M16" s="111"/>
      <c r="O16" s="82"/>
      <c r="P16" s="82"/>
      <c r="R16" s="83"/>
      <c r="S16" s="84"/>
      <c r="T16" s="80"/>
      <c r="U16" s="80"/>
      <c r="V16" s="80"/>
      <c r="W16" s="85"/>
      <c r="X16" s="85"/>
      <c r="Y16" s="80"/>
    </row>
    <row r="17" spans="1:25">
      <c r="A17" s="99"/>
      <c r="B17" s="101" t="s">
        <v>164</v>
      </c>
      <c r="C17" s="150"/>
      <c r="D17" s="150"/>
      <c r="E17" s="100"/>
      <c r="F17" s="100"/>
      <c r="G17" s="100"/>
      <c r="H17" s="100"/>
      <c r="J17" s="108"/>
      <c r="K17" s="110" t="s">
        <v>164</v>
      </c>
      <c r="L17" s="111"/>
      <c r="M17" s="111"/>
      <c r="O17" s="82"/>
      <c r="P17" s="82"/>
      <c r="R17" s="83"/>
      <c r="S17" s="84"/>
      <c r="T17" s="80"/>
      <c r="U17" s="80"/>
      <c r="V17" s="80"/>
      <c r="W17" s="85"/>
      <c r="X17" s="85"/>
      <c r="Y17" s="80"/>
    </row>
    <row r="18" spans="1:25">
      <c r="A18" s="101" t="s">
        <v>43</v>
      </c>
      <c r="B18" s="101">
        <v>10</v>
      </c>
      <c r="C18" s="149">
        <v>980229</v>
      </c>
      <c r="D18" s="149">
        <v>2219460</v>
      </c>
      <c r="E18" s="100"/>
      <c r="F18" s="100"/>
      <c r="G18" s="100"/>
      <c r="H18" s="100"/>
      <c r="J18" s="110" t="s">
        <v>43</v>
      </c>
      <c r="K18" s="110">
        <v>10</v>
      </c>
      <c r="L18" s="111">
        <v>980273</v>
      </c>
      <c r="M18" s="111">
        <v>2221419</v>
      </c>
      <c r="O18" s="82"/>
      <c r="P18" s="82"/>
      <c r="R18" s="83"/>
      <c r="S18" s="84"/>
      <c r="T18" s="83"/>
      <c r="U18" s="83"/>
      <c r="V18" s="86"/>
      <c r="W18" s="83"/>
      <c r="X18" s="83"/>
      <c r="Y18" s="86"/>
    </row>
    <row r="19" spans="1:25">
      <c r="A19" s="101" t="s">
        <v>42</v>
      </c>
      <c r="B19" s="101">
        <v>9</v>
      </c>
      <c r="C19" s="150">
        <v>883184</v>
      </c>
      <c r="D19" s="150">
        <v>2071200</v>
      </c>
      <c r="E19" s="100"/>
      <c r="F19" s="100"/>
      <c r="G19" s="100"/>
      <c r="H19" s="100"/>
      <c r="J19" s="110" t="s">
        <v>42</v>
      </c>
      <c r="K19" s="110">
        <v>9</v>
      </c>
      <c r="L19" s="111">
        <v>883227</v>
      </c>
      <c r="M19" s="111">
        <v>2073654</v>
      </c>
      <c r="O19" s="82"/>
      <c r="P19" s="82"/>
      <c r="R19" s="78"/>
      <c r="S19" s="273" t="s">
        <v>144</v>
      </c>
      <c r="T19" s="274" t="s">
        <v>142</v>
      </c>
      <c r="U19" s="275" t="s">
        <v>135</v>
      </c>
      <c r="V19" s="276" t="s">
        <v>145</v>
      </c>
      <c r="W19" s="275" t="s">
        <v>143</v>
      </c>
      <c r="X19" s="274" t="s">
        <v>135</v>
      </c>
      <c r="Y19" s="277" t="s">
        <v>145</v>
      </c>
    </row>
    <row r="20" spans="1:25">
      <c r="A20" s="101" t="s">
        <v>41</v>
      </c>
      <c r="B20" s="101">
        <v>8</v>
      </c>
      <c r="C20" s="150">
        <v>786268</v>
      </c>
      <c r="D20" s="150">
        <v>1925567</v>
      </c>
      <c r="E20" s="100"/>
      <c r="F20" s="100"/>
      <c r="G20" s="100"/>
      <c r="H20" s="100"/>
      <c r="J20" s="110" t="s">
        <v>41</v>
      </c>
      <c r="K20" s="110">
        <v>8</v>
      </c>
      <c r="L20" s="111">
        <v>786313</v>
      </c>
      <c r="M20" s="111">
        <v>1928038</v>
      </c>
      <c r="O20" s="82"/>
      <c r="P20" s="82"/>
      <c r="R20" s="78"/>
      <c r="S20" s="278"/>
      <c r="T20" s="279"/>
      <c r="U20" s="84" t="s">
        <v>136</v>
      </c>
      <c r="V20" s="280" t="s">
        <v>169</v>
      </c>
      <c r="W20" s="84"/>
      <c r="X20" s="279" t="s">
        <v>136</v>
      </c>
      <c r="Y20" s="281" t="s">
        <v>169</v>
      </c>
    </row>
    <row r="21" spans="1:25">
      <c r="A21" s="101" t="s">
        <v>40</v>
      </c>
      <c r="B21" s="101">
        <v>7</v>
      </c>
      <c r="C21" s="150">
        <v>689049</v>
      </c>
      <c r="D21" s="150">
        <v>1774060</v>
      </c>
      <c r="E21" s="100"/>
      <c r="F21" s="100"/>
      <c r="G21" s="100"/>
      <c r="H21" s="100"/>
      <c r="J21" s="110" t="s">
        <v>40</v>
      </c>
      <c r="K21" s="110">
        <v>7</v>
      </c>
      <c r="L21" s="111">
        <v>689092</v>
      </c>
      <c r="M21" s="111">
        <v>1776493</v>
      </c>
      <c r="O21" s="82"/>
      <c r="P21" s="82"/>
      <c r="R21" s="78"/>
      <c r="S21" s="282"/>
      <c r="T21" s="283" t="s">
        <v>190</v>
      </c>
      <c r="U21" s="284" t="s">
        <v>190</v>
      </c>
      <c r="V21" s="285"/>
      <c r="W21" s="284" t="s">
        <v>191</v>
      </c>
      <c r="X21" s="283" t="s">
        <v>191</v>
      </c>
      <c r="Y21" s="286"/>
    </row>
    <row r="22" spans="1:25">
      <c r="A22" s="101" t="s">
        <v>39</v>
      </c>
      <c r="B22" s="101">
        <v>6</v>
      </c>
      <c r="C22" s="150">
        <v>591383</v>
      </c>
      <c r="D22" s="150">
        <v>1609810</v>
      </c>
      <c r="E22" s="100"/>
      <c r="F22" s="100"/>
      <c r="G22" s="100"/>
      <c r="H22" s="100"/>
      <c r="J22" s="110" t="s">
        <v>39</v>
      </c>
      <c r="K22" s="110">
        <v>6</v>
      </c>
      <c r="L22" s="111">
        <v>591422</v>
      </c>
      <c r="M22" s="111">
        <v>1612197</v>
      </c>
      <c r="O22" s="82"/>
      <c r="P22" s="82"/>
      <c r="R22" s="78" t="s">
        <v>45</v>
      </c>
      <c r="S22" s="278">
        <v>1</v>
      </c>
      <c r="T22" s="287">
        <v>99.161121112889361</v>
      </c>
      <c r="U22" s="85">
        <v>6.138135074589976E-3</v>
      </c>
      <c r="V22" s="280">
        <v>2.041295513053949</v>
      </c>
      <c r="W22" s="85">
        <v>1.1671766186388006</v>
      </c>
      <c r="X22" s="289">
        <v>5.0456073616774429E-3</v>
      </c>
      <c r="Y22" s="281">
        <v>2.1615078194274808</v>
      </c>
    </row>
    <row r="23" spans="1:25">
      <c r="A23" s="101" t="s">
        <v>38</v>
      </c>
      <c r="B23" s="101">
        <v>5</v>
      </c>
      <c r="C23" s="150">
        <v>493158</v>
      </c>
      <c r="D23" s="150">
        <v>1441300</v>
      </c>
      <c r="E23" s="100"/>
      <c r="F23" s="100"/>
      <c r="G23" s="100"/>
      <c r="H23" s="100"/>
      <c r="J23" s="110" t="s">
        <v>38</v>
      </c>
      <c r="K23" s="110">
        <v>5</v>
      </c>
      <c r="L23" s="111">
        <v>493192</v>
      </c>
      <c r="M23" s="111">
        <v>1443680</v>
      </c>
      <c r="O23" s="82"/>
      <c r="P23" s="82"/>
      <c r="R23" s="78" t="s">
        <v>46</v>
      </c>
      <c r="S23" s="278">
        <v>2</v>
      </c>
      <c r="T23" s="287">
        <v>199.02636379908097</v>
      </c>
      <c r="U23" s="85">
        <v>9.9933281432231444E-3</v>
      </c>
      <c r="V23" s="280">
        <v>2.0699662139145816</v>
      </c>
      <c r="W23" s="85">
        <v>1.7402493277620008</v>
      </c>
      <c r="X23" s="289">
        <v>7.5229625770695772E-3</v>
      </c>
      <c r="Y23" s="281">
        <v>2.1615100593599723</v>
      </c>
    </row>
    <row r="24" spans="1:25">
      <c r="A24" s="101" t="s">
        <v>37</v>
      </c>
      <c r="B24" s="101">
        <v>4</v>
      </c>
      <c r="C24" s="150">
        <v>394802</v>
      </c>
      <c r="D24" s="150">
        <v>1264540</v>
      </c>
      <c r="E24" s="100"/>
      <c r="F24" s="100"/>
      <c r="G24" s="100"/>
      <c r="H24" s="100"/>
      <c r="J24" s="110" t="s">
        <v>37</v>
      </c>
      <c r="K24" s="110">
        <v>4</v>
      </c>
      <c r="L24" s="111">
        <v>394829</v>
      </c>
      <c r="M24" s="111">
        <v>1266570</v>
      </c>
      <c r="O24" s="82"/>
      <c r="P24" s="82"/>
      <c r="R24" s="78" t="s">
        <v>47</v>
      </c>
      <c r="S24" s="278">
        <v>3</v>
      </c>
      <c r="T24" s="287">
        <v>298.2935032170414</v>
      </c>
      <c r="U24" s="85">
        <v>1.4440465662378006E-2</v>
      </c>
      <c r="V24" s="280">
        <v>2.0765842568710196</v>
      </c>
      <c r="W24" s="85">
        <v>2.207796013803601</v>
      </c>
      <c r="X24" s="289">
        <v>9.5441297944560844E-3</v>
      </c>
      <c r="Y24" s="281">
        <v>2.1615119395097948</v>
      </c>
    </row>
    <row r="25" spans="1:25">
      <c r="A25" s="101" t="s">
        <v>36</v>
      </c>
      <c r="B25" s="101">
        <v>3</v>
      </c>
      <c r="C25" s="150">
        <v>296830</v>
      </c>
      <c r="D25" s="150">
        <v>1066030</v>
      </c>
      <c r="E25" s="100"/>
      <c r="F25" s="100"/>
      <c r="G25" s="100"/>
      <c r="H25" s="100"/>
      <c r="J25" s="110" t="s">
        <v>36</v>
      </c>
      <c r="K25" s="110">
        <v>3</v>
      </c>
      <c r="L25" s="111">
        <v>297330</v>
      </c>
      <c r="M25" s="111">
        <v>1073180</v>
      </c>
      <c r="O25" s="82"/>
      <c r="P25" s="82"/>
      <c r="R25" s="78" t="s">
        <v>48</v>
      </c>
      <c r="S25" s="278">
        <v>4</v>
      </c>
      <c r="T25" s="287">
        <v>396.56347046372014</v>
      </c>
      <c r="U25" s="85">
        <v>1.8252531785164679E-2</v>
      </c>
      <c r="V25" s="280">
        <v>2.1064520694323479</v>
      </c>
      <c r="W25" s="85">
        <v>2.7933094330020016</v>
      </c>
      <c r="X25" s="289">
        <v>1.207540840437878E-2</v>
      </c>
      <c r="Y25" s="281">
        <v>2.1614953340016481</v>
      </c>
    </row>
    <row r="26" spans="1:25">
      <c r="A26" s="101" t="s">
        <v>35</v>
      </c>
      <c r="B26" s="101">
        <v>2</v>
      </c>
      <c r="C26" s="150">
        <v>198006</v>
      </c>
      <c r="D26" s="150">
        <v>838110</v>
      </c>
      <c r="E26" s="100"/>
      <c r="F26" s="100"/>
      <c r="G26" s="100"/>
      <c r="H26" s="100"/>
      <c r="J26" s="110" t="s">
        <v>35</v>
      </c>
      <c r="K26" s="110">
        <v>2</v>
      </c>
      <c r="L26" s="111">
        <v>198979</v>
      </c>
      <c r="M26" s="111">
        <v>849340</v>
      </c>
      <c r="O26" s="82"/>
      <c r="P26" s="82"/>
      <c r="R26" s="78" t="s">
        <v>49</v>
      </c>
      <c r="S26" s="278">
        <v>5</v>
      </c>
      <c r="T26" s="287">
        <v>494.51438262249633</v>
      </c>
      <c r="U26" s="85">
        <v>2.2373049606594819E-2</v>
      </c>
      <c r="V26" s="280">
        <v>2.1154354241540472</v>
      </c>
      <c r="W26" s="85">
        <v>3.1765213054872019</v>
      </c>
      <c r="X26" s="289">
        <v>1.3732013761534495E-2</v>
      </c>
      <c r="Y26" s="281">
        <v>2.1614970363696573</v>
      </c>
    </row>
    <row r="27" spans="1:25">
      <c r="A27" s="101" t="s">
        <v>34</v>
      </c>
      <c r="B27" s="101">
        <v>1</v>
      </c>
      <c r="C27" s="150">
        <v>99381</v>
      </c>
      <c r="D27" s="150">
        <v>569116</v>
      </c>
      <c r="E27" s="100"/>
      <c r="F27" s="100"/>
      <c r="G27" s="100"/>
      <c r="H27" s="100"/>
      <c r="J27" s="110" t="s">
        <v>34</v>
      </c>
      <c r="K27" s="110">
        <v>1</v>
      </c>
      <c r="L27" s="111">
        <v>99390</v>
      </c>
      <c r="M27" s="111">
        <v>569920</v>
      </c>
      <c r="O27" s="82"/>
      <c r="P27" s="82"/>
      <c r="R27" s="78" t="s">
        <v>50</v>
      </c>
      <c r="S27" s="278">
        <v>6</v>
      </c>
      <c r="T27" s="287">
        <v>594.14458472669082</v>
      </c>
      <c r="U27" s="288">
        <v>0.1251775702363514</v>
      </c>
      <c r="V27" s="280">
        <v>2.1431976058263995</v>
      </c>
      <c r="W27" s="85">
        <v>3.533541683047202</v>
      </c>
      <c r="X27" s="289">
        <v>1.5275653934598468E-2</v>
      </c>
      <c r="Y27" s="281">
        <v>2.161473693394139</v>
      </c>
    </row>
    <row r="28" spans="1:25">
      <c r="A28" s="99"/>
      <c r="B28" s="101">
        <v>0</v>
      </c>
      <c r="C28" s="150">
        <v>-1</v>
      </c>
      <c r="D28" s="150">
        <v>-10</v>
      </c>
      <c r="E28" s="100"/>
      <c r="F28" s="102"/>
      <c r="G28" s="100"/>
      <c r="H28" s="100"/>
      <c r="J28" s="108"/>
      <c r="K28" s="110">
        <v>0</v>
      </c>
      <c r="L28" s="108"/>
      <c r="M28" s="108"/>
      <c r="R28" s="78" t="s">
        <v>51</v>
      </c>
      <c r="S28" s="278">
        <v>7</v>
      </c>
      <c r="T28" s="287">
        <v>691.38737462140739</v>
      </c>
      <c r="U28" s="85">
        <v>3.0514135058359197E-2</v>
      </c>
      <c r="V28" s="280">
        <v>2.1338650544071229</v>
      </c>
      <c r="W28" s="85">
        <v>3.8930622033072022</v>
      </c>
      <c r="X28" s="289">
        <v>1.6829566170225511E-2</v>
      </c>
      <c r="Y28" s="281">
        <v>2.1615008106025186</v>
      </c>
    </row>
    <row r="29" spans="1:25">
      <c r="A29" s="100"/>
      <c r="B29" s="100"/>
      <c r="C29" s="100"/>
      <c r="D29" s="100"/>
      <c r="E29" s="100"/>
      <c r="F29" s="100"/>
      <c r="G29" s="100"/>
      <c r="H29" s="100"/>
      <c r="R29" s="78" t="s">
        <v>52</v>
      </c>
      <c r="S29" s="278">
        <v>8</v>
      </c>
      <c r="T29" s="287">
        <v>789.17825914988759</v>
      </c>
      <c r="U29" s="85">
        <v>3.4488311730888635E-2</v>
      </c>
      <c r="V29" s="280">
        <v>2.1429920413916688</v>
      </c>
      <c r="W29" s="85">
        <v>4.1957494797108019</v>
      </c>
      <c r="X29" s="289">
        <v>1.8138064605077685E-2</v>
      </c>
      <c r="Y29" s="281">
        <v>2.1615016897139143</v>
      </c>
    </row>
    <row r="30" spans="1:25">
      <c r="A30" s="95">
        <v>36749</v>
      </c>
      <c r="B30" s="100" t="s">
        <v>167</v>
      </c>
      <c r="C30" s="100"/>
      <c r="D30" s="100"/>
      <c r="E30" s="100"/>
      <c r="F30" s="100"/>
      <c r="G30" s="100"/>
      <c r="H30" s="100"/>
      <c r="R30" s="78" t="s">
        <v>53</v>
      </c>
      <c r="S30" s="278">
        <v>9</v>
      </c>
      <c r="T30" s="287">
        <v>887.39621741672011</v>
      </c>
      <c r="U30" s="85">
        <v>3.8437383842652051E-2</v>
      </c>
      <c r="V30" s="280">
        <v>2.1526606162308073</v>
      </c>
      <c r="W30" s="85">
        <v>4.5130275889116023</v>
      </c>
      <c r="X30" s="289">
        <v>1.950964161604923E-2</v>
      </c>
      <c r="Y30" s="281">
        <v>2.161502239083005</v>
      </c>
    </row>
    <row r="31" spans="1:25">
      <c r="A31" s="100" t="s">
        <v>156</v>
      </c>
      <c r="B31" s="100"/>
      <c r="C31" s="100"/>
      <c r="D31" s="100"/>
      <c r="E31" s="100"/>
      <c r="F31" s="100"/>
      <c r="G31" s="100"/>
      <c r="H31" s="100"/>
      <c r="R31" t="s">
        <v>54</v>
      </c>
      <c r="S31" s="292">
        <v>10</v>
      </c>
      <c r="T31" s="290">
        <v>984.81803822283041</v>
      </c>
      <c r="U31" s="293">
        <v>4.2525009892841206E-2</v>
      </c>
      <c r="V31" s="285">
        <v>2.1555969699753237</v>
      </c>
      <c r="W31" s="293">
        <v>4.8219112189828826</v>
      </c>
      <c r="X31" s="294">
        <v>2.0844885511304524E-2</v>
      </c>
      <c r="Y31" s="286">
        <v>2.161505778795775</v>
      </c>
    </row>
    <row r="32" spans="1:25">
      <c r="A32" s="100" t="s">
        <v>159</v>
      </c>
      <c r="B32" s="100"/>
      <c r="C32" s="100"/>
      <c r="D32" s="100"/>
      <c r="E32" s="100"/>
      <c r="F32" s="100"/>
      <c r="G32" s="100"/>
      <c r="H32" s="100"/>
    </row>
    <row r="33" spans="1:8">
      <c r="A33" s="100">
        <v>10</v>
      </c>
      <c r="B33" s="100">
        <v>984617</v>
      </c>
      <c r="C33" s="100">
        <v>4827668</v>
      </c>
      <c r="D33" s="100"/>
      <c r="E33" s="100"/>
      <c r="F33" s="112">
        <v>984617</v>
      </c>
      <c r="G33" s="112">
        <v>4827668</v>
      </c>
      <c r="H33" s="100"/>
    </row>
    <row r="34" spans="1:8">
      <c r="A34" s="100">
        <v>9</v>
      </c>
      <c r="B34" s="100">
        <v>887225</v>
      </c>
      <c r="C34" s="100">
        <v>4520316</v>
      </c>
      <c r="D34" s="100"/>
      <c r="E34" s="100"/>
      <c r="F34" s="112">
        <v>887225</v>
      </c>
      <c r="G34" s="112">
        <v>4520316</v>
      </c>
      <c r="H34" s="100"/>
    </row>
    <row r="35" spans="1:8">
      <c r="A35" s="100">
        <v>8</v>
      </c>
      <c r="B35" s="100">
        <v>789013</v>
      </c>
      <c r="C35" s="100">
        <v>4202536</v>
      </c>
      <c r="D35" s="100"/>
      <c r="E35" s="100"/>
      <c r="F35" s="112">
        <v>789013</v>
      </c>
      <c r="G35" s="112">
        <v>4202536</v>
      </c>
      <c r="H35" s="100"/>
    </row>
    <row r="36" spans="1:8">
      <c r="A36" s="100">
        <v>7</v>
      </c>
      <c r="B36" s="100">
        <v>691241</v>
      </c>
      <c r="C36" s="100">
        <v>3899426</v>
      </c>
      <c r="D36" s="100"/>
      <c r="E36" s="100"/>
      <c r="F36" s="112">
        <v>691241</v>
      </c>
      <c r="G36" s="112">
        <v>3899426</v>
      </c>
      <c r="H36" s="100"/>
    </row>
    <row r="37" spans="1:8">
      <c r="A37" s="100">
        <v>6</v>
      </c>
      <c r="B37" s="100">
        <v>593428</v>
      </c>
      <c r="C37" s="100">
        <v>3543346</v>
      </c>
      <c r="D37" s="100"/>
      <c r="E37" s="100"/>
      <c r="F37" s="112">
        <v>593428</v>
      </c>
      <c r="G37" s="112">
        <v>3543346</v>
      </c>
      <c r="H37" s="100"/>
    </row>
    <row r="38" spans="1:8">
      <c r="A38" s="100">
        <v>5</v>
      </c>
      <c r="B38" s="100">
        <v>494412</v>
      </c>
      <c r="C38" s="100">
        <v>3181644</v>
      </c>
      <c r="D38" s="100"/>
      <c r="E38" s="100"/>
      <c r="F38" s="112">
        <v>494412</v>
      </c>
      <c r="G38" s="112">
        <v>3181644</v>
      </c>
      <c r="H38" s="100"/>
    </row>
    <row r="39" spans="1:8">
      <c r="A39" s="100">
        <v>4</v>
      </c>
      <c r="B39" s="100">
        <v>396485</v>
      </c>
      <c r="C39" s="100">
        <v>2797540</v>
      </c>
      <c r="D39" s="100"/>
      <c r="E39" s="100"/>
      <c r="F39" s="112">
        <v>396485</v>
      </c>
      <c r="G39" s="112">
        <v>2797540</v>
      </c>
      <c r="H39" s="100"/>
    </row>
    <row r="40" spans="1:8">
      <c r="A40" s="100">
        <v>3</v>
      </c>
      <c r="B40" s="100">
        <v>298228</v>
      </c>
      <c r="C40" s="100">
        <v>2208660</v>
      </c>
      <c r="D40" s="100"/>
      <c r="E40" s="100"/>
      <c r="F40" s="112">
        <v>298228</v>
      </c>
      <c r="G40" s="112">
        <v>2208660</v>
      </c>
      <c r="H40" s="100"/>
    </row>
    <row r="41" spans="1:8">
      <c r="A41" s="100">
        <v>2</v>
      </c>
      <c r="B41" s="100">
        <v>198994</v>
      </c>
      <c r="C41" s="100">
        <v>1740961</v>
      </c>
      <c r="D41" s="100"/>
      <c r="E41" s="100"/>
      <c r="F41" s="112">
        <v>198994</v>
      </c>
      <c r="G41" s="112">
        <v>1740961</v>
      </c>
      <c r="H41" s="100"/>
    </row>
    <row r="42" spans="1:8">
      <c r="A42" s="100">
        <v>1</v>
      </c>
      <c r="B42" s="100">
        <v>99140</v>
      </c>
      <c r="C42" s="100">
        <v>1167446</v>
      </c>
      <c r="D42" s="100"/>
      <c r="E42" s="100"/>
      <c r="F42" s="112">
        <v>99140</v>
      </c>
      <c r="G42" s="112">
        <v>1167446</v>
      </c>
      <c r="H42" s="100"/>
    </row>
    <row r="43" spans="1:8">
      <c r="A43" s="100">
        <v>0</v>
      </c>
      <c r="B43" s="100"/>
      <c r="C43" s="100"/>
      <c r="D43" s="100"/>
      <c r="E43" s="100"/>
      <c r="F43" s="100"/>
      <c r="G43" s="100"/>
      <c r="H43" s="100"/>
    </row>
    <row r="44" spans="1:8">
      <c r="A44" s="100" t="s">
        <v>163</v>
      </c>
      <c r="B44" s="100"/>
      <c r="C44" s="100"/>
      <c r="D44" s="100"/>
      <c r="E44" s="100"/>
      <c r="F44" s="100"/>
      <c r="G44" s="100"/>
      <c r="H44" s="100"/>
    </row>
    <row r="45" spans="1:8">
      <c r="A45" s="100" t="s">
        <v>164</v>
      </c>
      <c r="B45" s="100"/>
      <c r="C45" s="100"/>
      <c r="D45" s="100"/>
      <c r="E45" s="100"/>
      <c r="F45" s="100"/>
      <c r="G45" s="100"/>
      <c r="H45" s="100"/>
    </row>
    <row r="46" spans="1:8">
      <c r="A46" s="100">
        <v>10</v>
      </c>
      <c r="B46" s="100">
        <v>980273</v>
      </c>
      <c r="C46" s="100">
        <v>2221419</v>
      </c>
      <c r="D46" s="100"/>
      <c r="E46" s="100"/>
      <c r="F46" s="112">
        <v>980273</v>
      </c>
      <c r="G46" s="112">
        <v>2221419</v>
      </c>
      <c r="H46" s="100"/>
    </row>
    <row r="47" spans="1:8">
      <c r="A47" s="100">
        <v>9</v>
      </c>
      <c r="B47" s="100">
        <v>883227</v>
      </c>
      <c r="C47" s="100">
        <v>2073654</v>
      </c>
      <c r="D47" s="100"/>
      <c r="E47" s="100"/>
      <c r="F47" s="112">
        <v>883227</v>
      </c>
      <c r="G47" s="112">
        <v>2073654</v>
      </c>
      <c r="H47" s="100"/>
    </row>
    <row r="48" spans="1:8">
      <c r="A48" s="100">
        <v>8</v>
      </c>
      <c r="B48" s="100">
        <v>786313</v>
      </c>
      <c r="C48" s="100">
        <v>1928038</v>
      </c>
      <c r="D48" s="100"/>
      <c r="E48" s="100"/>
      <c r="F48" s="112">
        <v>786313</v>
      </c>
      <c r="G48" s="112">
        <v>1928038</v>
      </c>
      <c r="H48" s="100"/>
    </row>
    <row r="49" spans="1:30">
      <c r="A49" s="100">
        <v>7</v>
      </c>
      <c r="B49" s="100">
        <v>689092</v>
      </c>
      <c r="C49" s="100">
        <v>1776493</v>
      </c>
      <c r="D49" s="100"/>
      <c r="E49" s="100"/>
      <c r="F49" s="112">
        <v>689092</v>
      </c>
      <c r="G49" s="112">
        <v>1776493</v>
      </c>
      <c r="H49" s="100"/>
    </row>
    <row r="50" spans="1:30">
      <c r="A50" s="100">
        <v>6</v>
      </c>
      <c r="B50" s="100">
        <v>591422</v>
      </c>
      <c r="C50" s="100">
        <v>1612197</v>
      </c>
      <c r="D50" s="100"/>
      <c r="E50" s="100"/>
      <c r="F50" s="112">
        <v>591422</v>
      </c>
      <c r="G50" s="112">
        <v>1612197</v>
      </c>
      <c r="H50" s="100"/>
    </row>
    <row r="51" spans="1:30">
      <c r="A51" s="100">
        <v>5</v>
      </c>
      <c r="B51" s="100">
        <v>493192</v>
      </c>
      <c r="C51" s="100">
        <v>1443680</v>
      </c>
      <c r="D51" s="100"/>
      <c r="E51" s="100"/>
      <c r="F51" s="112">
        <v>493192</v>
      </c>
      <c r="G51" s="112">
        <v>1443680</v>
      </c>
      <c r="H51" s="100"/>
    </row>
    <row r="52" spans="1:30">
      <c r="A52" s="100">
        <v>4</v>
      </c>
      <c r="B52" s="100">
        <v>394829</v>
      </c>
      <c r="C52" s="100">
        <v>1266570</v>
      </c>
      <c r="D52" s="100"/>
      <c r="E52" s="100"/>
      <c r="F52" s="112">
        <v>394829</v>
      </c>
      <c r="G52" s="112">
        <v>1266570</v>
      </c>
      <c r="H52" s="100"/>
    </row>
    <row r="53" spans="1:30">
      <c r="A53" s="100">
        <v>3</v>
      </c>
      <c r="B53" s="100">
        <v>297330</v>
      </c>
      <c r="C53" s="100">
        <v>1073180</v>
      </c>
      <c r="D53" s="100"/>
      <c r="E53" s="100"/>
      <c r="F53" s="112">
        <v>297330</v>
      </c>
      <c r="G53" s="112">
        <v>1073180</v>
      </c>
      <c r="H53" s="100"/>
    </row>
    <row r="54" spans="1:30">
      <c r="A54" s="100">
        <v>2</v>
      </c>
      <c r="B54" s="100">
        <v>198979</v>
      </c>
      <c r="C54" s="100">
        <v>849340</v>
      </c>
      <c r="D54" s="100"/>
      <c r="E54" s="100"/>
      <c r="F54" s="112">
        <v>198979</v>
      </c>
      <c r="G54" s="112">
        <v>849340</v>
      </c>
      <c r="H54" s="100"/>
    </row>
    <row r="55" spans="1:30">
      <c r="A55" s="100">
        <v>1</v>
      </c>
      <c r="B55" s="100">
        <v>99390</v>
      </c>
      <c r="C55" s="100">
        <v>569920</v>
      </c>
      <c r="D55" s="100"/>
      <c r="E55" s="100"/>
      <c r="F55" s="112">
        <v>99390</v>
      </c>
      <c r="G55" s="112">
        <v>569920</v>
      </c>
      <c r="H55" s="100"/>
    </row>
    <row r="56" spans="1:30">
      <c r="A56" s="100">
        <v>0</v>
      </c>
      <c r="B56" s="100"/>
      <c r="C56" s="100"/>
      <c r="D56" s="100"/>
      <c r="E56" s="100"/>
      <c r="F56" s="100"/>
      <c r="G56" s="100"/>
      <c r="H56" s="100"/>
    </row>
    <row r="57" spans="1:30" ht="13.5" thickBot="1">
      <c r="A57" s="95">
        <v>34971</v>
      </c>
      <c r="I57" s="320">
        <v>34971</v>
      </c>
      <c r="Q57" s="95">
        <v>38406</v>
      </c>
    </row>
    <row r="58" spans="1:30" ht="16.5" thickTop="1">
      <c r="A58" s="3" t="s">
        <v>156</v>
      </c>
      <c r="I58" s="295" t="s">
        <v>144</v>
      </c>
      <c r="J58" s="296" t="s">
        <v>142</v>
      </c>
      <c r="K58" s="296" t="s">
        <v>303</v>
      </c>
      <c r="L58" s="296" t="s">
        <v>145</v>
      </c>
      <c r="M58" s="297" t="s">
        <v>143</v>
      </c>
      <c r="N58" s="297" t="s">
        <v>303</v>
      </c>
      <c r="O58" s="298" t="s">
        <v>145</v>
      </c>
      <c r="Q58" s="3" t="s">
        <v>156</v>
      </c>
      <c r="U58" t="s">
        <v>158</v>
      </c>
      <c r="V58" t="s">
        <v>157</v>
      </c>
    </row>
    <row r="59" spans="1:30" ht="15.75">
      <c r="A59" s="3" t="s">
        <v>159</v>
      </c>
      <c r="I59" s="299"/>
      <c r="J59" s="300" t="s">
        <v>190</v>
      </c>
      <c r="K59" s="301" t="s">
        <v>190</v>
      </c>
      <c r="L59" s="302" t="s">
        <v>304</v>
      </c>
      <c r="M59" s="303" t="s">
        <v>191</v>
      </c>
      <c r="N59" s="303" t="s">
        <v>191</v>
      </c>
      <c r="O59" s="304" t="s">
        <v>304</v>
      </c>
      <c r="Q59" s="3" t="s">
        <v>159</v>
      </c>
      <c r="V59" t="s">
        <v>162</v>
      </c>
    </row>
    <row r="60" spans="1:30" ht="15.75">
      <c r="A60" s="3">
        <v>10</v>
      </c>
      <c r="B60" s="96">
        <v>984610</v>
      </c>
      <c r="C60" s="96">
        <v>4837350</v>
      </c>
      <c r="I60" s="305">
        <v>1</v>
      </c>
      <c r="J60" s="306">
        <v>994.03001307000011</v>
      </c>
      <c r="K60" s="307">
        <v>5.4571777918739316E-2</v>
      </c>
      <c r="L60" s="307">
        <v>2.15235659569991</v>
      </c>
      <c r="M60" s="308">
        <v>5.7182273086500004</v>
      </c>
      <c r="N60" s="308">
        <v>2.4720618609479127E-2</v>
      </c>
      <c r="O60" s="309">
        <v>2.1615327311069059</v>
      </c>
      <c r="Q60" s="3">
        <v>10</v>
      </c>
      <c r="R60">
        <v>984646</v>
      </c>
      <c r="S60">
        <v>4821626</v>
      </c>
      <c r="U60" s="97">
        <f t="shared" ref="U60:U69" si="0">(C5-R60)/($B$2-$Q$57)*90/C5*100</f>
        <v>0</v>
      </c>
      <c r="V60" s="97">
        <f t="shared" ref="V60:V69" si="1">(D5-S60)/($B$2-$Q$57)*90/D5*100</f>
        <v>0</v>
      </c>
      <c r="Y60" s="82"/>
      <c r="Z60" s="82"/>
      <c r="AC60" s="82"/>
      <c r="AD60" s="82"/>
    </row>
    <row r="61" spans="1:30" ht="15.75">
      <c r="A61" s="3">
        <v>9</v>
      </c>
      <c r="B61" s="96">
        <v>887218</v>
      </c>
      <c r="C61" s="96">
        <v>4529080</v>
      </c>
      <c r="I61" s="299">
        <v>2</v>
      </c>
      <c r="J61" s="310">
        <v>1980.3587864400001</v>
      </c>
      <c r="K61" s="307">
        <v>0.10366106615247855</v>
      </c>
      <c r="L61" s="307">
        <v>2.2108065863145372</v>
      </c>
      <c r="M61" s="308">
        <v>8.4219489706499999</v>
      </c>
      <c r="N61" s="308">
        <v>3.6409148712398122E-2</v>
      </c>
      <c r="O61" s="309">
        <v>2.1615327311069059</v>
      </c>
      <c r="Q61" s="3">
        <v>9</v>
      </c>
      <c r="R61">
        <v>887241</v>
      </c>
      <c r="S61">
        <v>4512760</v>
      </c>
      <c r="U61" s="97">
        <f t="shared" si="0"/>
        <v>0</v>
      </c>
      <c r="V61" s="97">
        <f t="shared" si="1"/>
        <v>0</v>
      </c>
      <c r="Y61" s="82"/>
      <c r="Z61" s="82"/>
      <c r="AC61" s="82"/>
      <c r="AD61" s="82"/>
    </row>
    <row r="62" spans="1:30" ht="15.75">
      <c r="A62" s="3">
        <v>8</v>
      </c>
      <c r="B62" s="96">
        <v>789017</v>
      </c>
      <c r="C62" s="96">
        <v>4210450</v>
      </c>
      <c r="I62" s="299">
        <v>3</v>
      </c>
      <c r="J62" s="310">
        <v>2968.9979317200005</v>
      </c>
      <c r="K62" s="307">
        <v>0.15407063082965211</v>
      </c>
      <c r="L62" s="307">
        <v>2.229765498758685</v>
      </c>
      <c r="M62" s="308">
        <v>10.712052020650001</v>
      </c>
      <c r="N62" s="308">
        <v>4.6309553334266937E-2</v>
      </c>
      <c r="O62" s="309">
        <v>2.1615327311069059</v>
      </c>
      <c r="Q62" s="3">
        <v>8</v>
      </c>
      <c r="R62">
        <v>789040</v>
      </c>
      <c r="S62">
        <v>4195500</v>
      </c>
      <c r="U62" s="97">
        <f t="shared" si="0"/>
        <v>0</v>
      </c>
      <c r="V62" s="97">
        <f t="shared" si="1"/>
        <v>0</v>
      </c>
      <c r="Y62" s="82"/>
      <c r="Z62" s="82"/>
      <c r="AC62" s="82"/>
      <c r="AD62" s="82"/>
    </row>
    <row r="63" spans="1:30" ht="15.75">
      <c r="A63" s="3">
        <v>7</v>
      </c>
      <c r="B63" s="96">
        <v>691242</v>
      </c>
      <c r="C63" s="96">
        <v>3906360</v>
      </c>
      <c r="I63" s="299">
        <v>4</v>
      </c>
      <c r="J63" s="310">
        <v>3948.4355958000006</v>
      </c>
      <c r="K63" s="307">
        <v>0.2042337898644945</v>
      </c>
      <c r="L63" s="307">
        <v>2.238148096947572</v>
      </c>
      <c r="M63" s="307">
        <v>12.706341759650002</v>
      </c>
      <c r="N63" s="307">
        <v>5.49311196648044E-2</v>
      </c>
      <c r="O63" s="309">
        <v>2.1615327311069059</v>
      </c>
      <c r="Q63" s="3">
        <v>7</v>
      </c>
      <c r="R63">
        <v>691266</v>
      </c>
      <c r="S63">
        <v>3892830</v>
      </c>
      <c r="U63" s="97">
        <f t="shared" si="0"/>
        <v>0</v>
      </c>
      <c r="V63" s="97">
        <f t="shared" si="1"/>
        <v>0</v>
      </c>
      <c r="Y63" s="82"/>
      <c r="Z63" s="82"/>
      <c r="AC63" s="82"/>
      <c r="AD63" s="82"/>
    </row>
    <row r="64" spans="1:30" ht="15.75">
      <c r="A64" s="3">
        <v>6</v>
      </c>
      <c r="B64" s="96">
        <v>593424</v>
      </c>
      <c r="C64" s="96">
        <v>3549500</v>
      </c>
      <c r="I64" s="299">
        <v>5</v>
      </c>
      <c r="J64" s="310">
        <v>4931.9739199800006</v>
      </c>
      <c r="K64" s="307">
        <v>0.25468228969874401</v>
      </c>
      <c r="L64" s="307">
        <v>2.2427976181251585</v>
      </c>
      <c r="M64" s="307">
        <v>14.481821652650002</v>
      </c>
      <c r="N64" s="307">
        <v>6.2606743405269838E-2</v>
      </c>
      <c r="O64" s="309">
        <v>2.1615327311069059</v>
      </c>
      <c r="Q64" s="3">
        <v>6</v>
      </c>
      <c r="R64">
        <v>594040</v>
      </c>
      <c r="S64">
        <v>3533330</v>
      </c>
      <c r="U64" s="97">
        <f t="shared" si="0"/>
        <v>1.1602081465653795</v>
      </c>
      <c r="V64" s="97">
        <f t="shared" si="1"/>
        <v>-3.1800450760382981</v>
      </c>
      <c r="Y64" s="82"/>
      <c r="Z64" s="82"/>
      <c r="AC64" s="82"/>
      <c r="AD64" s="82"/>
    </row>
    <row r="65" spans="1:30" ht="15.75">
      <c r="A65" s="3">
        <v>5</v>
      </c>
      <c r="B65" s="96">
        <v>494410</v>
      </c>
      <c r="C65" s="96">
        <v>3186950</v>
      </c>
      <c r="I65" s="299">
        <v>6</v>
      </c>
      <c r="J65" s="310">
        <v>5914.2020332499997</v>
      </c>
      <c r="K65" s="307">
        <v>0.30510597042793774</v>
      </c>
      <c r="L65" s="307">
        <v>2.245626350107647</v>
      </c>
      <c r="M65" s="307">
        <v>16.174397815150002</v>
      </c>
      <c r="N65" s="307">
        <v>6.9923963851782053E-2</v>
      </c>
      <c r="O65" s="309">
        <v>2.1615327311069059</v>
      </c>
      <c r="Q65" s="3">
        <v>5</v>
      </c>
      <c r="R65">
        <v>494427</v>
      </c>
      <c r="S65">
        <v>3176330</v>
      </c>
      <c r="U65" s="97">
        <f t="shared" si="0"/>
        <v>0</v>
      </c>
      <c r="V65" s="97">
        <f t="shared" si="1"/>
        <v>0</v>
      </c>
      <c r="Y65" s="82"/>
      <c r="Z65" s="82"/>
      <c r="AC65" s="82"/>
      <c r="AD65" s="82"/>
    </row>
    <row r="66" spans="1:30" ht="15.75">
      <c r="A66" s="3">
        <v>4</v>
      </c>
      <c r="B66" s="96">
        <v>396487</v>
      </c>
      <c r="C66" s="96">
        <v>2802060</v>
      </c>
      <c r="I66" s="299">
        <v>7</v>
      </c>
      <c r="J66" s="310">
        <v>6890.969267460001</v>
      </c>
      <c r="K66" s="307">
        <v>0.35527449141810952</v>
      </c>
      <c r="L66" s="307">
        <v>2.2474804836432694</v>
      </c>
      <c r="M66" s="307">
        <v>17.822371970650003</v>
      </c>
      <c r="N66" s="307">
        <v>7.7048364190811583E-2</v>
      </c>
      <c r="O66" s="309">
        <v>2.1615327311069059</v>
      </c>
      <c r="Q66" s="3">
        <v>4</v>
      </c>
      <c r="R66">
        <v>396493</v>
      </c>
      <c r="S66">
        <v>2793140</v>
      </c>
      <c r="U66" s="97">
        <f t="shared" si="0"/>
        <v>0</v>
      </c>
      <c r="V66" s="97">
        <f t="shared" si="1"/>
        <v>0</v>
      </c>
      <c r="Y66" s="82"/>
      <c r="Z66" s="82"/>
      <c r="AC66" s="82"/>
      <c r="AD66" s="82"/>
    </row>
    <row r="67" spans="1:30" ht="15.75">
      <c r="A67" s="3">
        <v>3</v>
      </c>
      <c r="B67" s="96">
        <v>298244</v>
      </c>
      <c r="C67" s="96">
        <v>2214550</v>
      </c>
      <c r="I67" s="299">
        <v>8</v>
      </c>
      <c r="J67" s="310">
        <v>7863.1257594600002</v>
      </c>
      <c r="K67" s="307">
        <v>0.40521193920861043</v>
      </c>
      <c r="L67" s="307">
        <v>2.2488498968863784</v>
      </c>
      <c r="M67" s="307">
        <v>19.342140357150001</v>
      </c>
      <c r="N67" s="307">
        <v>8.3618514803848271E-2</v>
      </c>
      <c r="O67" s="309">
        <v>2.1615327311069059</v>
      </c>
      <c r="Q67" s="3">
        <v>3</v>
      </c>
      <c r="R67">
        <v>298240</v>
      </c>
      <c r="S67">
        <v>2207660</v>
      </c>
      <c r="U67" s="97">
        <f t="shared" si="0"/>
        <v>0</v>
      </c>
      <c r="V67" s="97">
        <f t="shared" si="1"/>
        <v>0</v>
      </c>
      <c r="Y67" s="82"/>
      <c r="Z67" s="82"/>
      <c r="AC67" s="82"/>
      <c r="AD67" s="82"/>
    </row>
    <row r="68" spans="1:30" ht="15.75">
      <c r="A68" s="3">
        <v>2</v>
      </c>
      <c r="B68" s="96">
        <v>198994</v>
      </c>
      <c r="C68" s="96">
        <v>1745600</v>
      </c>
      <c r="I68" s="299">
        <v>9</v>
      </c>
      <c r="J68" s="310">
        <v>8832.1617491400011</v>
      </c>
      <c r="K68" s="307">
        <v>0.45499665544648238</v>
      </c>
      <c r="L68" s="307">
        <v>2.2498773480475625</v>
      </c>
      <c r="M68" s="307">
        <v>20.801806039150001</v>
      </c>
      <c r="N68" s="307">
        <v>8.9928833837070843E-2</v>
      </c>
      <c r="O68" s="309">
        <v>2.1615327311069059</v>
      </c>
      <c r="Q68" s="3">
        <v>2</v>
      </c>
      <c r="R68">
        <v>198990</v>
      </c>
      <c r="S68">
        <v>1740140</v>
      </c>
      <c r="U68" s="97">
        <f t="shared" si="0"/>
        <v>0</v>
      </c>
      <c r="V68" s="97">
        <f t="shared" si="1"/>
        <v>0</v>
      </c>
      <c r="Y68" s="82"/>
      <c r="Z68" s="82"/>
      <c r="AC68" s="82"/>
      <c r="AD68" s="82"/>
    </row>
    <row r="69" spans="1:30" ht="16.5" thickBot="1">
      <c r="A69" s="3">
        <v>1</v>
      </c>
      <c r="B69" s="96">
        <v>99144</v>
      </c>
      <c r="C69" s="96">
        <v>1170560</v>
      </c>
      <c r="I69" s="311">
        <v>10</v>
      </c>
      <c r="J69" s="312">
        <v>9802.5679593900004</v>
      </c>
      <c r="K69" s="313">
        <v>0.5048632034127607</v>
      </c>
      <c r="L69" s="314">
        <v>2.2506402239202457</v>
      </c>
      <c r="M69" s="314">
        <v>22.283172697650002</v>
      </c>
      <c r="N69" s="314">
        <v>9.6332968931557433E-2</v>
      </c>
      <c r="O69" s="315">
        <v>2.1615327311069059</v>
      </c>
      <c r="Q69" s="3">
        <v>1</v>
      </c>
      <c r="R69">
        <v>99142</v>
      </c>
      <c r="S69">
        <v>1167100</v>
      </c>
      <c r="U69" s="97">
        <f t="shared" si="0"/>
        <v>0</v>
      </c>
      <c r="V69" s="97">
        <f t="shared" si="1"/>
        <v>0</v>
      </c>
      <c r="Y69" s="82"/>
      <c r="Z69" s="82"/>
      <c r="AC69" s="82"/>
      <c r="AD69" s="82"/>
    </row>
    <row r="70" spans="1:30" ht="13.5" thickTop="1">
      <c r="A70" s="3">
        <v>0</v>
      </c>
      <c r="B70" s="82"/>
      <c r="C70" s="82"/>
      <c r="Q70" s="3">
        <v>0</v>
      </c>
      <c r="Y70" s="82"/>
      <c r="Z70" s="82"/>
    </row>
    <row r="71" spans="1:30">
      <c r="A71" s="3" t="s">
        <v>163</v>
      </c>
      <c r="B71" s="82"/>
      <c r="C71" s="82"/>
      <c r="R71" s="3" t="s">
        <v>163</v>
      </c>
      <c r="U71" s="98"/>
      <c r="V71" s="97"/>
      <c r="Y71" s="82"/>
      <c r="Z71" s="82"/>
    </row>
    <row r="72" spans="1:30">
      <c r="A72" s="3" t="s">
        <v>164</v>
      </c>
      <c r="B72" s="82"/>
      <c r="C72" s="82"/>
      <c r="R72" s="3" t="s">
        <v>164</v>
      </c>
      <c r="U72" s="98"/>
      <c r="V72" s="98"/>
      <c r="Y72" s="82"/>
      <c r="Z72" s="82"/>
    </row>
    <row r="73" spans="1:30">
      <c r="A73" s="3">
        <v>10</v>
      </c>
      <c r="B73" s="96">
        <v>980098</v>
      </c>
      <c r="C73" s="96">
        <v>2228210</v>
      </c>
      <c r="Q73" s="3">
        <v>10</v>
      </c>
      <c r="R73">
        <v>980229</v>
      </c>
      <c r="S73">
        <v>2219460</v>
      </c>
      <c r="U73" s="97">
        <f t="shared" ref="U73:U82" si="2">(C18-R73)/($B$2-$Q$57)*90/C18*100</f>
        <v>0</v>
      </c>
      <c r="V73" s="97">
        <f t="shared" ref="V73:V82" si="3">(D18-S73)/($B$2-$Q$57)*90/D18*100</f>
        <v>0</v>
      </c>
      <c r="Y73" s="82"/>
      <c r="Z73" s="82"/>
      <c r="AC73" s="82"/>
      <c r="AD73" s="82"/>
    </row>
    <row r="74" spans="1:30" ht="13.5" thickBot="1">
      <c r="A74" s="3">
        <v>9</v>
      </c>
      <c r="B74" s="96">
        <v>883073</v>
      </c>
      <c r="C74" s="96">
        <v>2080080</v>
      </c>
      <c r="Q74" s="3">
        <v>9</v>
      </c>
      <c r="R74">
        <v>883184</v>
      </c>
      <c r="S74">
        <v>2071200</v>
      </c>
      <c r="U74" s="97">
        <f t="shared" si="2"/>
        <v>0</v>
      </c>
      <c r="V74" s="97">
        <f t="shared" si="3"/>
        <v>0</v>
      </c>
      <c r="Y74" s="82"/>
      <c r="Z74" s="82"/>
      <c r="AC74" s="82"/>
      <c r="AD74" s="82"/>
    </row>
    <row r="75" spans="1:30" ht="16.5" thickTop="1">
      <c r="A75" s="3">
        <v>8</v>
      </c>
      <c r="B75" s="96">
        <v>786185</v>
      </c>
      <c r="C75" s="96">
        <v>1934120</v>
      </c>
      <c r="I75" s="295" t="s">
        <v>144</v>
      </c>
      <c r="J75" s="296" t="s">
        <v>142</v>
      </c>
      <c r="K75" s="296" t="s">
        <v>303</v>
      </c>
      <c r="L75" s="296" t="s">
        <v>145</v>
      </c>
      <c r="M75" s="297" t="s">
        <v>143</v>
      </c>
      <c r="N75" s="297" t="s">
        <v>303</v>
      </c>
      <c r="O75" s="298" t="s">
        <v>145</v>
      </c>
      <c r="Q75" s="3">
        <v>8</v>
      </c>
      <c r="R75">
        <v>786268</v>
      </c>
      <c r="S75">
        <v>1925567</v>
      </c>
      <c r="U75" s="97">
        <f t="shared" si="2"/>
        <v>0</v>
      </c>
      <c r="V75" s="97">
        <f t="shared" si="3"/>
        <v>0</v>
      </c>
      <c r="Y75" s="82"/>
      <c r="Z75" s="82"/>
      <c r="AC75" s="82"/>
      <c r="AD75" s="82"/>
    </row>
    <row r="76" spans="1:30" ht="15.75">
      <c r="A76" s="3">
        <v>7</v>
      </c>
      <c r="B76" s="96">
        <v>688985</v>
      </c>
      <c r="C76" s="96">
        <v>1782150</v>
      </c>
      <c r="I76" s="299"/>
      <c r="J76" s="300" t="s">
        <v>190</v>
      </c>
      <c r="K76" s="301" t="s">
        <v>190</v>
      </c>
      <c r="L76" s="302" t="s">
        <v>304</v>
      </c>
      <c r="M76" s="303" t="s">
        <v>191</v>
      </c>
      <c r="N76" s="303" t="s">
        <v>191</v>
      </c>
      <c r="O76" s="304" t="s">
        <v>304</v>
      </c>
      <c r="Q76" s="3">
        <v>7</v>
      </c>
      <c r="R76">
        <v>689049</v>
      </c>
      <c r="S76">
        <v>1774060</v>
      </c>
      <c r="U76" s="97">
        <f t="shared" si="2"/>
        <v>0</v>
      </c>
      <c r="V76" s="97">
        <f t="shared" si="3"/>
        <v>0</v>
      </c>
      <c r="Y76" s="82"/>
      <c r="Z76" s="82"/>
      <c r="AC76" s="82"/>
      <c r="AD76" s="82"/>
    </row>
    <row r="77" spans="1:30" ht="15.75">
      <c r="A77" s="3">
        <v>6</v>
      </c>
      <c r="B77" s="96">
        <v>591324</v>
      </c>
      <c r="C77" s="96">
        <v>1617360</v>
      </c>
      <c r="I77" s="305">
        <v>1</v>
      </c>
      <c r="J77" s="316">
        <v>99.161962506000009</v>
      </c>
      <c r="K77" s="308">
        <v>5.7278826620546265E-3</v>
      </c>
      <c r="L77" s="307">
        <v>2.0996200740162925</v>
      </c>
      <c r="M77" s="308">
        <v>1.17062267565</v>
      </c>
      <c r="N77" s="308">
        <v>5.0607496236772798E-3</v>
      </c>
      <c r="O77" s="309">
        <v>2.1615327311069059</v>
      </c>
      <c r="Q77" s="3">
        <v>6</v>
      </c>
      <c r="R77">
        <v>591383</v>
      </c>
      <c r="S77">
        <v>1609810</v>
      </c>
      <c r="U77" s="97">
        <f t="shared" si="2"/>
        <v>0</v>
      </c>
      <c r="V77" s="97">
        <f t="shared" si="3"/>
        <v>0</v>
      </c>
      <c r="Y77" s="82"/>
      <c r="Z77" s="82"/>
      <c r="AC77" s="82"/>
      <c r="AD77" s="82"/>
    </row>
    <row r="78" spans="1:30" ht="15.75">
      <c r="A78" s="3">
        <v>5</v>
      </c>
      <c r="B78" s="96">
        <v>493117</v>
      </c>
      <c r="C78" s="96">
        <v>1448110</v>
      </c>
      <c r="I78" s="299">
        <v>2</v>
      </c>
      <c r="J78" s="317">
        <v>199.028038356</v>
      </c>
      <c r="K78" s="308">
        <v>1.0708552017082483E-2</v>
      </c>
      <c r="L78" s="307">
        <v>2.161821316285033</v>
      </c>
      <c r="M78" s="308">
        <v>1.7456885524500001</v>
      </c>
      <c r="N78" s="308">
        <v>7.5468320139652446E-3</v>
      </c>
      <c r="O78" s="309">
        <v>2.1615327311069059</v>
      </c>
      <c r="Q78" s="3">
        <v>5</v>
      </c>
      <c r="R78">
        <v>493158</v>
      </c>
      <c r="S78">
        <v>1441300</v>
      </c>
      <c r="U78" s="97">
        <f t="shared" si="2"/>
        <v>0</v>
      </c>
      <c r="V78" s="97">
        <f t="shared" si="3"/>
        <v>0</v>
      </c>
      <c r="Y78" s="82"/>
      <c r="Z78" s="82"/>
      <c r="AC78" s="82"/>
      <c r="AD78" s="82"/>
    </row>
    <row r="79" spans="1:30" ht="15.75">
      <c r="A79" s="3">
        <v>4</v>
      </c>
      <c r="B79" s="96">
        <v>394779</v>
      </c>
      <c r="C79" s="96">
        <v>1270570</v>
      </c>
      <c r="I79" s="299">
        <v>3</v>
      </c>
      <c r="J79" s="317">
        <v>298.29401760600001</v>
      </c>
      <c r="K79" s="308">
        <v>1.5774483799450404E-2</v>
      </c>
      <c r="L79" s="307">
        <v>2.1887867535813004</v>
      </c>
      <c r="M79" s="308">
        <v>2.2146596552000002</v>
      </c>
      <c r="N79" s="308">
        <v>9.5742533010505625E-3</v>
      </c>
      <c r="O79" s="309">
        <v>2.1615327311069059</v>
      </c>
      <c r="Q79" s="3">
        <v>4</v>
      </c>
      <c r="R79">
        <v>394802</v>
      </c>
      <c r="S79">
        <v>1264540</v>
      </c>
      <c r="U79" s="97">
        <f t="shared" si="2"/>
        <v>0</v>
      </c>
      <c r="V79" s="97">
        <f t="shared" si="3"/>
        <v>0</v>
      </c>
      <c r="Y79" s="82"/>
      <c r="Z79" s="82"/>
      <c r="AC79" s="82"/>
      <c r="AD79" s="82"/>
    </row>
    <row r="80" spans="1:30" ht="15.75">
      <c r="A80" s="3">
        <v>3</v>
      </c>
      <c r="B80" s="96">
        <v>296852</v>
      </c>
      <c r="C80" s="96">
        <v>1071150</v>
      </c>
      <c r="I80" s="299">
        <v>4</v>
      </c>
      <c r="J80" s="317">
        <v>396.55283472900004</v>
      </c>
      <c r="K80" s="308">
        <v>2.0872149728755486E-2</v>
      </c>
      <c r="L80" s="307">
        <v>2.1975047179327092</v>
      </c>
      <c r="M80" s="308">
        <v>2.8021960931500001</v>
      </c>
      <c r="N80" s="308">
        <v>1.211424750165936E-2</v>
      </c>
      <c r="O80" s="309">
        <v>2.1615327311069059</v>
      </c>
      <c r="Q80" s="3">
        <v>3</v>
      </c>
      <c r="R80">
        <v>296830</v>
      </c>
      <c r="S80">
        <v>1066030</v>
      </c>
      <c r="U80" s="97">
        <f t="shared" si="2"/>
        <v>0</v>
      </c>
      <c r="V80" s="97">
        <f t="shared" si="3"/>
        <v>0</v>
      </c>
      <c r="Y80" s="82"/>
      <c r="Z80" s="82"/>
      <c r="AC80" s="82"/>
      <c r="AD80" s="82"/>
    </row>
    <row r="81" spans="1:30" ht="15.75">
      <c r="A81" s="3">
        <v>2</v>
      </c>
      <c r="B81" s="96">
        <v>198003</v>
      </c>
      <c r="C81" s="96">
        <v>842150</v>
      </c>
      <c r="I81" s="299">
        <v>5</v>
      </c>
      <c r="J81" s="317">
        <v>494.49160033200008</v>
      </c>
      <c r="K81" s="308">
        <v>2.5900963325111551E-2</v>
      </c>
      <c r="L81" s="307">
        <v>2.2074307034508269</v>
      </c>
      <c r="M81" s="308">
        <v>3.1871034132000005</v>
      </c>
      <c r="N81" s="308">
        <v>1.3778250442668567E-2</v>
      </c>
      <c r="O81" s="309">
        <v>2.1615327311069059</v>
      </c>
      <c r="Q81" s="3">
        <v>2</v>
      </c>
      <c r="R81">
        <v>198006</v>
      </c>
      <c r="S81">
        <v>838110</v>
      </c>
      <c r="U81" s="97">
        <f t="shared" si="2"/>
        <v>0</v>
      </c>
      <c r="V81" s="97">
        <f t="shared" si="3"/>
        <v>0</v>
      </c>
      <c r="Y81" s="82"/>
      <c r="Z81" s="82"/>
      <c r="AC81" s="82"/>
      <c r="AD81" s="82"/>
    </row>
    <row r="82" spans="1:30" ht="15.75">
      <c r="A82" s="3">
        <v>1</v>
      </c>
      <c r="B82" s="96">
        <v>99384</v>
      </c>
      <c r="C82" s="96">
        <v>571790</v>
      </c>
      <c r="I82" s="299">
        <v>6</v>
      </c>
      <c r="J82" s="317">
        <v>593.52154158600001</v>
      </c>
      <c r="K82" s="308">
        <v>3.0990853143765405E-2</v>
      </c>
      <c r="L82" s="307">
        <v>2.2143257298374808</v>
      </c>
      <c r="M82" s="308">
        <v>3.54966972795</v>
      </c>
      <c r="N82" s="308">
        <v>1.534567039710461E-2</v>
      </c>
      <c r="O82" s="309">
        <v>2.1615327311069059</v>
      </c>
      <c r="Q82" s="3">
        <v>1</v>
      </c>
      <c r="R82">
        <v>99381</v>
      </c>
      <c r="S82">
        <v>569116</v>
      </c>
      <c r="U82" s="97">
        <f t="shared" si="2"/>
        <v>0</v>
      </c>
      <c r="V82" s="97">
        <f t="shared" si="3"/>
        <v>0</v>
      </c>
      <c r="Y82" s="82"/>
      <c r="Z82" s="82"/>
      <c r="AC82" s="82"/>
      <c r="AD82" s="82"/>
    </row>
    <row r="83" spans="1:30" ht="15.75">
      <c r="A83" s="3">
        <v>0</v>
      </c>
      <c r="I83" s="299">
        <v>7</v>
      </c>
      <c r="J83" s="317">
        <v>691.35529028400015</v>
      </c>
      <c r="K83" s="308">
        <v>3.6026377145224581E-2</v>
      </c>
      <c r="L83" s="307">
        <v>2.2190060524542226</v>
      </c>
      <c r="M83" s="308">
        <v>3.9065457866500002</v>
      </c>
      <c r="N83" s="308">
        <v>1.6888490656213822E-2</v>
      </c>
      <c r="O83" s="309">
        <v>2.1615327311069059</v>
      </c>
      <c r="Q83" s="3">
        <v>0</v>
      </c>
    </row>
    <row r="84" spans="1:30" ht="15.75">
      <c r="I84" s="299">
        <v>8</v>
      </c>
      <c r="J84" s="317">
        <v>789.14603205900016</v>
      </c>
      <c r="K84" s="308">
        <v>4.1051582488194585E-2</v>
      </c>
      <c r="L84" s="307">
        <v>2.2231444384949741</v>
      </c>
      <c r="M84" s="308">
        <v>4.2106494707000008</v>
      </c>
      <c r="N84" s="308">
        <v>1.82031692769405E-2</v>
      </c>
      <c r="O84" s="309">
        <v>2.1615327311069059</v>
      </c>
    </row>
    <row r="85" spans="1:30" ht="15.75">
      <c r="A85" s="94">
        <v>33388</v>
      </c>
      <c r="I85" s="299">
        <v>9</v>
      </c>
      <c r="J85" s="318">
        <v>887.36284242000011</v>
      </c>
      <c r="K85" s="307">
        <v>4.6106047718342959E-2</v>
      </c>
      <c r="L85" s="307">
        <v>2.2260916661920818</v>
      </c>
      <c r="M85" s="308">
        <v>4.5292938090500003</v>
      </c>
      <c r="N85" s="308">
        <v>1.9580708982034848E-2</v>
      </c>
      <c r="O85" s="309">
        <v>2.1615327311069059</v>
      </c>
      <c r="R85" s="94">
        <v>36749</v>
      </c>
    </row>
    <row r="86" spans="1:30" ht="16.5" thickBot="1">
      <c r="A86" s="3" t="s">
        <v>156</v>
      </c>
      <c r="I86" s="311">
        <v>10</v>
      </c>
      <c r="J86" s="312">
        <v>984.77052253200009</v>
      </c>
      <c r="K86" s="314">
        <v>5.111981572989395E-2</v>
      </c>
      <c r="L86" s="314">
        <v>2.2284438999154244</v>
      </c>
      <c r="M86" s="319">
        <v>4.8375776812000009</v>
      </c>
      <c r="N86" s="319">
        <v>2.0913459083687032E-2</v>
      </c>
      <c r="O86" s="315">
        <v>2.1615327311069059</v>
      </c>
    </row>
    <row r="87" spans="1:30" ht="16.5" thickTop="1">
      <c r="A87" s="3" t="s">
        <v>159</v>
      </c>
      <c r="B87" s="3" t="s">
        <v>160</v>
      </c>
      <c r="C87" s="3" t="s">
        <v>161</v>
      </c>
      <c r="R87" s="295" t="s">
        <v>144</v>
      </c>
      <c r="S87" s="296" t="s">
        <v>142</v>
      </c>
      <c r="T87" s="296" t="s">
        <v>303</v>
      </c>
      <c r="U87" s="296" t="s">
        <v>145</v>
      </c>
      <c r="V87" s="297" t="s">
        <v>143</v>
      </c>
      <c r="W87" s="297" t="s">
        <v>303</v>
      </c>
      <c r="X87" s="298" t="s">
        <v>145</v>
      </c>
    </row>
    <row r="88" spans="1:30" ht="15.75">
      <c r="A88" s="3">
        <v>10</v>
      </c>
      <c r="B88" s="3">
        <v>1004838</v>
      </c>
      <c r="C88" s="3">
        <v>4788256</v>
      </c>
      <c r="R88" s="299"/>
      <c r="S88" s="300" t="s">
        <v>190</v>
      </c>
      <c r="T88" s="301" t="s">
        <v>190</v>
      </c>
      <c r="U88" s="302" t="s">
        <v>304</v>
      </c>
      <c r="V88" s="303" t="s">
        <v>191</v>
      </c>
      <c r="W88" s="303" t="s">
        <v>191</v>
      </c>
      <c r="X88" s="304" t="s">
        <v>304</v>
      </c>
    </row>
    <row r="89" spans="1:30" ht="15.75">
      <c r="A89" s="3">
        <v>9</v>
      </c>
      <c r="B89" s="3">
        <v>904811</v>
      </c>
      <c r="C89" s="3">
        <v>4485090</v>
      </c>
      <c r="R89" s="305">
        <v>1</v>
      </c>
      <c r="S89" s="306">
        <v>994.07001951000018</v>
      </c>
      <c r="T89" s="307">
        <v>5.4568316340096429E-2</v>
      </c>
      <c r="U89" s="307">
        <v>2.1524953351720546</v>
      </c>
      <c r="V89" s="308">
        <v>5.6995264671500001</v>
      </c>
      <c r="W89" s="308">
        <v>2.4639772510601853E-2</v>
      </c>
      <c r="X89" s="309">
        <v>2.1615327311069059</v>
      </c>
    </row>
    <row r="90" spans="1:30" ht="15.75">
      <c r="A90" s="3">
        <v>8</v>
      </c>
      <c r="B90" s="3">
        <v>803682</v>
      </c>
      <c r="C90" s="3">
        <v>4172580</v>
      </c>
      <c r="R90" s="299">
        <v>2</v>
      </c>
      <c r="S90" s="310">
        <v>1990.1203578</v>
      </c>
      <c r="T90" s="307">
        <v>0.10417807917403404</v>
      </c>
      <c r="U90" s="307">
        <v>2.2106783922279196</v>
      </c>
      <c r="V90" s="308">
        <v>8.4938522061500006</v>
      </c>
      <c r="W90" s="308">
        <v>3.6719995477600027E-2</v>
      </c>
      <c r="X90" s="309">
        <v>2.1615327311069059</v>
      </c>
    </row>
    <row r="91" spans="1:30" ht="15.75">
      <c r="A91" s="3">
        <v>7</v>
      </c>
      <c r="B91" s="3">
        <v>703119</v>
      </c>
      <c r="C91" s="3">
        <v>3873825</v>
      </c>
      <c r="R91" s="299">
        <v>3</v>
      </c>
      <c r="S91" s="310">
        <v>2973.7887029100002</v>
      </c>
      <c r="T91" s="307">
        <v>0.15431972084697754</v>
      </c>
      <c r="U91" s="307">
        <v>2.2297573951472227</v>
      </c>
      <c r="V91" s="308">
        <v>10.732352934149999</v>
      </c>
      <c r="W91" s="308">
        <v>4.6397316746417117E-2</v>
      </c>
      <c r="X91" s="309">
        <v>2.1615327311069059</v>
      </c>
    </row>
    <row r="92" spans="1:30" ht="15.75">
      <c r="A92" s="3">
        <v>6</v>
      </c>
      <c r="B92" s="3">
        <v>602695</v>
      </c>
      <c r="C92" s="3">
        <v>3522505</v>
      </c>
      <c r="R92" s="299">
        <v>4</v>
      </c>
      <c r="S92" s="310">
        <v>3948.9356763000001</v>
      </c>
      <c r="T92" s="307">
        <v>0.20425389265182087</v>
      </c>
      <c r="U92" s="307">
        <v>2.2382268128825618</v>
      </c>
      <c r="V92" s="307">
        <v>12.666339959649999</v>
      </c>
      <c r="W92" s="307">
        <v>5.4758186832981351E-2</v>
      </c>
      <c r="X92" s="309">
        <v>2.1615327311069059</v>
      </c>
    </row>
    <row r="93" spans="1:30" ht="15.75">
      <c r="A93" s="3">
        <v>5</v>
      </c>
      <c r="B93" s="3">
        <v>501222</v>
      </c>
      <c r="C93" s="3">
        <v>3164915</v>
      </c>
      <c r="R93" s="299">
        <v>5</v>
      </c>
      <c r="S93" s="310">
        <v>4932.7240407300005</v>
      </c>
      <c r="T93" s="307">
        <v>0.25471523702584337</v>
      </c>
      <c r="U93" s="307">
        <v>2.2428635907643528</v>
      </c>
      <c r="V93" s="307">
        <v>14.43751965915</v>
      </c>
      <c r="W93" s="307">
        <v>6.2415220294025825E-2</v>
      </c>
      <c r="X93" s="309">
        <v>2.1615327311069059</v>
      </c>
    </row>
    <row r="94" spans="1:30" ht="15.75">
      <c r="A94" s="3">
        <v>4</v>
      </c>
      <c r="B94" s="3">
        <v>401408</v>
      </c>
      <c r="C94" s="3">
        <v>2783495</v>
      </c>
      <c r="R94" s="299">
        <v>6</v>
      </c>
      <c r="S94" s="310">
        <v>5915.1821910300005</v>
      </c>
      <c r="T94" s="307">
        <v>0.30515030022618911</v>
      </c>
      <c r="U94" s="307">
        <v>2.2456871402154901</v>
      </c>
      <c r="V94" s="307">
        <v>16.122765491799999</v>
      </c>
      <c r="W94" s="307">
        <v>6.9700750799106453E-2</v>
      </c>
      <c r="X94" s="309">
        <v>2.1615327311069059</v>
      </c>
    </row>
    <row r="95" spans="1:30" ht="15.75">
      <c r="A95" s="3">
        <v>3</v>
      </c>
      <c r="B95" s="3">
        <v>301525</v>
      </c>
      <c r="C95" s="3">
        <v>220245</v>
      </c>
      <c r="R95" s="299">
        <v>7</v>
      </c>
      <c r="S95" s="310">
        <v>6892.0394397300006</v>
      </c>
      <c r="T95" s="307">
        <v>0.35532326451607743</v>
      </c>
      <c r="U95" s="307">
        <v>2.2475349472455268</v>
      </c>
      <c r="V95" s="307">
        <v>17.765799425000001</v>
      </c>
      <c r="W95" s="307">
        <v>7.6803793933405848E-2</v>
      </c>
      <c r="X95" s="309">
        <v>2.1615327311069059</v>
      </c>
    </row>
    <row r="96" spans="1:30" ht="15.75">
      <c r="A96" s="3">
        <v>2</v>
      </c>
      <c r="B96" s="3">
        <v>200942</v>
      </c>
      <c r="C96" s="3">
        <v>1734921</v>
      </c>
      <c r="R96" s="299">
        <v>8</v>
      </c>
      <c r="S96" s="310">
        <v>7864.4059655400006</v>
      </c>
      <c r="T96" s="307">
        <v>0.40527138033420979</v>
      </c>
      <c r="U96" s="307">
        <v>2.2488992052650674</v>
      </c>
      <c r="V96" s="307">
        <v>19.28131762025</v>
      </c>
      <c r="W96" s="307">
        <v>8.3355570433061327E-2</v>
      </c>
      <c r="X96" s="309">
        <v>2.1615327311069059</v>
      </c>
    </row>
    <row r="97" spans="1:24" ht="15.75">
      <c r="A97" s="3">
        <v>1</v>
      </c>
      <c r="B97" s="3">
        <v>99878</v>
      </c>
      <c r="C97" s="3">
        <v>1163301</v>
      </c>
      <c r="R97" s="299">
        <v>9</v>
      </c>
      <c r="S97" s="310">
        <v>8833.7019970800011</v>
      </c>
      <c r="T97" s="307">
        <v>0.45506938940064529</v>
      </c>
      <c r="U97" s="307">
        <v>2.2499222057736943</v>
      </c>
      <c r="V97" s="307">
        <v>20.737543147450001</v>
      </c>
      <c r="W97" s="307">
        <v>8.9651017242747141E-2</v>
      </c>
      <c r="X97" s="309">
        <v>2.1615327311069059</v>
      </c>
    </row>
    <row r="98" spans="1:24" ht="16.5" thickBot="1">
      <c r="A98" s="3">
        <v>0</v>
      </c>
      <c r="B98" s="3"/>
      <c r="C98" s="3"/>
      <c r="R98" s="311">
        <v>10</v>
      </c>
      <c r="S98" s="312">
        <v>9804.3182411400012</v>
      </c>
      <c r="T98" s="313">
        <v>0.50494660757426246</v>
      </c>
      <c r="U98" s="314">
        <v>2.2506817049190908</v>
      </c>
      <c r="V98" s="314">
        <v>22.215259641700001</v>
      </c>
      <c r="W98" s="314">
        <v>9.6039372216329882E-2</v>
      </c>
      <c r="X98" s="315">
        <v>2.1615327311069059</v>
      </c>
    </row>
    <row r="99" spans="1:24" ht="13.5" thickTop="1">
      <c r="A99" s="3" t="s">
        <v>163</v>
      </c>
      <c r="B99" s="3"/>
      <c r="C99" s="3"/>
    </row>
    <row r="100" spans="1:24" ht="13.5" thickBot="1">
      <c r="A100" s="3" t="s">
        <v>164</v>
      </c>
      <c r="B100" s="3" t="s">
        <v>160</v>
      </c>
      <c r="C100" s="3" t="s">
        <v>161</v>
      </c>
    </row>
    <row r="101" spans="1:24" ht="16.5" thickTop="1">
      <c r="A101" s="3">
        <v>10</v>
      </c>
      <c r="B101" s="3">
        <v>1000042</v>
      </c>
      <c r="C101" s="3">
        <v>2185630</v>
      </c>
      <c r="R101" s="295" t="s">
        <v>144</v>
      </c>
      <c r="S101" s="296" t="s">
        <v>142</v>
      </c>
      <c r="T101" s="296" t="s">
        <v>303</v>
      </c>
      <c r="U101" s="296" t="s">
        <v>145</v>
      </c>
      <c r="V101" s="297" t="s">
        <v>143</v>
      </c>
      <c r="W101" s="297" t="s">
        <v>303</v>
      </c>
      <c r="X101" s="298" t="s">
        <v>145</v>
      </c>
    </row>
    <row r="102" spans="1:24" ht="15.75">
      <c r="A102" s="3">
        <v>9</v>
      </c>
      <c r="B102" s="3">
        <v>900119</v>
      </c>
      <c r="C102" s="3">
        <v>2043361</v>
      </c>
      <c r="R102" s="299"/>
      <c r="S102" s="300" t="s">
        <v>190</v>
      </c>
      <c r="T102" s="301" t="s">
        <v>190</v>
      </c>
      <c r="U102" s="302" t="s">
        <v>304</v>
      </c>
      <c r="V102" s="303" t="s">
        <v>191</v>
      </c>
      <c r="W102" s="303" t="s">
        <v>191</v>
      </c>
      <c r="X102" s="304" t="s">
        <v>304</v>
      </c>
    </row>
    <row r="103" spans="1:24" ht="15.75">
      <c r="A103" s="3">
        <v>8</v>
      </c>
      <c r="B103" s="3">
        <v>800504</v>
      </c>
      <c r="C103" s="3">
        <v>1903129</v>
      </c>
      <c r="R103" s="305">
        <v>1</v>
      </c>
      <c r="S103" s="316">
        <v>99.157961862000008</v>
      </c>
      <c r="T103" s="308">
        <v>5.7256553518006299E-3</v>
      </c>
      <c r="U103" s="307">
        <v>2.0999032341638428</v>
      </c>
      <c r="V103" s="308">
        <v>1.1674995351150002</v>
      </c>
      <c r="W103" s="308">
        <v>5.047247892832697E-3</v>
      </c>
      <c r="X103" s="309">
        <v>2.1615327311069059</v>
      </c>
    </row>
    <row r="104" spans="1:24" ht="15.75">
      <c r="A104" s="3">
        <v>7</v>
      </c>
      <c r="B104" s="3">
        <v>700510</v>
      </c>
      <c r="C104" s="3">
        <v>1756857</v>
      </c>
      <c r="R104" s="299">
        <v>2</v>
      </c>
      <c r="S104" s="317">
        <v>199.028038356</v>
      </c>
      <c r="T104" s="308">
        <v>1.0706437831240954E-2</v>
      </c>
      <c r="U104" s="307">
        <v>2.1621086779434284</v>
      </c>
      <c r="V104" s="308">
        <v>1.7410403432900001</v>
      </c>
      <c r="W104" s="308">
        <v>7.5267372189074082E-3</v>
      </c>
      <c r="X104" s="309">
        <v>2.1615327311069059</v>
      </c>
    </row>
    <row r="105" spans="1:24" ht="15.75">
      <c r="A105" s="3">
        <v>6</v>
      </c>
      <c r="B105" s="3">
        <v>600413</v>
      </c>
      <c r="C105" s="3">
        <v>1596577</v>
      </c>
      <c r="R105" s="299">
        <v>3</v>
      </c>
      <c r="S105" s="317">
        <v>298.27801503000001</v>
      </c>
      <c r="T105" s="308">
        <v>1.5771525056987808E-2</v>
      </c>
      <c r="U105" s="307">
        <v>2.1890325436168498</v>
      </c>
      <c r="V105" s="308">
        <v>2.2087603897450001</v>
      </c>
      <c r="W105" s="308">
        <v>9.5487500316774592E-3</v>
      </c>
      <c r="X105" s="309">
        <v>2.1615327311069059</v>
      </c>
    </row>
    <row r="106" spans="1:24" ht="15.75">
      <c r="A106" s="3">
        <v>5</v>
      </c>
      <c r="B106" s="3">
        <v>500100</v>
      </c>
      <c r="C106" s="3">
        <v>1431956</v>
      </c>
      <c r="R106" s="299">
        <v>4</v>
      </c>
      <c r="S106" s="317">
        <v>396.55083440700002</v>
      </c>
      <c r="T106" s="308">
        <v>2.0870503957503426E-2</v>
      </c>
      <c r="U106" s="307">
        <v>2.1976505133267379</v>
      </c>
      <c r="V106" s="308">
        <v>2.7976668893449999</v>
      </c>
      <c r="W106" s="308">
        <v>1.2094667181776195E-2</v>
      </c>
      <c r="X106" s="309">
        <v>2.1615327311069059</v>
      </c>
    </row>
    <row r="107" spans="1:24" ht="15.75">
      <c r="A107" s="3">
        <v>4</v>
      </c>
      <c r="B107" s="3">
        <v>399841</v>
      </c>
      <c r="C107" s="3">
        <v>1258189</v>
      </c>
      <c r="R107" s="299">
        <v>5</v>
      </c>
      <c r="S107" s="317">
        <v>494.49360065400009</v>
      </c>
      <c r="T107" s="308">
        <v>2.5899450295097732E-2</v>
      </c>
      <c r="U107" s="307">
        <v>2.2075649003395865</v>
      </c>
      <c r="V107" s="308">
        <v>3.1817881740250002</v>
      </c>
      <c r="W107" s="308">
        <v>1.3755271992640082E-2</v>
      </c>
      <c r="X107" s="309">
        <v>2.1615327311069059</v>
      </c>
    </row>
    <row r="108" spans="1:24" ht="15.75">
      <c r="A108" s="3">
        <v>3</v>
      </c>
      <c r="B108" s="3">
        <v>300168</v>
      </c>
      <c r="C108" s="3">
        <v>1062034</v>
      </c>
      <c r="R108" s="299">
        <v>6</v>
      </c>
      <c r="S108" s="317">
        <v>593.52554223000004</v>
      </c>
      <c r="T108" s="308">
        <v>3.0989350393695689E-2</v>
      </c>
      <c r="U108" s="307">
        <v>2.214451520893435</v>
      </c>
      <c r="V108" s="308">
        <v>3.5435064506150002</v>
      </c>
      <c r="W108" s="308">
        <v>1.5319025771041475E-2</v>
      </c>
      <c r="X108" s="309">
        <v>2.1615327311069059</v>
      </c>
    </row>
    <row r="109" spans="1:24" ht="15.75">
      <c r="A109" s="3">
        <v>2</v>
      </c>
      <c r="B109" s="3">
        <v>199991</v>
      </c>
      <c r="C109" s="3">
        <v>836012</v>
      </c>
      <c r="R109" s="299">
        <v>7</v>
      </c>
      <c r="S109" s="317">
        <v>691.35429012300006</v>
      </c>
      <c r="T109" s="308">
        <v>3.6024535110045511E-2</v>
      </c>
      <c r="U109" s="307">
        <v>2.2191237862163926</v>
      </c>
      <c r="V109" s="308">
        <v>3.8996024742150004</v>
      </c>
      <c r="W109" s="308">
        <v>1.6858473839930142E-2</v>
      </c>
      <c r="X109" s="309">
        <v>2.1615327311069059</v>
      </c>
    </row>
    <row r="110" spans="1:24" ht="15.75">
      <c r="A110" s="3">
        <v>1</v>
      </c>
      <c r="B110" s="3">
        <v>100176</v>
      </c>
      <c r="C110" s="3">
        <v>568494</v>
      </c>
      <c r="R110" s="299">
        <v>8</v>
      </c>
      <c r="S110" s="317">
        <v>789.14203141500013</v>
      </c>
      <c r="T110" s="308">
        <v>4.1049472069006325E-2</v>
      </c>
      <c r="U110" s="307">
        <v>2.223258173187153</v>
      </c>
      <c r="V110" s="308">
        <v>4.2027261141650003</v>
      </c>
      <c r="W110" s="308">
        <v>1.8168915606277154E-2</v>
      </c>
      <c r="X110" s="309">
        <v>2.1615327311069059</v>
      </c>
    </row>
    <row r="111" spans="1:24" ht="15.75">
      <c r="A111" s="3">
        <v>0</v>
      </c>
      <c r="B111" s="3"/>
      <c r="C111" s="3"/>
      <c r="R111" s="299">
        <v>9</v>
      </c>
      <c r="S111" s="318">
        <v>887.36984354700007</v>
      </c>
      <c r="T111" s="307">
        <v>4.6104400421217891E-2</v>
      </c>
      <c r="U111" s="307">
        <v>2.2262014363351521</v>
      </c>
      <c r="V111" s="308">
        <v>4.5205204142650004</v>
      </c>
      <c r="W111" s="308">
        <v>1.9542780488695261E-2</v>
      </c>
      <c r="X111" s="309">
        <v>2.1615327311069059</v>
      </c>
    </row>
    <row r="112" spans="1:24" ht="16.5" thickBot="1">
      <c r="R112" s="311">
        <v>10</v>
      </c>
      <c r="S112" s="312">
        <v>984.77752365900005</v>
      </c>
      <c r="T112" s="314">
        <v>5.1118057396939448E-2</v>
      </c>
      <c r="U112" s="314">
        <v>2.2285504662402214</v>
      </c>
      <c r="V112" s="319">
        <v>4.8278862451050006</v>
      </c>
      <c r="W112" s="319">
        <v>2.0871561781857107E-2</v>
      </c>
      <c r="X112" s="315">
        <v>2.1615327311069059</v>
      </c>
    </row>
    <row r="113" spans="1:5" ht="13.5" thickTop="1">
      <c r="A113" s="94">
        <v>30728</v>
      </c>
    </row>
    <row r="114" spans="1:5">
      <c r="A114" t="s">
        <v>156</v>
      </c>
      <c r="D114" t="s">
        <v>157</v>
      </c>
      <c r="E114" t="s">
        <v>158</v>
      </c>
    </row>
    <row r="115" spans="1:5">
      <c r="A115" s="3" t="s">
        <v>159</v>
      </c>
      <c r="B115" s="3" t="s">
        <v>160</v>
      </c>
      <c r="C115" s="3" t="s">
        <v>161</v>
      </c>
      <c r="D115" t="s">
        <v>162</v>
      </c>
    </row>
    <row r="116" spans="1:5">
      <c r="A116" s="3">
        <v>10</v>
      </c>
      <c r="B116" s="3">
        <v>1005990</v>
      </c>
      <c r="C116" s="3">
        <v>4806400</v>
      </c>
      <c r="D116" s="54">
        <f t="shared" ref="D116:D126" si="4">(C116-C88)/($A$85-$A$113)*90/C116*100</f>
        <v>1.2772443759198259E-2</v>
      </c>
      <c r="E116" s="54">
        <f t="shared" ref="E116:E126" si="5">(B116-B88)/($A$85-$A$113)*90/B116*100</f>
        <v>3.8745358909156712E-3</v>
      </c>
    </row>
    <row r="117" spans="1:5">
      <c r="A117" s="3">
        <v>9</v>
      </c>
      <c r="B117" s="3">
        <v>905840</v>
      </c>
      <c r="C117" s="3">
        <v>4507200</v>
      </c>
      <c r="D117" s="54">
        <f t="shared" si="4"/>
        <v>1.6597504143745945E-2</v>
      </c>
      <c r="E117" s="54">
        <f t="shared" si="5"/>
        <v>3.8434811306283898E-3</v>
      </c>
    </row>
    <row r="118" spans="1:5">
      <c r="A118" s="3">
        <v>8</v>
      </c>
      <c r="B118" s="3">
        <v>804560</v>
      </c>
      <c r="C118">
        <v>4198900</v>
      </c>
      <c r="D118" s="54">
        <f t="shared" si="4"/>
        <v>2.1208562142215191E-2</v>
      </c>
      <c r="E118" s="54">
        <f t="shared" si="5"/>
        <v>3.6922997560521571E-3</v>
      </c>
    </row>
    <row r="119" spans="1:5">
      <c r="A119" s="3">
        <v>7</v>
      </c>
      <c r="B119" s="3">
        <v>704300</v>
      </c>
      <c r="C119" s="3">
        <v>3900100</v>
      </c>
      <c r="D119" s="54">
        <f t="shared" si="4"/>
        <v>2.2794383718327638E-2</v>
      </c>
      <c r="E119" s="54">
        <f t="shared" si="5"/>
        <v>5.6735264257477425E-3</v>
      </c>
    </row>
    <row r="120" spans="1:5">
      <c r="A120" s="3">
        <v>6</v>
      </c>
      <c r="B120" s="3">
        <v>604250</v>
      </c>
      <c r="C120">
        <v>3550300</v>
      </c>
      <c r="D120" s="54">
        <f t="shared" si="4"/>
        <v>2.6488813081347144E-2</v>
      </c>
      <c r="E120" s="54">
        <f t="shared" si="5"/>
        <v>8.7071215481815834E-3</v>
      </c>
    </row>
    <row r="121" spans="1:5">
      <c r="A121" s="3">
        <v>5</v>
      </c>
      <c r="B121" s="3">
        <v>503200</v>
      </c>
      <c r="C121" s="3">
        <v>3193100</v>
      </c>
      <c r="D121" s="54">
        <f t="shared" si="4"/>
        <v>2.9865266341451008E-2</v>
      </c>
      <c r="E121" s="54">
        <f t="shared" si="5"/>
        <v>1.329984340820254E-2</v>
      </c>
    </row>
    <row r="122" spans="1:5">
      <c r="A122" s="3">
        <v>4</v>
      </c>
      <c r="B122" s="3">
        <v>401510</v>
      </c>
      <c r="C122" s="3">
        <v>2810300</v>
      </c>
      <c r="D122" s="54">
        <f t="shared" si="4"/>
        <v>3.227186030763847E-2</v>
      </c>
      <c r="E122" s="54">
        <f t="shared" si="5"/>
        <v>8.5953720194985718E-4</v>
      </c>
    </row>
    <row r="123" spans="1:5">
      <c r="A123" s="3">
        <v>3</v>
      </c>
      <c r="B123" s="3">
        <v>301630</v>
      </c>
      <c r="C123" s="3">
        <v>2224200</v>
      </c>
      <c r="D123" s="54">
        <f t="shared" si="4"/>
        <v>3.0484213974374841</v>
      </c>
      <c r="E123" s="54">
        <f t="shared" si="5"/>
        <v>1.1778110860814137E-3</v>
      </c>
    </row>
    <row r="124" spans="1:5">
      <c r="A124" s="3">
        <v>2</v>
      </c>
      <c r="B124" s="3">
        <v>201130</v>
      </c>
      <c r="C124" s="3">
        <v>1756160</v>
      </c>
      <c r="D124" s="54">
        <f t="shared" si="4"/>
        <v>4.0919550721738744E-2</v>
      </c>
      <c r="E124" s="54">
        <f t="shared" si="5"/>
        <v>3.1625825364883899E-3</v>
      </c>
    </row>
    <row r="125" spans="1:5">
      <c r="A125" s="3">
        <v>1</v>
      </c>
      <c r="B125" s="3">
        <v>100040</v>
      </c>
      <c r="C125" s="3">
        <v>1180150</v>
      </c>
      <c r="D125" s="54">
        <f t="shared" si="4"/>
        <v>4.8305634653935607E-2</v>
      </c>
      <c r="E125" s="54">
        <f t="shared" si="5"/>
        <v>5.4790114029576141E-3</v>
      </c>
    </row>
    <row r="126" spans="1:5">
      <c r="A126" s="3">
        <v>0</v>
      </c>
      <c r="B126" s="3">
        <v>358</v>
      </c>
      <c r="C126" s="3">
        <v>5860</v>
      </c>
      <c r="D126" s="54">
        <f t="shared" si="4"/>
        <v>3.3834586466165413</v>
      </c>
      <c r="E126" s="54">
        <f t="shared" si="5"/>
        <v>3.3834586466165413</v>
      </c>
    </row>
    <row r="127" spans="1:5">
      <c r="A127" s="3" t="s">
        <v>163</v>
      </c>
      <c r="B127" s="3"/>
      <c r="C127" s="3"/>
    </row>
    <row r="128" spans="1:5">
      <c r="A128" s="3" t="s">
        <v>164</v>
      </c>
      <c r="B128" s="3" t="s">
        <v>160</v>
      </c>
      <c r="C128" s="3" t="s">
        <v>161</v>
      </c>
    </row>
    <row r="129" spans="1:27">
      <c r="A129" s="3">
        <v>10</v>
      </c>
      <c r="B129" s="3">
        <v>1000616</v>
      </c>
      <c r="C129" s="3">
        <v>2191510</v>
      </c>
      <c r="D129" s="54">
        <f t="shared" ref="D129:D139" si="6">(C129-C101)/($A$85-$A$113)*90/C129*100</f>
        <v>9.078095396372941E-3</v>
      </c>
      <c r="E129" s="54">
        <f t="shared" ref="E129:E139" si="7">(B129-B101)/($A$85-$A$113)*90/B129*100</f>
        <v>1.9409096628056064E-3</v>
      </c>
    </row>
    <row r="130" spans="1:27">
      <c r="A130" s="3">
        <v>9</v>
      </c>
      <c r="B130" s="3">
        <v>900587</v>
      </c>
      <c r="C130" s="3">
        <v>2049680</v>
      </c>
      <c r="D130" s="54">
        <f t="shared" si="6"/>
        <v>1.0430933212974671E-2</v>
      </c>
      <c r="E130" s="54">
        <f t="shared" si="7"/>
        <v>1.7582517253930396E-3</v>
      </c>
    </row>
    <row r="131" spans="1:27">
      <c r="A131" s="3">
        <v>8</v>
      </c>
      <c r="B131" s="3">
        <v>800915</v>
      </c>
      <c r="C131" s="3">
        <v>1910750</v>
      </c>
      <c r="D131" s="54">
        <f t="shared" si="6"/>
        <v>1.3494878108525274E-2</v>
      </c>
      <c r="E131" s="54">
        <f t="shared" si="7"/>
        <v>1.7362660254326596E-3</v>
      </c>
    </row>
    <row r="132" spans="1:27">
      <c r="A132" s="3">
        <v>7</v>
      </c>
      <c r="B132" s="3">
        <v>701003</v>
      </c>
      <c r="C132" s="3">
        <v>1766150</v>
      </c>
      <c r="D132" s="54">
        <f t="shared" si="6"/>
        <v>1.7802837359798158E-2</v>
      </c>
      <c r="E132" s="54">
        <f t="shared" si="7"/>
        <v>2.3795120887955615E-3</v>
      </c>
    </row>
    <row r="133" spans="1:27">
      <c r="A133" s="3">
        <v>6</v>
      </c>
      <c r="B133" s="3">
        <v>601187</v>
      </c>
      <c r="C133" s="3">
        <v>1605900</v>
      </c>
      <c r="D133" s="54">
        <f t="shared" si="6"/>
        <v>1.9642558666421329E-2</v>
      </c>
      <c r="E133" s="54">
        <f t="shared" si="7"/>
        <v>4.3560439471931412E-3</v>
      </c>
    </row>
    <row r="134" spans="1:27">
      <c r="A134" s="3">
        <v>5</v>
      </c>
      <c r="B134" s="3">
        <v>500064</v>
      </c>
      <c r="C134" s="3">
        <v>1441700</v>
      </c>
      <c r="D134" s="54">
        <f t="shared" si="6"/>
        <v>2.2867740204363999E-2</v>
      </c>
      <c r="E134" s="54">
        <f t="shared" si="7"/>
        <v>-2.4357784459228319E-4</v>
      </c>
    </row>
    <row r="135" spans="1:27">
      <c r="A135" s="3">
        <v>4</v>
      </c>
      <c r="B135" s="3">
        <v>399832</v>
      </c>
      <c r="C135" s="3">
        <v>1267980</v>
      </c>
      <c r="D135" s="54">
        <f t="shared" si="6"/>
        <v>2.6126156255636964E-2</v>
      </c>
      <c r="E135" s="54">
        <f t="shared" si="7"/>
        <v>-7.6159806667672615E-5</v>
      </c>
    </row>
    <row r="136" spans="1:27">
      <c r="A136" s="3">
        <v>3</v>
      </c>
      <c r="B136" s="3">
        <v>300175</v>
      </c>
      <c r="C136" s="3">
        <v>1071200</v>
      </c>
      <c r="D136" s="54">
        <f t="shared" si="6"/>
        <v>2.8951439464980598E-2</v>
      </c>
      <c r="E136" s="54">
        <f t="shared" si="7"/>
        <v>7.8901342637847222E-5</v>
      </c>
    </row>
    <row r="137" spans="1:27">
      <c r="A137" s="3">
        <v>2</v>
      </c>
      <c r="B137" s="3">
        <v>199984</v>
      </c>
      <c r="C137" s="3">
        <v>844290</v>
      </c>
      <c r="D137" s="54">
        <f t="shared" si="6"/>
        <v>3.3173756264662298E-2</v>
      </c>
      <c r="E137" s="54">
        <f t="shared" si="7"/>
        <v>-1.1843052707374484E-4</v>
      </c>
    </row>
    <row r="138" spans="1:27">
      <c r="A138" s="3">
        <v>1</v>
      </c>
      <c r="B138" s="3">
        <v>100176</v>
      </c>
      <c r="C138" s="3">
        <v>574990</v>
      </c>
      <c r="D138" s="54">
        <f t="shared" si="6"/>
        <v>3.822492107414225E-2</v>
      </c>
      <c r="E138" s="54">
        <f t="shared" si="7"/>
        <v>0</v>
      </c>
    </row>
    <row r="139" spans="1:27">
      <c r="A139" s="3">
        <v>0</v>
      </c>
      <c r="B139" s="3">
        <v>30</v>
      </c>
      <c r="C139" s="3">
        <v>602</v>
      </c>
      <c r="D139" s="54">
        <f t="shared" si="6"/>
        <v>3.3834586466165413</v>
      </c>
      <c r="E139" s="54">
        <f t="shared" si="7"/>
        <v>3.3834586466165413</v>
      </c>
    </row>
    <row r="141" spans="1:27">
      <c r="G141" s="94">
        <f>A113</f>
        <v>30728</v>
      </c>
      <c r="H141" s="3">
        <v>1005990</v>
      </c>
      <c r="I141" s="3">
        <v>905840</v>
      </c>
      <c r="J141" s="3">
        <v>804560</v>
      </c>
      <c r="K141" s="3">
        <v>704300</v>
      </c>
      <c r="L141" s="3">
        <v>604250</v>
      </c>
      <c r="M141" s="3">
        <v>503200</v>
      </c>
      <c r="N141" s="3">
        <v>401510</v>
      </c>
      <c r="O141" s="3">
        <v>100040</v>
      </c>
      <c r="P141" s="3">
        <v>358</v>
      </c>
      <c r="Q141" s="3">
        <v>1000616</v>
      </c>
      <c r="R141" s="3">
        <v>900587</v>
      </c>
      <c r="S141" s="3">
        <v>800915</v>
      </c>
      <c r="T141" s="3">
        <v>701003</v>
      </c>
      <c r="U141" s="3">
        <v>601187</v>
      </c>
      <c r="V141" s="3">
        <v>500064</v>
      </c>
      <c r="W141" s="3">
        <v>399832</v>
      </c>
      <c r="X141" s="3">
        <v>300175</v>
      </c>
      <c r="Y141" s="3">
        <v>199984</v>
      </c>
      <c r="Z141" s="3">
        <v>100176</v>
      </c>
      <c r="AA141" s="3">
        <v>30</v>
      </c>
    </row>
    <row r="142" spans="1:27">
      <c r="G142" s="94">
        <f>A85</f>
        <v>33388</v>
      </c>
      <c r="H142" s="3">
        <v>1004838</v>
      </c>
      <c r="I142" s="3">
        <v>904811</v>
      </c>
      <c r="J142" s="3">
        <v>803682</v>
      </c>
      <c r="K142" s="3">
        <v>703119</v>
      </c>
      <c r="L142" s="3">
        <v>602695</v>
      </c>
      <c r="M142" s="3">
        <v>501222</v>
      </c>
      <c r="N142" s="3">
        <v>401408</v>
      </c>
      <c r="O142" s="3">
        <v>99878</v>
      </c>
      <c r="P142" s="3"/>
      <c r="Q142" s="3">
        <v>1000042</v>
      </c>
      <c r="R142" s="3">
        <v>900119</v>
      </c>
      <c r="S142" s="3">
        <v>800504</v>
      </c>
      <c r="T142" s="3">
        <v>700510</v>
      </c>
      <c r="U142" s="3">
        <v>600413</v>
      </c>
      <c r="V142" s="3">
        <v>500100</v>
      </c>
      <c r="W142" s="3">
        <v>399841</v>
      </c>
      <c r="X142" s="3">
        <v>300168</v>
      </c>
      <c r="Y142" s="3">
        <v>199991</v>
      </c>
      <c r="Z142" s="3">
        <v>100176</v>
      </c>
      <c r="AA142" s="3"/>
    </row>
    <row r="143" spans="1:27">
      <c r="G143" s="94">
        <f>A57</f>
        <v>34971</v>
      </c>
      <c r="H143" s="96">
        <v>984610</v>
      </c>
      <c r="I143" s="96">
        <v>887218</v>
      </c>
      <c r="J143" s="96">
        <v>789017</v>
      </c>
      <c r="K143" s="96">
        <v>691242</v>
      </c>
      <c r="L143" s="96">
        <v>593424</v>
      </c>
      <c r="M143" s="96">
        <v>494410</v>
      </c>
      <c r="N143" s="96">
        <v>396487</v>
      </c>
      <c r="O143" s="96">
        <v>99144</v>
      </c>
      <c r="P143" s="82"/>
      <c r="Q143" s="96">
        <v>980098</v>
      </c>
      <c r="R143" s="96">
        <v>883073</v>
      </c>
      <c r="S143" s="96">
        <v>786185</v>
      </c>
      <c r="T143" s="96">
        <v>688985</v>
      </c>
      <c r="U143" s="96">
        <v>591324</v>
      </c>
      <c r="V143" s="96">
        <v>493117</v>
      </c>
      <c r="W143" s="96">
        <v>394779</v>
      </c>
      <c r="X143" s="96">
        <v>296852</v>
      </c>
      <c r="Y143" s="96">
        <v>198003</v>
      </c>
      <c r="Z143" s="96">
        <v>99384</v>
      </c>
    </row>
    <row r="144" spans="1:27">
      <c r="G144" s="94">
        <f>A30</f>
        <v>36749</v>
      </c>
      <c r="H144" s="100">
        <v>984617</v>
      </c>
      <c r="I144" s="100">
        <v>887225</v>
      </c>
      <c r="J144" s="100">
        <v>789013</v>
      </c>
      <c r="K144" s="100">
        <v>691241</v>
      </c>
      <c r="L144" s="100">
        <v>593428</v>
      </c>
      <c r="M144" s="100">
        <v>494412</v>
      </c>
      <c r="N144" s="100">
        <v>396485</v>
      </c>
      <c r="O144" s="100">
        <v>99140</v>
      </c>
      <c r="P144" s="100"/>
      <c r="Q144" s="100">
        <v>980273</v>
      </c>
      <c r="R144" s="100">
        <v>883227</v>
      </c>
      <c r="S144" s="100">
        <v>786313</v>
      </c>
      <c r="T144" s="100">
        <v>689092</v>
      </c>
      <c r="U144" s="100">
        <v>591422</v>
      </c>
      <c r="V144" s="100">
        <v>493192</v>
      </c>
      <c r="W144" s="100">
        <v>394829</v>
      </c>
      <c r="X144" s="100">
        <v>297330</v>
      </c>
      <c r="Y144" s="100">
        <v>198979</v>
      </c>
      <c r="Z144" s="100">
        <v>99390</v>
      </c>
      <c r="AA144" s="100"/>
    </row>
    <row r="145" spans="3:27">
      <c r="G145" s="94">
        <f>B2</f>
        <v>38398</v>
      </c>
      <c r="H145" s="106">
        <v>984646</v>
      </c>
      <c r="I145" s="106">
        <v>887241</v>
      </c>
      <c r="J145" s="106">
        <v>789040</v>
      </c>
      <c r="K145" s="106">
        <v>691266</v>
      </c>
      <c r="L145" s="111">
        <v>594040</v>
      </c>
      <c r="M145" s="106">
        <v>494427</v>
      </c>
      <c r="N145" s="106">
        <v>396493</v>
      </c>
      <c r="O145" s="106">
        <v>99142</v>
      </c>
      <c r="Q145" s="99">
        <v>980229</v>
      </c>
      <c r="R145" s="106">
        <v>883184</v>
      </c>
      <c r="S145" s="106">
        <v>786268</v>
      </c>
      <c r="T145" s="106">
        <v>689049</v>
      </c>
      <c r="U145" s="106">
        <v>591383</v>
      </c>
      <c r="V145" s="106">
        <v>493158</v>
      </c>
      <c r="W145" s="106">
        <v>394802</v>
      </c>
      <c r="X145" s="106">
        <v>296830</v>
      </c>
      <c r="Y145" s="106">
        <v>198006</v>
      </c>
      <c r="Z145" s="106">
        <v>99381</v>
      </c>
      <c r="AA145" s="106">
        <v>-1</v>
      </c>
    </row>
    <row r="146" spans="3:27">
      <c r="G146" s="94">
        <v>39997</v>
      </c>
      <c r="H146" s="71">
        <v>984766</v>
      </c>
      <c r="I146" s="71">
        <v>887330</v>
      </c>
      <c r="J146" s="71">
        <v>789093</v>
      </c>
      <c r="K146" s="71">
        <v>691310</v>
      </c>
      <c r="L146" s="113">
        <v>593513</v>
      </c>
      <c r="M146" s="71">
        <v>494446</v>
      </c>
      <c r="N146" s="71">
        <v>396503</v>
      </c>
      <c r="O146" s="71">
        <v>99136</v>
      </c>
      <c r="Q146" s="73">
        <v>980190</v>
      </c>
      <c r="R146" s="71">
        <v>883164</v>
      </c>
      <c r="S146" s="71">
        <v>786276</v>
      </c>
      <c r="T146" s="71">
        <v>689060</v>
      </c>
      <c r="U146" s="71">
        <v>591400</v>
      </c>
      <c r="V146" s="71">
        <v>493172</v>
      </c>
      <c r="W146" s="71">
        <v>394815</v>
      </c>
      <c r="X146" s="71">
        <v>296875</v>
      </c>
      <c r="Y146" s="71">
        <v>198015</v>
      </c>
      <c r="Z146" s="71">
        <v>99388</v>
      </c>
    </row>
    <row r="149" spans="3:27">
      <c r="G149" s="94">
        <f>G143</f>
        <v>34971</v>
      </c>
      <c r="H149">
        <f>H143/H$142</f>
        <v>0.97986939188207456</v>
      </c>
      <c r="I149">
        <f t="shared" ref="I149:Z152" si="8">I143/I$142</f>
        <v>0.98055616034729909</v>
      </c>
      <c r="J149">
        <f t="shared" si="8"/>
        <v>0.98175273304615507</v>
      </c>
      <c r="K149">
        <f t="shared" si="8"/>
        <v>0.98310812252264557</v>
      </c>
      <c r="L149">
        <f t="shared" si="8"/>
        <v>0.98461742672496033</v>
      </c>
      <c r="M149">
        <f t="shared" si="8"/>
        <v>0.98640921587639807</v>
      </c>
      <c r="N149">
        <f t="shared" si="8"/>
        <v>0.9877406529017857</v>
      </c>
      <c r="O149">
        <f t="shared" si="8"/>
        <v>0.99265103426179935</v>
      </c>
      <c r="Q149">
        <f t="shared" si="8"/>
        <v>0.98005683761282025</v>
      </c>
      <c r="R149">
        <f t="shared" si="8"/>
        <v>0.98106250395781003</v>
      </c>
      <c r="S149">
        <f t="shared" si="8"/>
        <v>0.98211251911295883</v>
      </c>
      <c r="T149">
        <f t="shared" si="8"/>
        <v>0.98354770096072863</v>
      </c>
      <c r="U149">
        <f t="shared" si="8"/>
        <v>0.98486208659705898</v>
      </c>
      <c r="V149">
        <f t="shared" si="8"/>
        <v>0.9860367926414717</v>
      </c>
      <c r="W149">
        <f t="shared" si="8"/>
        <v>0.98733996763713572</v>
      </c>
      <c r="X149">
        <f t="shared" si="8"/>
        <v>0.98895285306894809</v>
      </c>
      <c r="Y149">
        <f t="shared" si="8"/>
        <v>0.99005955267987056</v>
      </c>
      <c r="Z149">
        <f t="shared" si="8"/>
        <v>0.99209391471011021</v>
      </c>
    </row>
    <row r="150" spans="3:27">
      <c r="G150" s="94">
        <f>G144</f>
        <v>36749</v>
      </c>
      <c r="H150">
        <f>H144/H$142</f>
        <v>0.97987635817912933</v>
      </c>
      <c r="I150">
        <f t="shared" ref="I150:O150" si="9">I144/I$142</f>
        <v>0.98056389676960165</v>
      </c>
      <c r="J150">
        <f t="shared" si="9"/>
        <v>0.98174775595322528</v>
      </c>
      <c r="K150">
        <f t="shared" si="9"/>
        <v>0.98310670028828695</v>
      </c>
      <c r="L150">
        <f t="shared" si="9"/>
        <v>0.98462406358108168</v>
      </c>
      <c r="M150">
        <f t="shared" si="9"/>
        <v>0.98641320612423233</v>
      </c>
      <c r="N150">
        <f t="shared" si="9"/>
        <v>0.98773567044005106</v>
      </c>
      <c r="O150">
        <f t="shared" si="9"/>
        <v>0.99261098540219073</v>
      </c>
      <c r="Q150">
        <f>Q144/Q$142</f>
        <v>0.98023183026312899</v>
      </c>
      <c r="R150">
        <f>R144/R$142</f>
        <v>0.98123359244722086</v>
      </c>
      <c r="S150">
        <f>S144/S$142</f>
        <v>0.98227241837642287</v>
      </c>
      <c r="T150">
        <f>T144/T$142</f>
        <v>0.98370044681731883</v>
      </c>
      <c r="U150">
        <f>U144/U$142</f>
        <v>0.98502530757994911</v>
      </c>
      <c r="V150">
        <f t="shared" si="8"/>
        <v>0.98618676264747052</v>
      </c>
      <c r="W150">
        <f t="shared" si="8"/>
        <v>0.9874650173443944</v>
      </c>
      <c r="X150">
        <f t="shared" si="8"/>
        <v>0.9905452946350044</v>
      </c>
      <c r="Y150">
        <f t="shared" si="8"/>
        <v>0.99493977228975305</v>
      </c>
      <c r="Z150">
        <f t="shared" si="8"/>
        <v>0.99215380929563968</v>
      </c>
    </row>
    <row r="151" spans="3:27">
      <c r="C151" s="71">
        <v>984766</v>
      </c>
      <c r="D151" s="73">
        <v>980190</v>
      </c>
      <c r="G151" s="94">
        <f>G145</f>
        <v>38398</v>
      </c>
      <c r="H151">
        <f>H145/H$142</f>
        <v>0.97990521855264234</v>
      </c>
      <c r="I151">
        <f t="shared" si="8"/>
        <v>0.98058158002057894</v>
      </c>
      <c r="J151">
        <f t="shared" si="8"/>
        <v>0.98178135133050137</v>
      </c>
      <c r="K151">
        <f t="shared" si="8"/>
        <v>0.98314225614725248</v>
      </c>
      <c r="L151">
        <f t="shared" si="8"/>
        <v>0.98563950256763366</v>
      </c>
      <c r="M151">
        <f t="shared" si="8"/>
        <v>0.98644313298298958</v>
      </c>
      <c r="N151">
        <f t="shared" si="8"/>
        <v>0.98775560028698983</v>
      </c>
      <c r="O151">
        <f t="shared" si="8"/>
        <v>0.99263100983199504</v>
      </c>
      <c r="Q151">
        <f t="shared" si="8"/>
        <v>0.98018783211105132</v>
      </c>
      <c r="R151">
        <f t="shared" si="8"/>
        <v>0.98118582098589191</v>
      </c>
      <c r="S151">
        <f t="shared" si="8"/>
        <v>0.98221620379161123</v>
      </c>
      <c r="T151">
        <f t="shared" si="8"/>
        <v>0.98363906296840875</v>
      </c>
      <c r="U151">
        <f t="shared" si="8"/>
        <v>0.98496035229083978</v>
      </c>
      <c r="V151">
        <f t="shared" si="8"/>
        <v>0.98611877624475108</v>
      </c>
      <c r="W151">
        <f t="shared" si="8"/>
        <v>0.98739749050247472</v>
      </c>
      <c r="X151">
        <f t="shared" si="8"/>
        <v>0.98887956077929695</v>
      </c>
      <c r="Y151">
        <f t="shared" si="8"/>
        <v>0.99007455335490102</v>
      </c>
      <c r="Z151">
        <f t="shared" si="8"/>
        <v>0.99206396741734548</v>
      </c>
    </row>
    <row r="152" spans="3:27">
      <c r="C152" s="71">
        <v>887330</v>
      </c>
      <c r="D152" s="71">
        <v>883164</v>
      </c>
      <c r="G152" s="94">
        <f>G146</f>
        <v>39997</v>
      </c>
      <c r="H152">
        <f>H146/H$142</f>
        <v>0.98002464078786833</v>
      </c>
      <c r="I152">
        <f t="shared" si="8"/>
        <v>0.98067994310413997</v>
      </c>
      <c r="J152">
        <f t="shared" si="8"/>
        <v>0.98184729781182112</v>
      </c>
      <c r="K152">
        <f t="shared" si="8"/>
        <v>0.98320483445903184</v>
      </c>
      <c r="L152">
        <f t="shared" si="8"/>
        <v>0.98476509677365831</v>
      </c>
      <c r="M152">
        <f t="shared" si="8"/>
        <v>0.98648104033741535</v>
      </c>
      <c r="N152">
        <f t="shared" si="8"/>
        <v>0.98778051259566324</v>
      </c>
      <c r="O152">
        <f t="shared" si="8"/>
        <v>0.99257093654258199</v>
      </c>
      <c r="Q152">
        <f t="shared" si="8"/>
        <v>0.98014883374898254</v>
      </c>
      <c r="R152">
        <f t="shared" si="8"/>
        <v>0.98116360170155281</v>
      </c>
      <c r="S152">
        <f t="shared" si="8"/>
        <v>0.98222619749557782</v>
      </c>
      <c r="T152">
        <f t="shared" si="8"/>
        <v>0.98365476581347877</v>
      </c>
      <c r="U152">
        <f t="shared" si="8"/>
        <v>0.98498866613481051</v>
      </c>
      <c r="V152">
        <f t="shared" si="8"/>
        <v>0.98614677064587086</v>
      </c>
      <c r="W152">
        <f t="shared" si="8"/>
        <v>0.987430003426362</v>
      </c>
      <c r="X152">
        <f t="shared" si="8"/>
        <v>0.98902947682631059</v>
      </c>
      <c r="Y152">
        <f t="shared" si="8"/>
        <v>0.99011955537999208</v>
      </c>
      <c r="Z152">
        <f t="shared" si="8"/>
        <v>0.99213384443379649</v>
      </c>
    </row>
    <row r="153" spans="3:27">
      <c r="C153" s="71"/>
      <c r="D153" s="71"/>
      <c r="G153" s="94"/>
    </row>
    <row r="154" spans="3:27">
      <c r="C154" s="71">
        <v>789093</v>
      </c>
      <c r="D154" s="71">
        <v>786276</v>
      </c>
      <c r="G154" s="94">
        <f>G149</f>
        <v>34971</v>
      </c>
      <c r="H154">
        <f t="shared" ref="H154:O154" si="10">H149/H$149</f>
        <v>1</v>
      </c>
      <c r="I154">
        <f t="shared" si="10"/>
        <v>1</v>
      </c>
      <c r="J154">
        <f t="shared" si="10"/>
        <v>1</v>
      </c>
      <c r="K154">
        <f t="shared" si="10"/>
        <v>1</v>
      </c>
      <c r="L154">
        <f t="shared" si="10"/>
        <v>1</v>
      </c>
      <c r="M154">
        <f t="shared" si="10"/>
        <v>1</v>
      </c>
      <c r="N154">
        <f t="shared" si="10"/>
        <v>1</v>
      </c>
      <c r="O154">
        <f t="shared" si="10"/>
        <v>1</v>
      </c>
      <c r="Q154">
        <f t="shared" ref="Q154:Z154" si="11">Q149/Q$149</f>
        <v>1</v>
      </c>
      <c r="R154">
        <f t="shared" si="11"/>
        <v>1</v>
      </c>
      <c r="S154">
        <f t="shared" si="11"/>
        <v>1</v>
      </c>
      <c r="T154">
        <f t="shared" si="11"/>
        <v>1</v>
      </c>
      <c r="U154">
        <f t="shared" si="11"/>
        <v>1</v>
      </c>
      <c r="V154">
        <f t="shared" si="11"/>
        <v>1</v>
      </c>
      <c r="W154">
        <f t="shared" si="11"/>
        <v>1</v>
      </c>
      <c r="X154">
        <f t="shared" si="11"/>
        <v>1</v>
      </c>
      <c r="Y154">
        <f t="shared" si="11"/>
        <v>1</v>
      </c>
      <c r="Z154">
        <f t="shared" si="11"/>
        <v>1</v>
      </c>
    </row>
    <row r="155" spans="3:27">
      <c r="C155" s="71">
        <v>691310</v>
      </c>
      <c r="D155" s="71">
        <v>689060</v>
      </c>
      <c r="G155" s="94">
        <f>G150</f>
        <v>36749</v>
      </c>
      <c r="H155">
        <f t="shared" ref="H155:O155" si="12">H150/H$149</f>
        <v>1.0000071094138796</v>
      </c>
      <c r="I155">
        <f t="shared" si="12"/>
        <v>1.0000078898309097</v>
      </c>
      <c r="J155">
        <f t="shared" si="12"/>
        <v>0.99999493040073917</v>
      </c>
      <c r="K155">
        <f t="shared" si="12"/>
        <v>0.99999855332864618</v>
      </c>
      <c r="L155">
        <f t="shared" si="12"/>
        <v>1.0000067405430182</v>
      </c>
      <c r="M155">
        <f t="shared" si="12"/>
        <v>1.0000040452256225</v>
      </c>
      <c r="N155">
        <f t="shared" si="12"/>
        <v>0.99999495569842145</v>
      </c>
      <c r="O155">
        <f t="shared" si="12"/>
        <v>0.99995965464375058</v>
      </c>
      <c r="Q155">
        <f t="shared" ref="Q155:Z155" si="13">Q150/Q$149</f>
        <v>1.0001785535732142</v>
      </c>
      <c r="R155">
        <f t="shared" si="13"/>
        <v>1.000174391018636</v>
      </c>
      <c r="S155">
        <f t="shared" si="13"/>
        <v>1.0001628115519885</v>
      </c>
      <c r="T155">
        <f t="shared" si="13"/>
        <v>1.0001553009136628</v>
      </c>
      <c r="U155">
        <f t="shared" si="13"/>
        <v>1.0001657297860396</v>
      </c>
      <c r="V155">
        <f t="shared" si="13"/>
        <v>1.0001520937221795</v>
      </c>
      <c r="W155">
        <f t="shared" si="13"/>
        <v>1.0001266531401114</v>
      </c>
      <c r="X155">
        <f t="shared" si="13"/>
        <v>1.0016102300136094</v>
      </c>
      <c r="Y155">
        <f t="shared" si="13"/>
        <v>1.004929218244168</v>
      </c>
      <c r="Z155">
        <f t="shared" si="13"/>
        <v>1.0000603718908476</v>
      </c>
    </row>
    <row r="156" spans="3:27">
      <c r="C156" s="71">
        <v>593513</v>
      </c>
      <c r="D156" s="71">
        <v>591400</v>
      </c>
      <c r="G156" s="94">
        <f>G151</f>
        <v>38398</v>
      </c>
      <c r="H156">
        <f t="shared" ref="H156:U157" si="14">H151/H$149</f>
        <v>1.0000365626999523</v>
      </c>
      <c r="I156">
        <f t="shared" si="14"/>
        <v>1.0000259237301317</v>
      </c>
      <c r="J156">
        <f t="shared" si="14"/>
        <v>1.0000291501957499</v>
      </c>
      <c r="K156">
        <f t="shared" si="14"/>
        <v>1.0000347201124931</v>
      </c>
      <c r="L156">
        <f t="shared" si="14"/>
        <v>1.0010380436247943</v>
      </c>
      <c r="M156">
        <f t="shared" si="14"/>
        <v>1.000034384417791</v>
      </c>
      <c r="N156">
        <f t="shared" si="14"/>
        <v>1.000015132904736</v>
      </c>
      <c r="O156">
        <f t="shared" si="14"/>
        <v>0.99997982732187529</v>
      </c>
      <c r="Q156">
        <f t="shared" si="14"/>
        <v>1.0001336601033775</v>
      </c>
      <c r="R156">
        <f t="shared" si="14"/>
        <v>1.0001256974225234</v>
      </c>
      <c r="S156">
        <f t="shared" si="14"/>
        <v>1.0001055731157424</v>
      </c>
      <c r="T156">
        <f t="shared" si="14"/>
        <v>1.0000928902661161</v>
      </c>
      <c r="U156">
        <f t="shared" si="14"/>
        <v>1.0000997760956769</v>
      </c>
      <c r="V156">
        <f t="shared" ref="I156:Z157" si="15">V151/V$149</f>
        <v>1.0000831445681249</v>
      </c>
      <c r="W156">
        <f t="shared" si="15"/>
        <v>1.0000582604444512</v>
      </c>
      <c r="X156">
        <f t="shared" si="15"/>
        <v>0.99992588899518953</v>
      </c>
      <c r="Y156">
        <f t="shared" si="15"/>
        <v>1.0000151512855866</v>
      </c>
      <c r="Z156">
        <f t="shared" si="15"/>
        <v>0.99996981405457619</v>
      </c>
    </row>
    <row r="157" spans="3:27">
      <c r="C157" s="71">
        <v>494446</v>
      </c>
      <c r="D157" s="71">
        <v>493172</v>
      </c>
      <c r="G157" s="94">
        <f>G152</f>
        <v>39997</v>
      </c>
      <c r="H157">
        <f t="shared" si="14"/>
        <v>1.0001584383664599</v>
      </c>
      <c r="I157">
        <f t="shared" si="15"/>
        <v>1.0001262372945543</v>
      </c>
      <c r="J157">
        <f t="shared" si="15"/>
        <v>1.0000963223859562</v>
      </c>
      <c r="K157">
        <f t="shared" si="15"/>
        <v>1.0000983736520639</v>
      </c>
      <c r="L157">
        <f t="shared" si="15"/>
        <v>1.0001499770821538</v>
      </c>
      <c r="M157">
        <f t="shared" si="15"/>
        <v>1.0000728140612043</v>
      </c>
      <c r="N157">
        <f t="shared" si="15"/>
        <v>1.0000403544126288</v>
      </c>
      <c r="O157">
        <f t="shared" si="15"/>
        <v>0.99991930928750106</v>
      </c>
      <c r="Q157">
        <f t="shared" si="15"/>
        <v>1.000093868164204</v>
      </c>
      <c r="R157">
        <f t="shared" si="15"/>
        <v>1.000103049238285</v>
      </c>
      <c r="S157">
        <f t="shared" si="15"/>
        <v>1.0001157488377419</v>
      </c>
      <c r="T157">
        <f t="shared" si="15"/>
        <v>1.0001088557806048</v>
      </c>
      <c r="U157">
        <f t="shared" si="15"/>
        <v>1.0001285251401939</v>
      </c>
      <c r="V157">
        <f t="shared" si="15"/>
        <v>1.0001115353962651</v>
      </c>
      <c r="W157">
        <f t="shared" si="15"/>
        <v>1.0000911902608802</v>
      </c>
      <c r="X157">
        <f t="shared" si="15"/>
        <v>1.0000774796868472</v>
      </c>
      <c r="Y157">
        <f t="shared" si="15"/>
        <v>1.0000606051423464</v>
      </c>
      <c r="Z157">
        <f t="shared" si="15"/>
        <v>1.0000402479272317</v>
      </c>
    </row>
    <row r="158" spans="3:27">
      <c r="C158" s="71">
        <v>396503</v>
      </c>
      <c r="D158" s="71">
        <v>394815</v>
      </c>
    </row>
    <row r="159" spans="3:27">
      <c r="C159" s="71">
        <v>298239</v>
      </c>
      <c r="D159" s="71">
        <v>296875</v>
      </c>
    </row>
    <row r="160" spans="3:27">
      <c r="C160" s="71">
        <v>198991</v>
      </c>
      <c r="D160" s="71">
        <v>198015</v>
      </c>
      <c r="H160" s="77">
        <f>G154</f>
        <v>34971</v>
      </c>
    </row>
    <row r="161" spans="3:24">
      <c r="C161" s="71">
        <v>99136</v>
      </c>
      <c r="D161" s="71">
        <v>99388</v>
      </c>
    </row>
    <row r="165" spans="3:24">
      <c r="X165" s="82">
        <f>X144-X145</f>
        <v>500</v>
      </c>
    </row>
  </sheetData>
  <phoneticPr fontId="2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37</vt:i4>
      </vt:variant>
    </vt:vector>
  </HeadingPairs>
  <TitlesOfParts>
    <vt:vector size="50" baseType="lpstr">
      <vt:lpstr>Commentary</vt:lpstr>
      <vt:lpstr>pyUBreadings</vt:lpstr>
      <vt:lpstr>pyUBresults</vt:lpstr>
      <vt:lpstr>environment</vt:lpstr>
      <vt:lpstr>pyReport</vt:lpstr>
      <vt:lpstr>Results</vt:lpstr>
      <vt:lpstr>AH2700A results</vt:lpstr>
      <vt:lpstr>Room data logger</vt:lpstr>
      <vt:lpstr>Universal Bridge</vt:lpstr>
      <vt:lpstr>Uncertainty</vt:lpstr>
      <vt:lpstr>Report</vt:lpstr>
      <vt:lpstr>Historical</vt:lpstr>
      <vt:lpstr>Previous History</vt:lpstr>
      <vt:lpstr>alpha</vt:lpstr>
      <vt:lpstr>beta</vt:lpstr>
      <vt:lpstr>C_1</vt:lpstr>
      <vt:lpstr>correction_c</vt:lpstr>
      <vt:lpstr>corrections</vt:lpstr>
      <vt:lpstr>Data</vt:lpstr>
      <vt:lpstr>Date</vt:lpstr>
      <vt:lpstr>G_1</vt:lpstr>
      <vt:lpstr>G_2</vt:lpstr>
      <vt:lpstr>history</vt:lpstr>
      <vt:lpstr>Inductance</vt:lpstr>
      <vt:lpstr>inductor1</vt:lpstr>
      <vt:lpstr>L_standard_uncertainty</vt:lpstr>
      <vt:lpstr>L_unit_multiplier</vt:lpstr>
      <vt:lpstr>L_v</vt:lpstr>
      <vt:lpstr>label</vt:lpstr>
      <vt:lpstr>multiplier</vt:lpstr>
      <vt:lpstr>Nominal_Value</vt:lpstr>
      <vt:lpstr>Old_Inductance</vt:lpstr>
      <vt:lpstr>Old_Resistance</vt:lpstr>
      <vt:lpstr>Params</vt:lpstr>
      <vt:lpstr>previous</vt:lpstr>
      <vt:lpstr>Report!Print_Area</vt:lpstr>
      <vt:lpstr>R_4A</vt:lpstr>
      <vt:lpstr>R_4B</vt:lpstr>
      <vt:lpstr>R_4C</vt:lpstr>
      <vt:lpstr>R_standard_uncertainty</vt:lpstr>
      <vt:lpstr>R_unit_multiplier</vt:lpstr>
      <vt:lpstr>R_v</vt:lpstr>
      <vt:lpstr>Range</vt:lpstr>
      <vt:lpstr>Rangex</vt:lpstr>
      <vt:lpstr>Record</vt:lpstr>
      <vt:lpstr>Resistance</vt:lpstr>
      <vt:lpstr>Results</vt:lpstr>
      <vt:lpstr>ub_uncertainty</vt:lpstr>
      <vt:lpstr>Uncertainty</vt:lpstr>
      <vt:lpstr>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Gabriel</dc:creator>
  <cp:lastModifiedBy>Keith Jones</cp:lastModifiedBy>
  <cp:lastPrinted>2020-11-11T04:19:38Z</cp:lastPrinted>
  <dcterms:created xsi:type="dcterms:W3CDTF">1999-09-28T04:51:25Z</dcterms:created>
  <dcterms:modified xsi:type="dcterms:W3CDTF">2020-11-12T22:18:03Z</dcterms:modified>
</cp:coreProperties>
</file>