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6D97085F-0611-4C01-BE2F-BDDDAD3C01B8}" xr6:coauthVersionLast="47" xr6:coauthVersionMax="47" xr10:uidLastSave="{00000000-0000-0000-0000-000000000000}"/>
  <bookViews>
    <workbookView xWindow="58815" yWindow="1695" windowWidth="22350" windowHeight="11295" activeTab="2" xr2:uid="{23C19AEE-3671-4F0F-B47D-EFB15F4B49E1}"/>
  </bookViews>
  <sheets>
    <sheet name="pyUBreadings" sheetId="1" r:id="rId1"/>
    <sheet name="pyUBresults" sheetId="2" r:id="rId2"/>
    <sheet name="report" sheetId="3" r:id="rId3"/>
  </sheets>
  <definedNames>
    <definedName name="pyanswers">pyUBresults!$A$2:$AO$3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C10" i="3"/>
  <c r="AA2" i="2"/>
  <c r="AB2" i="2"/>
  <c r="AC2" i="2"/>
  <c r="AE2" i="2"/>
  <c r="AF2" i="2"/>
  <c r="AG2" i="2"/>
  <c r="AI2" i="2"/>
  <c r="AJ2" i="2"/>
  <c r="AA3" i="2"/>
  <c r="AB3" i="2"/>
  <c r="AC3" i="2"/>
  <c r="AE3" i="2"/>
  <c r="AF3" i="2"/>
  <c r="AG3" i="2"/>
  <c r="AI3" i="2"/>
  <c r="AJ3" i="2"/>
  <c r="B10" i="1"/>
  <c r="B9" i="1"/>
  <c r="F10" i="1"/>
  <c r="F9" i="1"/>
  <c r="I5" i="3" l="1"/>
  <c r="H5" i="3"/>
  <c r="F5" i="3"/>
  <c r="E5" i="3"/>
  <c r="D5" i="3"/>
  <c r="AO3" i="2"/>
  <c r="AN3" i="2"/>
  <c r="AM3" i="2"/>
  <c r="G5" i="3" s="1"/>
  <c r="AL3" i="2"/>
  <c r="AK3" i="2"/>
  <c r="AO2" i="2"/>
  <c r="AN2" i="2"/>
  <c r="AM2" i="2"/>
  <c r="AL2" i="2"/>
  <c r="AK2" i="2"/>
</calcChain>
</file>

<file path=xl/sharedStrings.xml><?xml version="1.0" encoding="utf-8"?>
<sst xmlns="http://schemas.openxmlformats.org/spreadsheetml/2006/main" count="96" uniqueCount="75">
  <si>
    <t>Template for capacitors</t>
  </si>
  <si>
    <t>Capacitors</t>
  </si>
  <si>
    <t>Client</t>
  </si>
  <si>
    <t>Enter, say, 5 ppm as 5e-6</t>
  </si>
  <si>
    <t>Date</t>
  </si>
  <si>
    <t>Job number</t>
  </si>
  <si>
    <t>1 sigma uncertainties from specifications</t>
  </si>
  <si>
    <t>S Number</t>
  </si>
  <si>
    <t>specs say -140 ppm for capacitance, assume 100 ppm for G</t>
  </si>
  <si>
    <t>Data from lab book</t>
  </si>
  <si>
    <t>Data from specifications and other sources</t>
  </si>
  <si>
    <t>Item</t>
  </si>
  <si>
    <t>Nominal Frequency</t>
  </si>
  <si>
    <t>Range</t>
  </si>
  <si>
    <t>xdial</t>
  </si>
  <si>
    <t>rdial</t>
  </si>
  <si>
    <t>Frequency</t>
  </si>
  <si>
    <t>Temperature</t>
  </si>
  <si>
    <t>u</t>
  </si>
  <si>
    <t>df</t>
  </si>
  <si>
    <t>Temp coeff C</t>
  </si>
  <si>
    <t>Temp coeff G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</si>
  <si>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</si>
  <si>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</si>
  <si>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</si>
  <si>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</si>
  <si>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3Y</t>
  </si>
  <si>
    <t>1 microF</t>
  </si>
  <si>
    <t>Label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</si>
  <si>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</si>
  <si>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</si>
  <si>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</si>
  <si>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</si>
  <si>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</si>
  <si>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</si>
  <si>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</si>
  <si>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</si>
  <si>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</si>
  <si>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</si>
  <si>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</si>
  <si>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</si>
  <si>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</si>
  <si>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</si>
  <si>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</si>
  <si>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</si>
  <si>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</si>
  <si>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</si>
  <si>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td</t>
  </si>
  <si>
    <t>utd</t>
  </si>
  <si>
    <t>ktd</t>
  </si>
  <si>
    <t>cmcx</t>
  </si>
  <si>
    <t>cmcr</t>
  </si>
  <si>
    <t>ux/cmcx</t>
  </si>
  <si>
    <t>ur/cmcr</t>
  </si>
  <si>
    <t>label</t>
  </si>
  <si>
    <t>multiplier for G</t>
  </si>
  <si>
    <t>G</t>
  </si>
  <si>
    <t>uG</t>
  </si>
  <si>
    <t>k</t>
  </si>
  <si>
    <t>multiplier for C</t>
  </si>
  <si>
    <t>C</t>
  </si>
  <si>
    <t>uC</t>
  </si>
  <si>
    <t>nom Freq</t>
  </si>
  <si>
    <t>Table 1</t>
  </si>
  <si>
    <t>Coverage
Factor</t>
  </si>
  <si>
    <t>Loss
Angle
(mrad)</t>
  </si>
  <si>
    <t>Expanded
Uncertainty
(mrad)</t>
  </si>
  <si>
    <r>
      <t>Nominal
Value
(</t>
    </r>
    <r>
      <rPr>
        <sz val="10"/>
        <rFont val="Calibri"/>
        <family val="2"/>
      </rPr>
      <t>μ</t>
    </r>
    <r>
      <rPr>
        <sz val="10"/>
        <rFont val="Times New Roman"/>
        <family val="1"/>
      </rPr>
      <t>F)</t>
    </r>
  </si>
  <si>
    <r>
      <t>Capacitance
(</t>
    </r>
    <r>
      <rPr>
        <sz val="10"/>
        <rFont val="Calibri"/>
        <family val="2"/>
      </rPr>
      <t>μ</t>
    </r>
    <r>
      <rPr>
        <sz val="10"/>
        <rFont val="Times New Roman"/>
        <family val="1"/>
      </rPr>
      <t>F)</t>
    </r>
  </si>
  <si>
    <r>
      <t>Expanded
Uncertainty
(</t>
    </r>
    <r>
      <rPr>
        <sz val="10"/>
        <rFont val="Calibri"/>
        <family val="2"/>
      </rPr>
      <t>μ</t>
    </r>
    <r>
      <rPr>
        <sz val="10"/>
        <rFont val="Times New Roman"/>
        <family val="1"/>
      </rPr>
      <t>F)</t>
    </r>
  </si>
  <si>
    <t xml:space="preserve">GR-1409Y </t>
  </si>
  <si>
    <t>dial correction</t>
  </si>
  <si>
    <t>ppm</t>
  </si>
  <si>
    <t>cap expanded uncertainty</t>
  </si>
  <si>
    <t>(largely driven by 20 ppm temperature coefficient)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</si>
</sst>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E+00"/>
    <numFmt numFmtId="165" formatCode="000000"/>
    <numFmt numFmtId="166" formatCode="0000000"/>
    <numFmt numFmtId="167" formatCode="0.00000E+00"/>
    <numFmt numFmtId="168" formatCode="0.0"/>
    <numFmt numFmtId="169" formatCode="0.000000"/>
    <numFmt numFmtId="170" formatCode="0.00000"/>
    <numFmt numFmtId="171" formatCode="0.0000000"/>
    <numFmt numFmtId="172" formatCode="0.000"/>
    <numFmt numFmtId="173" formatCode="0\ \ \ \ \ \ \ \ \ \ \ "/>
    <numFmt numFmtId="174" formatCode="0.000\ \ \ \ "/>
    <numFmt numFmtId="175" formatCode="0.000\ \ \ \ \ \ \ "/>
    <numFmt numFmtId="176" formatCode="0.0000\ \ \ \ \ "/>
    <numFmt numFmtId="177" formatCode="0.00000\ \ \ "/>
    <numFmt numFmtId="179" formatCode="0.000000\ \ \ "/>
    <numFmt numFmtId="180" formatCode="0.0\ \ \ \ \ \ \ \ \ \ \ 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9646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15" fontId="2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Protection="1">
      <protection locked="0"/>
    </xf>
    <xf numFmtId="0" fontId="0" fillId="6" borderId="2" xfId="0" applyFill="1" applyBorder="1"/>
    <xf numFmtId="0" fontId="0" fillId="6" borderId="3" xfId="0" applyFill="1" applyBorder="1"/>
    <xf numFmtId="0" fontId="2" fillId="7" borderId="2" xfId="0" applyFont="1" applyFill="1" applyBorder="1"/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/>
    <xf numFmtId="0" fontId="0" fillId="4" borderId="5" xfId="0" applyFill="1" applyBorder="1" applyAlignment="1">
      <alignment horizontal="center"/>
    </xf>
    <xf numFmtId="165" fontId="0" fillId="6" borderId="2" xfId="0" applyNumberFormat="1" applyFill="1" applyBorder="1" applyProtection="1">
      <protection locked="0"/>
    </xf>
    <xf numFmtId="166" fontId="0" fillId="6" borderId="2" xfId="0" applyNumberFormat="1" applyFill="1" applyBorder="1" applyProtection="1">
      <protection locked="0"/>
    </xf>
    <xf numFmtId="167" fontId="0" fillId="6" borderId="2" xfId="0" applyNumberFormat="1" applyFill="1" applyBorder="1" applyProtection="1">
      <protection locked="0"/>
    </xf>
    <xf numFmtId="11" fontId="0" fillId="7" borderId="2" xfId="0" applyNumberFormat="1" applyFill="1" applyBorder="1"/>
    <xf numFmtId="1" fontId="0" fillId="7" borderId="2" xfId="0" applyNumberForma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 applyProtection="1">
      <alignment horizontal="right"/>
      <protection locked="0"/>
    </xf>
    <xf numFmtId="0" fontId="2" fillId="8" borderId="0" xfId="0" applyFont="1" applyFill="1"/>
    <xf numFmtId="168" fontId="0" fillId="8" borderId="0" xfId="0" applyNumberFormat="1" applyFill="1"/>
    <xf numFmtId="0" fontId="0" fillId="8" borderId="0" xfId="0" applyFill="1"/>
    <xf numFmtId="11" fontId="0" fillId="8" borderId="0" xfId="0" applyNumberFormat="1" applyFill="1"/>
    <xf numFmtId="169" fontId="0" fillId="8" borderId="0" xfId="0" applyNumberFormat="1" applyFill="1"/>
    <xf numFmtId="170" fontId="0" fillId="8" borderId="0" xfId="0" applyNumberFormat="1" applyFill="1"/>
    <xf numFmtId="2" fontId="0" fillId="8" borderId="0" xfId="0" applyNumberFormat="1" applyFill="1"/>
    <xf numFmtId="171" fontId="0" fillId="8" borderId="0" xfId="0" applyNumberFormat="1" applyFill="1"/>
    <xf numFmtId="172" fontId="0" fillId="8" borderId="0" xfId="0" applyNumberFormat="1" applyFill="1"/>
    <xf numFmtId="0" fontId="0" fillId="9" borderId="0" xfId="0" applyFill="1"/>
    <xf numFmtId="0" fontId="5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173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center"/>
    </xf>
    <xf numFmtId="174" fontId="6" fillId="0" borderId="0" xfId="0" applyNumberFormat="1" applyFont="1" applyAlignment="1">
      <alignment horizontal="right"/>
    </xf>
    <xf numFmtId="175" fontId="6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right"/>
    </xf>
    <xf numFmtId="177" fontId="6" fillId="0" borderId="0" xfId="0" applyNumberFormat="1" applyFont="1" applyAlignment="1">
      <alignment horizontal="right"/>
    </xf>
    <xf numFmtId="172" fontId="0" fillId="2" borderId="2" xfId="0" applyNumberFormat="1" applyFill="1" applyBorder="1" applyAlignment="1">
      <alignment horizontal="center"/>
    </xf>
    <xf numFmtId="179" fontId="6" fillId="0" borderId="0" xfId="0" applyNumberFormat="1" applyFont="1" applyAlignment="1">
      <alignment horizontal="right"/>
    </xf>
    <xf numFmtId="180" fontId="6" fillId="0" borderId="0" xfId="0" applyNumberFormat="1" applyFont="1" applyAlignment="1">
      <alignment horizontal="right"/>
    </xf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7952-2266-4491-8843-E0E551DAC906}">
  <dimension ref="A1:R10"/>
  <sheetViews>
    <sheetView workbookViewId="0"/>
  </sheetViews>
  <sheetFormatPr defaultRowHeight="14.5" x14ac:dyDescent="0.35"/>
  <cols>
    <col min="1" max="1" width="23.81640625" customWidth="1"/>
    <col min="2" max="2" width="20.81640625" customWidth="1"/>
    <col min="4" max="4" width="11.81640625" customWidth="1"/>
    <col min="5" max="5" width="10.7265625" customWidth="1"/>
    <col min="6" max="6" width="12.7265625" customWidth="1"/>
    <col min="7" max="7" width="13.81640625" customWidth="1"/>
    <col min="10" max="10" width="11.7265625" customWidth="1"/>
    <col min="13" max="13" width="11.26953125" customWidth="1"/>
  </cols>
  <sheetData>
    <row r="1" spans="1:18" ht="15.5" x14ac:dyDescent="0.35">
      <c r="A1" s="1" t="s">
        <v>0</v>
      </c>
    </row>
    <row r="2" spans="1:18" x14ac:dyDescent="0.35">
      <c r="A2" s="2"/>
      <c r="C2" s="2"/>
      <c r="E2" s="2"/>
      <c r="G2" s="2"/>
      <c r="I2" s="2"/>
      <c r="K2" s="2"/>
      <c r="M2" s="2"/>
      <c r="O2" s="2"/>
      <c r="Q2" s="2"/>
    </row>
    <row r="3" spans="1:18" x14ac:dyDescent="0.35">
      <c r="A3" s="3" t="s">
        <v>1</v>
      </c>
      <c r="B3" s="4" t="s">
        <v>70</v>
      </c>
      <c r="C3" s="4"/>
      <c r="D3" s="5"/>
      <c r="E3" s="6" t="s">
        <v>2</v>
      </c>
      <c r="F3" s="4"/>
      <c r="G3" s="5"/>
      <c r="K3" s="7" t="s">
        <v>3</v>
      </c>
    </row>
    <row r="4" spans="1:18" x14ac:dyDescent="0.35">
      <c r="A4" s="8" t="s">
        <v>4</v>
      </c>
      <c r="B4" s="9">
        <v>44537</v>
      </c>
      <c r="C4" s="4"/>
      <c r="D4" s="5"/>
      <c r="E4" s="6" t="s">
        <v>5</v>
      </c>
      <c r="F4" s="10"/>
      <c r="G4" s="5"/>
      <c r="K4" t="s">
        <v>6</v>
      </c>
    </row>
    <row r="5" spans="1:18" x14ac:dyDescent="0.35">
      <c r="A5" s="11"/>
      <c r="B5" s="9"/>
      <c r="C5" s="4"/>
      <c r="D5" s="5"/>
      <c r="E5" s="6" t="s">
        <v>7</v>
      </c>
      <c r="F5" s="4"/>
      <c r="G5" s="5"/>
      <c r="K5" t="s">
        <v>8</v>
      </c>
    </row>
    <row r="6" spans="1:18" ht="15" thickBot="1" x14ac:dyDescent="0.4">
      <c r="A6" s="12"/>
      <c r="D6" s="7" t="s">
        <v>9</v>
      </c>
      <c r="H6" s="7" t="s">
        <v>10</v>
      </c>
      <c r="Q6" s="13"/>
    </row>
    <row r="7" spans="1:18" ht="15" thickTop="1" x14ac:dyDescent="0.35">
      <c r="A7" s="14" t="s">
        <v>11</v>
      </c>
      <c r="B7" s="15" t="s">
        <v>12</v>
      </c>
      <c r="C7" s="16" t="s">
        <v>13</v>
      </c>
      <c r="D7" s="17" t="s">
        <v>14</v>
      </c>
      <c r="E7" s="17" t="s">
        <v>15</v>
      </c>
      <c r="F7" s="18" t="s">
        <v>16</v>
      </c>
      <c r="G7" s="19" t="s">
        <v>17</v>
      </c>
      <c r="H7" s="20" t="s">
        <v>18</v>
      </c>
      <c r="I7" s="20" t="s">
        <v>19</v>
      </c>
      <c r="J7" s="20" t="s">
        <v>20</v>
      </c>
      <c r="K7" s="20" t="s">
        <v>18</v>
      </c>
      <c r="L7" s="20" t="s">
        <v>19</v>
      </c>
      <c r="M7" s="20" t="s">
        <v>21</v>
      </c>
      <c r="N7" s="20" t="s">
        <v>18</v>
      </c>
      <c r="O7" s="20" t="s">
        <v>19</v>
      </c>
      <c r="P7" s="20" t="s">
        <v>22</v>
      </c>
      <c r="Q7" s="20" t="s">
        <v>18</v>
      </c>
      <c r="R7" s="20" t="s">
        <v>19</v>
      </c>
    </row>
    <row r="8" spans="1:18" x14ac:dyDescent="0.35">
      <c r="A8" s="21"/>
      <c r="B8" s="22" t="s">
        <v>23</v>
      </c>
      <c r="C8" s="16"/>
      <c r="D8" s="17"/>
      <c r="E8" s="17"/>
      <c r="F8" s="23" t="s">
        <v>23</v>
      </c>
      <c r="G8" s="24" t="s">
        <v>24</v>
      </c>
      <c r="H8" s="20"/>
      <c r="I8" s="20"/>
      <c r="J8" s="20"/>
      <c r="K8" s="25"/>
      <c r="L8" s="25"/>
      <c r="M8" s="20"/>
      <c r="N8" s="25"/>
      <c r="O8" s="25"/>
      <c r="P8" s="20"/>
      <c r="Q8" s="25"/>
      <c r="R8" s="25"/>
    </row>
    <row r="9" spans="1:18" x14ac:dyDescent="0.35">
      <c r="A9" s="26" t="s">
        <v>25</v>
      </c>
      <c r="B9" s="56">
        <f>10000/(2*PI())</f>
        <v>1591.5494309189535</v>
      </c>
      <c r="C9" s="16" t="s">
        <v>26</v>
      </c>
      <c r="D9" s="27">
        <v>0</v>
      </c>
      <c r="E9" s="28">
        <v>-2</v>
      </c>
      <c r="F9" s="29">
        <f>10000/(2*PI())</f>
        <v>1591.5494309189535</v>
      </c>
      <c r="G9" s="19">
        <v>20.61</v>
      </c>
      <c r="H9" s="20">
        <v>0.2</v>
      </c>
      <c r="I9" s="25">
        <v>10</v>
      </c>
      <c r="J9" s="25">
        <v>0</v>
      </c>
      <c r="K9" s="30">
        <v>0</v>
      </c>
      <c r="L9" s="31">
        <v>10</v>
      </c>
      <c r="M9" s="25">
        <v>0</v>
      </c>
      <c r="N9" s="30">
        <v>0</v>
      </c>
      <c r="O9" s="31">
        <v>10</v>
      </c>
      <c r="P9" s="20"/>
      <c r="Q9" s="25"/>
      <c r="R9" s="25"/>
    </row>
    <row r="10" spans="1:18" x14ac:dyDescent="0.35">
      <c r="A10" s="32" t="s">
        <v>27</v>
      </c>
      <c r="B10" s="56">
        <f>10000/(2*PI())</f>
        <v>1591.5494309189535</v>
      </c>
      <c r="C10" s="33" t="s">
        <v>26</v>
      </c>
      <c r="D10" s="34">
        <v>999875</v>
      </c>
      <c r="E10" s="28">
        <v>814</v>
      </c>
      <c r="F10" s="29">
        <f>10000/(2*PI())</f>
        <v>1591.5494309189535</v>
      </c>
      <c r="G10" s="19">
        <v>20.61</v>
      </c>
      <c r="H10" s="20">
        <v>0.2</v>
      </c>
      <c r="I10" s="25">
        <v>10</v>
      </c>
      <c r="J10" s="25">
        <v>0</v>
      </c>
      <c r="K10" s="30">
        <v>2.0000000000000002E-5</v>
      </c>
      <c r="L10" s="31">
        <v>10</v>
      </c>
      <c r="M10" s="25">
        <v>0</v>
      </c>
      <c r="N10" s="30">
        <v>0</v>
      </c>
      <c r="O10" s="31">
        <v>10</v>
      </c>
      <c r="P10" s="25"/>
      <c r="Q10" s="25"/>
      <c r="R1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32E3-70FB-4462-80DD-068BD3516DBE}">
  <dimension ref="A1:AO3"/>
  <sheetViews>
    <sheetView topLeftCell="T1" workbookViewId="0">
      <selection activeCell="A2" sqref="A2:Z3"/>
    </sheetView>
  </sheetViews>
  <sheetFormatPr defaultRowHeight="14.5" x14ac:dyDescent="0.35"/>
  <cols>
    <col min="27" max="27" width="11.26953125" customWidth="1"/>
    <col min="29" max="29" width="15" customWidth="1"/>
    <col min="35" max="35" width="10.26953125" customWidth="1"/>
    <col min="36" max="36" width="11.26953125" customWidth="1"/>
  </cols>
  <sheetData>
    <row r="1" spans="1:41" x14ac:dyDescent="0.35">
      <c r="A1" s="35" t="s">
        <v>11</v>
      </c>
      <c r="B1" s="35" t="s">
        <v>28</v>
      </c>
      <c r="C1" s="35" t="s">
        <v>13</v>
      </c>
      <c r="D1" s="35" t="s">
        <v>29</v>
      </c>
      <c r="E1" s="35" t="s">
        <v>30</v>
      </c>
      <c r="F1" s="35" t="s">
        <v>31</v>
      </c>
      <c r="G1" s="35" t="s">
        <v>32</v>
      </c>
      <c r="H1" s="35" t="s">
        <v>33</v>
      </c>
      <c r="I1" s="35" t="s">
        <v>34</v>
      </c>
      <c r="J1" s="35" t="s">
        <v>35</v>
      </c>
      <c r="K1" s="35" t="s">
        <v>36</v>
      </c>
      <c r="L1" s="35" t="s">
        <v>37</v>
      </c>
      <c r="M1" s="35" t="s">
        <v>38</v>
      </c>
      <c r="N1" s="35" t="s">
        <v>39</v>
      </c>
      <c r="O1" s="35" t="s">
        <v>40</v>
      </c>
      <c r="P1" s="35" t="s">
        <v>41</v>
      </c>
      <c r="Q1" s="35" t="s">
        <v>42</v>
      </c>
      <c r="R1" s="35" t="s">
        <v>43</v>
      </c>
      <c r="S1" s="35" t="s">
        <v>44</v>
      </c>
      <c r="T1" s="35" t="s">
        <v>45</v>
      </c>
      <c r="U1" s="35" t="s">
        <v>46</v>
      </c>
      <c r="V1" s="35" t="s">
        <v>47</v>
      </c>
      <c r="W1" s="35" t="s">
        <v>48</v>
      </c>
      <c r="X1" s="35" t="s">
        <v>49</v>
      </c>
      <c r="Y1" s="35" t="s">
        <v>50</v>
      </c>
      <c r="Z1" s="35" t="s">
        <v>51</v>
      </c>
      <c r="AA1" s="35" t="s">
        <v>52</v>
      </c>
      <c r="AB1" s="35" t="s">
        <v>53</v>
      </c>
      <c r="AC1" s="35" t="s">
        <v>54</v>
      </c>
      <c r="AD1" s="35" t="s">
        <v>55</v>
      </c>
      <c r="AE1" s="35" t="s">
        <v>56</v>
      </c>
      <c r="AF1" s="35" t="s">
        <v>57</v>
      </c>
      <c r="AG1" s="35" t="s">
        <v>58</v>
      </c>
      <c r="AH1" s="35" t="s">
        <v>59</v>
      </c>
      <c r="AI1" s="35" t="s">
        <v>60</v>
      </c>
      <c r="AJ1" s="35" t="s">
        <v>61</v>
      </c>
      <c r="AK1" s="35" t="s">
        <v>58</v>
      </c>
      <c r="AL1" s="35" t="s">
        <v>62</v>
      </c>
      <c r="AM1" s="35" t="s">
        <v>47</v>
      </c>
      <c r="AN1" s="35" t="s">
        <v>48</v>
      </c>
      <c r="AO1" s="35" t="s">
        <v>49</v>
      </c>
    </row>
    <row r="2" spans="1:41" x14ac:dyDescent="0.35">
      <c r="A2" s="46" t="s">
        <v>25</v>
      </c>
      <c r="B2" s="46">
        <v>1591.549430918953</v>
      </c>
      <c r="C2" s="46" t="s">
        <v>26</v>
      </c>
      <c r="D2" s="46">
        <v>0</v>
      </c>
      <c r="E2" s="46">
        <v>-2</v>
      </c>
      <c r="F2" s="46">
        <v>1591.549430918953</v>
      </c>
      <c r="G2" s="46">
        <v>20.61</v>
      </c>
      <c r="H2" s="46">
        <v>0.2</v>
      </c>
      <c r="I2" s="46">
        <v>10</v>
      </c>
      <c r="J2" s="46">
        <v>0</v>
      </c>
      <c r="K2" s="46">
        <v>0</v>
      </c>
      <c r="L2" s="46">
        <v>10</v>
      </c>
      <c r="M2" s="46">
        <v>0</v>
      </c>
      <c r="N2" s="46">
        <v>0</v>
      </c>
      <c r="O2" s="46">
        <v>10</v>
      </c>
      <c r="P2" s="46">
        <v>0</v>
      </c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0</v>
      </c>
      <c r="X2" s="46">
        <v>0</v>
      </c>
      <c r="Y2" s="46">
        <v>1.2566370614359169E-16</v>
      </c>
      <c r="Z2" s="46">
        <v>0</v>
      </c>
      <c r="AA2" s="36">
        <f t="shared" ref="AA2:AA3" si="0">Q2/Y2</f>
        <v>0</v>
      </c>
      <c r="AB2" s="36" t="e">
        <f t="shared" ref="AB2:AB3" si="1">T2/Z2</f>
        <v>#DIV/0!</v>
      </c>
      <c r="AC2" s="37" t="str">
        <f>A2&amp;B2</f>
        <v>coax zero1591.54943091895</v>
      </c>
      <c r="AD2" s="38">
        <v>1000</v>
      </c>
      <c r="AE2" s="39">
        <f>AD2*S2</f>
        <v>0</v>
      </c>
      <c r="AF2" s="40">
        <f>AD2*T2</f>
        <v>0</v>
      </c>
      <c r="AG2" s="36">
        <f>U2</f>
        <v>0</v>
      </c>
      <c r="AH2" s="38">
        <v>1000000</v>
      </c>
      <c r="AI2" s="41">
        <f>AH2*P2</f>
        <v>0</v>
      </c>
      <c r="AJ2" s="42">
        <f>AH2*Q2</f>
        <v>0</v>
      </c>
      <c r="AK2" s="43">
        <f>R2</f>
        <v>0</v>
      </c>
      <c r="AL2" s="43">
        <f>B2</f>
        <v>1591.549430918953</v>
      </c>
      <c r="AM2" s="44">
        <f>V2</f>
        <v>0</v>
      </c>
      <c r="AN2" s="44">
        <f t="shared" ref="AN2:AO3" si="2">W2</f>
        <v>0</v>
      </c>
      <c r="AO2" s="44">
        <f t="shared" si="2"/>
        <v>0</v>
      </c>
    </row>
    <row r="3" spans="1:41" x14ac:dyDescent="0.35">
      <c r="A3" s="46" t="s">
        <v>27</v>
      </c>
      <c r="B3" s="46">
        <v>1591.549430918953</v>
      </c>
      <c r="C3" s="46" t="s">
        <v>26</v>
      </c>
      <c r="D3" s="46">
        <v>999875</v>
      </c>
      <c r="E3" s="46">
        <v>814</v>
      </c>
      <c r="F3" s="46">
        <v>1591.549430918953</v>
      </c>
      <c r="G3" s="46">
        <v>20.61</v>
      </c>
      <c r="H3" s="46">
        <v>0.2</v>
      </c>
      <c r="I3" s="46">
        <v>10</v>
      </c>
      <c r="J3" s="46">
        <v>0</v>
      </c>
      <c r="K3" s="46">
        <v>2.0000000000000002E-5</v>
      </c>
      <c r="L3" s="46">
        <v>10</v>
      </c>
      <c r="M3" s="46">
        <v>0</v>
      </c>
      <c r="N3" s="46">
        <v>0</v>
      </c>
      <c r="O3" s="46">
        <v>10</v>
      </c>
      <c r="P3" s="46">
        <v>9.9998348066768829E-7</v>
      </c>
      <c r="Q3" s="46">
        <v>4.7198239115292428E-11</v>
      </c>
      <c r="R3" s="46">
        <v>2.0330766770643369</v>
      </c>
      <c r="S3" s="46">
        <v>8.1596842255308712E-7</v>
      </c>
      <c r="T3" s="46">
        <v>3.7824101589171389E-7</v>
      </c>
      <c r="U3" s="46">
        <v>2.2183660797928089</v>
      </c>
      <c r="V3" s="46">
        <v>8.1598190021827929E-2</v>
      </c>
      <c r="W3" s="46">
        <v>3.7824726447287862E-2</v>
      </c>
      <c r="X3" s="46">
        <v>2.218366078578228</v>
      </c>
      <c r="Y3" s="46">
        <v>2.1999762238395281E-11</v>
      </c>
      <c r="Z3" s="46">
        <v>2.6999823978027582E-7</v>
      </c>
      <c r="AA3" s="36">
        <f t="shared" si="0"/>
        <v>2.1453976912950123</v>
      </c>
      <c r="AB3" s="36">
        <f t="shared" si="1"/>
        <v>1.4009017843950609</v>
      </c>
      <c r="AC3" s="37" t="str">
        <f t="shared" ref="AC3" si="3">A3&amp;B3</f>
        <v>1 microF1591.54943091895</v>
      </c>
      <c r="AD3" s="38">
        <v>1000</v>
      </c>
      <c r="AE3" s="39">
        <f t="shared" ref="AE3" si="4">AD3*S3</f>
        <v>8.1596842255308717E-4</v>
      </c>
      <c r="AF3" s="40">
        <f t="shared" ref="AF3" si="5">AD3*T3</f>
        <v>3.7824101589171392E-4</v>
      </c>
      <c r="AG3" s="36">
        <f t="shared" ref="AG3" si="6">U3</f>
        <v>2.2183660797928089</v>
      </c>
      <c r="AH3" s="38">
        <v>1000000</v>
      </c>
      <c r="AI3" s="41">
        <f t="shared" ref="AI3" si="7">AH3*P3</f>
        <v>0.99998348066768827</v>
      </c>
      <c r="AJ3" s="42">
        <f t="shared" ref="AJ3" si="8">AH3*Q3</f>
        <v>4.7198239115292431E-5</v>
      </c>
      <c r="AK3" s="43">
        <f t="shared" ref="AK3" si="9">R3</f>
        <v>2.0330766770643369</v>
      </c>
      <c r="AL3" s="43">
        <f t="shared" ref="AL3" si="10">B3</f>
        <v>1591.549430918953</v>
      </c>
      <c r="AM3" s="44">
        <f t="shared" ref="AM3" si="11">V3</f>
        <v>8.1598190021827929E-2</v>
      </c>
      <c r="AN3" s="44">
        <f t="shared" si="2"/>
        <v>3.7824726447287862E-2</v>
      </c>
      <c r="AO3" s="44">
        <f t="shared" si="2"/>
        <v>2.218366078578228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FB62-C9FB-45C9-B385-C73DC39BA068}">
  <dimension ref="A1:I11"/>
  <sheetViews>
    <sheetView tabSelected="1" workbookViewId="0">
      <selection activeCell="E13" sqref="E13"/>
    </sheetView>
  </sheetViews>
  <sheetFormatPr defaultRowHeight="14.5" x14ac:dyDescent="0.35"/>
  <cols>
    <col min="2" max="2" width="18.54296875" customWidth="1"/>
    <col min="3" max="3" width="13.453125" customWidth="1"/>
    <col min="4" max="5" width="10.7265625" customWidth="1"/>
    <col min="7" max="8" width="10.7265625" customWidth="1"/>
  </cols>
  <sheetData>
    <row r="1" spans="1:9" x14ac:dyDescent="0.35">
      <c r="A1" s="46"/>
      <c r="B1" s="46"/>
      <c r="C1" s="46"/>
      <c r="D1" s="46"/>
      <c r="E1" s="46"/>
      <c r="F1" s="46"/>
      <c r="G1" s="46"/>
      <c r="H1" s="46"/>
      <c r="I1" s="46"/>
    </row>
    <row r="2" spans="1:9" x14ac:dyDescent="0.35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46"/>
      <c r="B3" s="45" t="s">
        <v>63</v>
      </c>
      <c r="C3" s="46"/>
      <c r="D3" s="46"/>
      <c r="E3" s="46"/>
      <c r="F3" s="46"/>
      <c r="G3" s="46"/>
      <c r="H3" s="46"/>
      <c r="I3" s="46"/>
    </row>
    <row r="4" spans="1:9" ht="39" x14ac:dyDescent="0.35">
      <c r="A4" s="46"/>
      <c r="B4" s="47"/>
      <c r="C4" s="48" t="s">
        <v>67</v>
      </c>
      <c r="D4" s="48" t="s">
        <v>68</v>
      </c>
      <c r="E4" s="48" t="s">
        <v>69</v>
      </c>
      <c r="F4" s="48" t="s">
        <v>64</v>
      </c>
      <c r="G4" s="48" t="s">
        <v>65</v>
      </c>
      <c r="H4" s="48" t="s">
        <v>66</v>
      </c>
      <c r="I4" s="48" t="s">
        <v>64</v>
      </c>
    </row>
    <row r="5" spans="1:9" x14ac:dyDescent="0.35">
      <c r="A5" s="46" t="s">
        <v>27</v>
      </c>
      <c r="B5" s="49"/>
      <c r="C5" s="58">
        <v>1</v>
      </c>
      <c r="D5" s="57">
        <f>VLOOKUP($A5, pyanswers,35,FALSE)</f>
        <v>0.99998348066768827</v>
      </c>
      <c r="E5" s="57">
        <f>VLOOKUP($A5, pyanswers,36,FALSE)</f>
        <v>4.7198239115292431E-5</v>
      </c>
      <c r="F5" s="51">
        <f>VLOOKUP($A5, pyanswers,37,FALSE)</f>
        <v>2.0330766770643369</v>
      </c>
      <c r="G5" s="52">
        <f>VLOOKUP($A5, pyanswers,39,FALSE)</f>
        <v>8.1598190021827929E-2</v>
      </c>
      <c r="H5" s="52">
        <f>VLOOKUP($A5, pyanswers,40,FALSE)</f>
        <v>3.7824726447287862E-2</v>
      </c>
      <c r="I5" s="51">
        <f>VLOOKUP($A5, pyanswers,41,FALSE)</f>
        <v>2.218366078578228</v>
      </c>
    </row>
    <row r="6" spans="1:9" x14ac:dyDescent="0.35">
      <c r="A6" s="7"/>
      <c r="B6" s="49"/>
      <c r="C6" s="50"/>
      <c r="D6" s="53"/>
      <c r="E6" s="53"/>
      <c r="F6" s="51"/>
      <c r="G6" s="52"/>
      <c r="H6" s="52"/>
      <c r="I6" s="51"/>
    </row>
    <row r="7" spans="1:9" x14ac:dyDescent="0.35">
      <c r="A7" s="7"/>
      <c r="B7" s="2"/>
      <c r="C7" s="50"/>
      <c r="D7" s="54"/>
      <c r="E7" s="54"/>
      <c r="F7" s="51"/>
      <c r="G7" s="52"/>
      <c r="H7" s="52"/>
      <c r="I7" s="51"/>
    </row>
    <row r="8" spans="1:9" x14ac:dyDescent="0.35">
      <c r="A8" s="7"/>
      <c r="B8" s="2"/>
      <c r="C8" s="50"/>
      <c r="D8" s="55"/>
      <c r="E8" s="55"/>
      <c r="F8" s="51"/>
      <c r="G8" s="52"/>
      <c r="H8" s="52"/>
      <c r="I8" s="51"/>
    </row>
    <row r="10" spans="1:9" x14ac:dyDescent="0.35">
      <c r="A10" t="s">
        <v>71</v>
      </c>
      <c r="C10" s="59">
        <f>(D5/(pyUBreadings!D10*0.000001)-1)*1000000</f>
        <v>108.49422946690446</v>
      </c>
      <c r="D10" t="s">
        <v>72</v>
      </c>
    </row>
    <row r="11" spans="1:9" x14ac:dyDescent="0.35">
      <c r="A11" t="s">
        <v>73</v>
      </c>
      <c r="C11" s="60">
        <f>E5/D5*1000000</f>
        <v>47.199018811568969</v>
      </c>
      <c r="D11" t="s">
        <v>72</v>
      </c>
      <c r="E1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pyUBreadings</vt:lpstr>
      <vt:lpstr>pyUBresults</vt:lpstr>
      <vt:lpstr>report</vt:lpstr>
      <vt:lpstr>pyanswers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dcterms:created xsi:type="dcterms:W3CDTF">2021-12-16T23:12:37Z</dcterms:created>
  <dcterms:modified xsi:type="dcterms:W3CDTF">2021-12-17T01:44:30Z</dcterms:modified>
</cp:coreProperties>
</file>