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429E750D-3B82-4DF2-BC0B-299750F889FF}" xr6:coauthVersionLast="45" xr6:coauthVersionMax="45" xr10:uidLastSave="{00000000-0000-0000-0000-000000000000}"/>
  <bookViews>
    <workbookView xWindow="4245" yWindow="1245" windowWidth="13035" windowHeight="11385" firstSheet="1" activeTab="3" xr2:uid="{00000000-000D-0000-FFFF-FFFF00000000}"/>
  </bookViews>
  <sheets>
    <sheet name="Commentary" sheetId="12" r:id="rId1"/>
    <sheet name="pyUBreadings" sheetId="16" r:id="rId2"/>
    <sheet name="pyUBresults" sheetId="17" r:id="rId3"/>
    <sheet name="pyReport" sheetId="18" r:id="rId4"/>
    <sheet name="Results" sheetId="4" r:id="rId5"/>
    <sheet name="Universal Bridge" sheetId="5" r:id="rId6"/>
    <sheet name="Uncertainty" sheetId="6" r:id="rId7"/>
    <sheet name="Report" sheetId="7" r:id="rId8"/>
    <sheet name="Range7" sheetId="14" r:id="rId9"/>
    <sheet name="HP History" sheetId="11" r:id="rId10"/>
    <sheet name="AH_reading_280121" sheetId="19" r:id="rId11"/>
    <sheet name="AH_manual_200121" sheetId="13" r:id="rId12"/>
    <sheet name="RoomLogger" sheetId="15" r:id="rId13"/>
  </sheets>
  <externalReferences>
    <externalReference r:id="rId14"/>
    <externalReference r:id="rId15"/>
    <externalReference r:id="rId16"/>
  </externalReferences>
  <definedNames>
    <definedName name="alpha">Results!$D$8:$D$73</definedName>
    <definedName name="B_331">#REF!</definedName>
    <definedName name="b_331_uc">#REF!</definedName>
    <definedName name="beta">Results!$E$8:$E$73</definedName>
    <definedName name="C_1">'Universal Bridge'!$F$4</definedName>
    <definedName name="C_standard_uncertainty">Uncertainty!$C$24</definedName>
    <definedName name="C_unit_mult">'Universal Bridge'!$H$44:$I$60</definedName>
    <definedName name="correction_c">'Universal Bridge'!$G$12</definedName>
    <definedName name="corrections">'Universal Bridge'!$F$26:$H$39</definedName>
    <definedName name="Data">'Universal Bridge'!$L$2:$T$12</definedName>
    <definedName name="Date">Results!$A$6</definedName>
    <definedName name="frequency">Results!$J$8:$J$72</definedName>
    <definedName name="G_1">'Universal Bridge'!$F$8</definedName>
    <definedName name="G_2">'Universal Bridge'!$F$9</definedName>
    <definedName name="G_standard_uncertainty">Uncertainty!$C$47</definedName>
    <definedName name="G_unit_mult">'Universal Bridge'!$K$44:$L$60</definedName>
    <definedName name="history">'HP History'!$A$120:$AG$126</definedName>
    <definedName name="Inductance">Results!$F$9:$F$28</definedName>
    <definedName name="L_standard_uncertainty">Uncertainty!$C$24</definedName>
    <definedName name="L_v">Uncertainty!$F$24</definedName>
    <definedName name="label">Uncertainty!$B$9</definedName>
    <definedName name="multiplier">'Universal Bridge'!$F$42:$N$55</definedName>
    <definedName name="Nominal_Value">Report!$B$8:$B$19</definedName>
    <definedName name="Old_date">Results!$P$6</definedName>
    <definedName name="Old_Inductance">Results!$M$7:$M$28</definedName>
    <definedName name="Old_Resistance">Results!$P$7:$P$28</definedName>
    <definedName name="Params">Uncertainty!$S$5:$AA$59</definedName>
    <definedName name="_xlnm.Print_Area" localSheetId="9">'HP History'!$A$109:$C$115</definedName>
    <definedName name="_xlnm.Print_Area" localSheetId="7">Report!$C$5:$I$19</definedName>
    <definedName name="_xlnm.Print_Area" localSheetId="6">Uncertainty!$A$1:$I$82</definedName>
    <definedName name="pyanswers">pyUBresults!$A$2:$AO$17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Results!$C$8:$C$74</definedName>
    <definedName name="Rangex">Results!$B$9:$Q$65</definedName>
    <definedName name="Record">'Universal Bridge'!$A$5:$C$19</definedName>
    <definedName name="Resistance">Results!$H$9:$H$28</definedName>
    <definedName name="resub">[1]pyUBresults!$A$3:$AL$63</definedName>
    <definedName name="Results">Results!$B$7:$R$65</definedName>
    <definedName name="tag">#REF!</definedName>
    <definedName name="Tap_No">Results!#REF!</definedName>
    <definedName name="ub_uncertainty">Uncertainty!$AB$5:$AG$59</definedName>
    <definedName name="Uncertainty">Uncertainty!$T$5:$X$24</definedName>
    <definedName name="zeros">'Universal Bridge'!$Q$20:$S$42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19" l="1"/>
  <c r="N25" i="19"/>
  <c r="O24" i="19"/>
  <c r="N24" i="19"/>
  <c r="O23" i="19"/>
  <c r="N23" i="19"/>
  <c r="O22" i="19"/>
  <c r="N22" i="19"/>
  <c r="O18" i="19"/>
  <c r="N18" i="19"/>
  <c r="H18" i="19"/>
  <c r="G18" i="19"/>
  <c r="O17" i="19"/>
  <c r="N17" i="19"/>
  <c r="H17" i="19"/>
  <c r="G17" i="19"/>
  <c r="O16" i="19"/>
  <c r="N16" i="19"/>
  <c r="H16" i="19"/>
  <c r="G16" i="19"/>
  <c r="O15" i="19"/>
  <c r="N15" i="19"/>
  <c r="H15" i="19"/>
  <c r="G15" i="19"/>
  <c r="L11" i="19"/>
  <c r="H11" i="19"/>
  <c r="M11" i="19" s="1"/>
  <c r="G11" i="19"/>
  <c r="H10" i="19"/>
  <c r="M10" i="19" s="1"/>
  <c r="G10" i="19"/>
  <c r="L10" i="19" s="1"/>
  <c r="H9" i="19"/>
  <c r="M9" i="19" s="1"/>
  <c r="G9" i="19"/>
  <c r="L9" i="19" s="1"/>
  <c r="H8" i="19"/>
  <c r="M8" i="19" s="1"/>
  <c r="G8" i="19"/>
  <c r="L8" i="19" s="1"/>
  <c r="H7" i="19"/>
  <c r="M7" i="19" s="1"/>
  <c r="G7" i="19"/>
  <c r="L7" i="19" s="1"/>
  <c r="H6" i="19"/>
  <c r="M6" i="19" s="1"/>
  <c r="G6" i="19"/>
  <c r="L6" i="19" s="1"/>
  <c r="L5" i="19"/>
  <c r="H5" i="19"/>
  <c r="M5" i="19" s="1"/>
  <c r="G5" i="19"/>
  <c r="H4" i="19"/>
  <c r="I17" i="19" l="1"/>
  <c r="K17" i="19" s="1"/>
  <c r="J17" i="19"/>
  <c r="L17" i="19" s="1"/>
  <c r="L24" i="19" s="1"/>
  <c r="R24" i="19" s="1"/>
  <c r="T24" i="19" s="1"/>
  <c r="I15" i="19"/>
  <c r="K15" i="19" s="1"/>
  <c r="Q15" i="19" s="1"/>
  <c r="S15" i="19" s="1"/>
  <c r="J15" i="19"/>
  <c r="L15" i="19" s="1"/>
  <c r="I18" i="19"/>
  <c r="K18" i="19" s="1"/>
  <c r="K25" i="19" s="1"/>
  <c r="Q25" i="19" s="1"/>
  <c r="S25" i="19" s="1"/>
  <c r="J18" i="19"/>
  <c r="L18" i="19" s="1"/>
  <c r="L25" i="19" s="1"/>
  <c r="R25" i="19" s="1"/>
  <c r="T25" i="19" s="1"/>
  <c r="I16" i="19"/>
  <c r="K16" i="19" s="1"/>
  <c r="K23" i="19" s="1"/>
  <c r="Q23" i="19" s="1"/>
  <c r="S23" i="19" s="1"/>
  <c r="J16" i="19"/>
  <c r="L16" i="19" s="1"/>
  <c r="L23" i="19" s="1"/>
  <c r="R23" i="19" s="1"/>
  <c r="T23" i="19" s="1"/>
  <c r="K24" i="19"/>
  <c r="Q24" i="19" s="1"/>
  <c r="S24" i="19" s="1"/>
  <c r="Q17" i="19"/>
  <c r="S17" i="19" s="1"/>
  <c r="R17" i="19"/>
  <c r="T17" i="19" s="1"/>
  <c r="Q16" i="19"/>
  <c r="S16" i="19" s="1"/>
  <c r="L22" i="19"/>
  <c r="R22" i="19" s="1"/>
  <c r="T22" i="19" s="1"/>
  <c r="R15" i="19"/>
  <c r="T15" i="19" s="1"/>
  <c r="N23" i="11"/>
  <c r="M23" i="11"/>
  <c r="L23" i="11"/>
  <c r="K23" i="11"/>
  <c r="J23" i="11"/>
  <c r="I23" i="11"/>
  <c r="N22" i="11"/>
  <c r="M22" i="11"/>
  <c r="L22" i="11"/>
  <c r="K22" i="11"/>
  <c r="J22" i="11"/>
  <c r="I22" i="11"/>
  <c r="N21" i="11"/>
  <c r="M21" i="11"/>
  <c r="L21" i="11"/>
  <c r="K21" i="11"/>
  <c r="J21" i="11"/>
  <c r="I21" i="11"/>
  <c r="N20" i="11"/>
  <c r="M20" i="11"/>
  <c r="L20" i="11"/>
  <c r="K20" i="11"/>
  <c r="J20" i="11"/>
  <c r="I20" i="11"/>
  <c r="N19" i="11"/>
  <c r="M19" i="11"/>
  <c r="L19" i="11"/>
  <c r="K19" i="11"/>
  <c r="J19" i="11"/>
  <c r="I19" i="11"/>
  <c r="N18" i="11"/>
  <c r="M18" i="11"/>
  <c r="L18" i="11"/>
  <c r="K18" i="11"/>
  <c r="J18" i="11"/>
  <c r="I18" i="11"/>
  <c r="N17" i="11"/>
  <c r="M17" i="11"/>
  <c r="L17" i="11"/>
  <c r="K17" i="11"/>
  <c r="J17" i="11"/>
  <c r="I17" i="11"/>
  <c r="R18" i="19" l="1"/>
  <c r="T18" i="19" s="1"/>
  <c r="R16" i="19"/>
  <c r="T16" i="19" s="1"/>
  <c r="K22" i="19"/>
  <c r="Q22" i="19" s="1"/>
  <c r="S22" i="19" s="1"/>
  <c r="Q18" i="19"/>
  <c r="S18" i="19" s="1"/>
  <c r="AM3" i="17"/>
  <c r="G14" i="18" s="1"/>
  <c r="AN3" i="17"/>
  <c r="H14" i="18" s="1"/>
  <c r="AO3" i="17"/>
  <c r="I14" i="18" s="1"/>
  <c r="AM4" i="17"/>
  <c r="AN4" i="17"/>
  <c r="AO4" i="17"/>
  <c r="AM5" i="17"/>
  <c r="G15" i="18" s="1"/>
  <c r="AN5" i="17"/>
  <c r="H15" i="18" s="1"/>
  <c r="AO5" i="17"/>
  <c r="I15" i="18" s="1"/>
  <c r="AM6" i="17"/>
  <c r="AN6" i="17"/>
  <c r="AO6" i="17"/>
  <c r="AM7" i="17"/>
  <c r="G16" i="18" s="1"/>
  <c r="AN7" i="17"/>
  <c r="H16" i="18" s="1"/>
  <c r="AO7" i="17"/>
  <c r="I16" i="18" s="1"/>
  <c r="AM8" i="17"/>
  <c r="AN8" i="17"/>
  <c r="AO8" i="17"/>
  <c r="AM9" i="17"/>
  <c r="G5" i="18" s="1"/>
  <c r="AN9" i="17"/>
  <c r="H5" i="18" s="1"/>
  <c r="AO9" i="17"/>
  <c r="I5" i="18" s="1"/>
  <c r="AM10" i="17"/>
  <c r="AN10" i="17"/>
  <c r="AO10" i="17"/>
  <c r="AM11" i="17"/>
  <c r="AN11" i="17"/>
  <c r="AO11" i="17"/>
  <c r="AM12" i="17"/>
  <c r="AN12" i="17"/>
  <c r="AO12" i="17"/>
  <c r="AM13" i="17"/>
  <c r="G6" i="18" s="1"/>
  <c r="AN13" i="17"/>
  <c r="H6" i="18" s="1"/>
  <c r="AO13" i="17"/>
  <c r="I6" i="18" s="1"/>
  <c r="AM14" i="17"/>
  <c r="G7" i="18" s="1"/>
  <c r="AN14" i="17"/>
  <c r="H7" i="18" s="1"/>
  <c r="AO14" i="17"/>
  <c r="I7" i="18" s="1"/>
  <c r="AM15" i="17"/>
  <c r="G8" i="18" s="1"/>
  <c r="AN15" i="17"/>
  <c r="H8" i="18" s="1"/>
  <c r="AO15" i="17"/>
  <c r="I8" i="18" s="1"/>
  <c r="AM16" i="17"/>
  <c r="AN16" i="17"/>
  <c r="AO16" i="17"/>
  <c r="AM17" i="17"/>
  <c r="AN17" i="17"/>
  <c r="AO17" i="17"/>
  <c r="AN2" i="17"/>
  <c r="AO2" i="17"/>
  <c r="AM2" i="17"/>
  <c r="AL17" i="17" l="1"/>
  <c r="AK17" i="17"/>
  <c r="AJ17" i="17"/>
  <c r="AI17" i="17"/>
  <c r="AG17" i="17"/>
  <c r="AF17" i="17"/>
  <c r="AE17" i="17"/>
  <c r="AC17" i="17"/>
  <c r="AB17" i="17"/>
  <c r="AA17" i="17"/>
  <c r="AL16" i="17"/>
  <c r="AK16" i="17"/>
  <c r="AJ16" i="17"/>
  <c r="AI16" i="17"/>
  <c r="AG16" i="17"/>
  <c r="AF16" i="17"/>
  <c r="AE16" i="17"/>
  <c r="AC16" i="17"/>
  <c r="AB16" i="17"/>
  <c r="AA16" i="17"/>
  <c r="AL15" i="17"/>
  <c r="AK15" i="17"/>
  <c r="F8" i="18" s="1"/>
  <c r="AJ15" i="17"/>
  <c r="E8" i="18" s="1"/>
  <c r="AI15" i="17"/>
  <c r="D8" i="18" s="1"/>
  <c r="AG15" i="17"/>
  <c r="AF15" i="17"/>
  <c r="AE15" i="17"/>
  <c r="AC15" i="17"/>
  <c r="AB15" i="17"/>
  <c r="AA15" i="17"/>
  <c r="AL14" i="17"/>
  <c r="AK14" i="17"/>
  <c r="F7" i="18" s="1"/>
  <c r="AJ14" i="17"/>
  <c r="E7" i="18" s="1"/>
  <c r="AI14" i="17"/>
  <c r="D7" i="18" s="1"/>
  <c r="AG14" i="17"/>
  <c r="AF14" i="17"/>
  <c r="AE14" i="17"/>
  <c r="AC14" i="17"/>
  <c r="AB14" i="17"/>
  <c r="AA14" i="17"/>
  <c r="AL13" i="17"/>
  <c r="AK13" i="17"/>
  <c r="F6" i="18" s="1"/>
  <c r="AJ13" i="17"/>
  <c r="E6" i="18" s="1"/>
  <c r="AI13" i="17"/>
  <c r="D6" i="18" s="1"/>
  <c r="AG13" i="17"/>
  <c r="AF13" i="17"/>
  <c r="AE13" i="17"/>
  <c r="AC13" i="17"/>
  <c r="AB13" i="17"/>
  <c r="AA13" i="17"/>
  <c r="AL12" i="17"/>
  <c r="AK12" i="17"/>
  <c r="AJ12" i="17"/>
  <c r="AI12" i="17"/>
  <c r="AG12" i="17"/>
  <c r="AF12" i="17"/>
  <c r="AE12" i="17"/>
  <c r="AC12" i="17"/>
  <c r="AB12" i="17"/>
  <c r="AA12" i="17"/>
  <c r="AL11" i="17"/>
  <c r="AK11" i="17"/>
  <c r="AJ11" i="17"/>
  <c r="AI11" i="17"/>
  <c r="AG11" i="17"/>
  <c r="AF11" i="17"/>
  <c r="AE11" i="17"/>
  <c r="AC11" i="17"/>
  <c r="AB11" i="17"/>
  <c r="AA11" i="17"/>
  <c r="AL10" i="17"/>
  <c r="AK10" i="17"/>
  <c r="AJ10" i="17"/>
  <c r="AI10" i="17"/>
  <c r="AG10" i="17"/>
  <c r="AF10" i="17"/>
  <c r="AE10" i="17"/>
  <c r="AC10" i="17"/>
  <c r="AB10" i="17"/>
  <c r="AA10" i="17"/>
  <c r="AL9" i="17"/>
  <c r="AK9" i="17"/>
  <c r="F5" i="18" s="1"/>
  <c r="AJ9" i="17"/>
  <c r="E5" i="18" s="1"/>
  <c r="AI9" i="17"/>
  <c r="D5" i="18" s="1"/>
  <c r="AG9" i="17"/>
  <c r="AF9" i="17"/>
  <c r="AE9" i="17"/>
  <c r="AC9" i="17"/>
  <c r="AB9" i="17"/>
  <c r="AA9" i="17"/>
  <c r="AL8" i="17"/>
  <c r="AK8" i="17"/>
  <c r="AJ8" i="17"/>
  <c r="AI8" i="17"/>
  <c r="AG8" i="17"/>
  <c r="AF8" i="17"/>
  <c r="AE8" i="17"/>
  <c r="AC8" i="17"/>
  <c r="AB8" i="17"/>
  <c r="AA8" i="17"/>
  <c r="AL7" i="17"/>
  <c r="AK7" i="17"/>
  <c r="F16" i="18" s="1"/>
  <c r="AJ7" i="17"/>
  <c r="E16" i="18" s="1"/>
  <c r="AI7" i="17"/>
  <c r="D16" i="18" s="1"/>
  <c r="AG7" i="17"/>
  <c r="AF7" i="17"/>
  <c r="AE7" i="17"/>
  <c r="AC7" i="17"/>
  <c r="AB7" i="17"/>
  <c r="AA7" i="17"/>
  <c r="AL6" i="17"/>
  <c r="AK6" i="17"/>
  <c r="AJ6" i="17"/>
  <c r="AI6" i="17"/>
  <c r="AG6" i="17"/>
  <c r="AF6" i="17"/>
  <c r="AE6" i="17"/>
  <c r="AC6" i="17"/>
  <c r="AB6" i="17"/>
  <c r="AA6" i="17"/>
  <c r="AL5" i="17"/>
  <c r="AK5" i="17"/>
  <c r="F15" i="18" s="1"/>
  <c r="AJ5" i="17"/>
  <c r="E15" i="18" s="1"/>
  <c r="AI5" i="17"/>
  <c r="D15" i="18" s="1"/>
  <c r="AG5" i="17"/>
  <c r="AF5" i="17"/>
  <c r="AE5" i="17"/>
  <c r="AC5" i="17"/>
  <c r="AB5" i="17"/>
  <c r="AA5" i="17"/>
  <c r="AL4" i="17"/>
  <c r="AK4" i="17"/>
  <c r="AJ4" i="17"/>
  <c r="AI4" i="17"/>
  <c r="AG4" i="17"/>
  <c r="AF4" i="17"/>
  <c r="AE4" i="17"/>
  <c r="AC4" i="17"/>
  <c r="AB4" i="17"/>
  <c r="AA4" i="17"/>
  <c r="AL3" i="17"/>
  <c r="AK3" i="17"/>
  <c r="F14" i="18" s="1"/>
  <c r="AJ3" i="17"/>
  <c r="E14" i="18" s="1"/>
  <c r="AI3" i="17"/>
  <c r="D14" i="18" s="1"/>
  <c r="AG3" i="17"/>
  <c r="AF3" i="17"/>
  <c r="AE3" i="17"/>
  <c r="AC3" i="17"/>
  <c r="AB3" i="17"/>
  <c r="AA3" i="17"/>
  <c r="AL2" i="17"/>
  <c r="AK2" i="17"/>
  <c r="AJ2" i="17"/>
  <c r="AI2" i="17"/>
  <c r="AG2" i="17"/>
  <c r="AF2" i="17"/>
  <c r="AE2" i="17"/>
  <c r="AC2" i="17"/>
  <c r="AB2" i="17"/>
  <c r="AA2" i="17"/>
  <c r="K39" i="7" l="1"/>
  <c r="K38" i="7"/>
  <c r="F134" i="15"/>
  <c r="E134" i="15"/>
  <c r="F133" i="15"/>
  <c r="E133" i="15"/>
  <c r="A129" i="11"/>
  <c r="AD118" i="11"/>
  <c r="A25" i="11" l="1"/>
  <c r="Q29" i="4"/>
  <c r="Q30" i="4"/>
  <c r="Q31" i="4"/>
  <c r="Q35" i="4"/>
  <c r="D9" i="1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N50" i="4"/>
  <c r="N49" i="4"/>
  <c r="M18" i="7"/>
  <c r="M19" i="7"/>
  <c r="M17" i="7"/>
  <c r="M9" i="7"/>
  <c r="M10" i="7"/>
  <c r="M11" i="7"/>
  <c r="M8" i="7"/>
  <c r="W18" i="6" l="1"/>
  <c r="W17" i="6"/>
  <c r="W16" i="6"/>
  <c r="W15" i="6"/>
  <c r="W14" i="6"/>
  <c r="V14" i="6"/>
  <c r="W13" i="6"/>
  <c r="V13" i="6"/>
  <c r="W12" i="6"/>
  <c r="V12" i="6"/>
  <c r="A21" i="7"/>
  <c r="A4" i="7"/>
  <c r="I36" i="7"/>
  <c r="N29" i="11" s="1"/>
  <c r="F36" i="7"/>
  <c r="K29" i="11" s="1"/>
  <c r="E36" i="7"/>
  <c r="J29" i="11" s="1"/>
  <c r="I35" i="7"/>
  <c r="N28" i="11" s="1"/>
  <c r="F35" i="7"/>
  <c r="K28" i="11" s="1"/>
  <c r="E35" i="7"/>
  <c r="J28" i="11" s="1"/>
  <c r="I34" i="7"/>
  <c r="N27" i="11" s="1"/>
  <c r="F34" i="7"/>
  <c r="K27" i="11" s="1"/>
  <c r="E34" i="7"/>
  <c r="J27" i="11" s="1"/>
  <c r="I28" i="7"/>
  <c r="N33" i="11" s="1"/>
  <c r="F28" i="7"/>
  <c r="K33" i="11" s="1"/>
  <c r="E28" i="7"/>
  <c r="J33" i="11" s="1"/>
  <c r="I27" i="7"/>
  <c r="N32" i="11" s="1"/>
  <c r="F27" i="7"/>
  <c r="K32" i="11" s="1"/>
  <c r="E27" i="7"/>
  <c r="J32" i="11" s="1"/>
  <c r="I26" i="7"/>
  <c r="N31" i="11" s="1"/>
  <c r="F26" i="7"/>
  <c r="K31" i="11" s="1"/>
  <c r="E26" i="7"/>
  <c r="J31" i="11" s="1"/>
  <c r="I25" i="7"/>
  <c r="N30" i="11" s="1"/>
  <c r="F25" i="7"/>
  <c r="K30" i="11" s="1"/>
  <c r="E25" i="7"/>
  <c r="J30" i="11" s="1"/>
  <c r="D41" i="4"/>
  <c r="E39" i="4"/>
  <c r="D38" i="4"/>
  <c r="E35" i="4"/>
  <c r="D35" i="4"/>
  <c r="D34" i="4"/>
  <c r="D31" i="4"/>
  <c r="D30" i="4"/>
  <c r="G15" i="13"/>
  <c r="G14" i="13"/>
  <c r="G13" i="13"/>
  <c r="H13" i="13"/>
  <c r="H14" i="13"/>
  <c r="H15" i="13"/>
  <c r="G12" i="13"/>
  <c r="H12" i="13"/>
  <c r="J12" i="13" s="1"/>
  <c r="L12" i="13" s="1"/>
  <c r="L19" i="13" s="1"/>
  <c r="H5" i="13"/>
  <c r="M5" i="13" s="1"/>
  <c r="H6" i="13"/>
  <c r="M6" i="13" s="1"/>
  <c r="H7" i="13"/>
  <c r="M7" i="13" s="1"/>
  <c r="H8" i="13"/>
  <c r="M8" i="13" s="1"/>
  <c r="H4" i="13"/>
  <c r="G8" i="13"/>
  <c r="L8" i="13" s="1"/>
  <c r="G7" i="13"/>
  <c r="L7" i="13" s="1"/>
  <c r="G6" i="13"/>
  <c r="L6" i="13" s="1"/>
  <c r="G5" i="13"/>
  <c r="L5" i="13" s="1"/>
  <c r="I15" i="13" l="1"/>
  <c r="K15" i="13" s="1"/>
  <c r="K22" i="13" s="1"/>
  <c r="J15" i="13"/>
  <c r="L15" i="13" s="1"/>
  <c r="L22" i="13" s="1"/>
  <c r="J14" i="13"/>
  <c r="L14" i="13" s="1"/>
  <c r="L21" i="13" s="1"/>
  <c r="J13" i="13"/>
  <c r="L13" i="13" s="1"/>
  <c r="L20" i="13" s="1"/>
  <c r="I13" i="13"/>
  <c r="K13" i="13" s="1"/>
  <c r="K20" i="13" s="1"/>
  <c r="I14" i="13"/>
  <c r="K14" i="13" s="1"/>
  <c r="K21" i="13" s="1"/>
  <c r="I12" i="13"/>
  <c r="K12" i="13" s="1"/>
  <c r="K19" i="13" s="1"/>
  <c r="E31" i="11"/>
  <c r="E32" i="11"/>
  <c r="E33" i="11"/>
  <c r="D33" i="11"/>
  <c r="D31" i="11"/>
  <c r="D30" i="11"/>
  <c r="E29" i="11"/>
  <c r="D29" i="11"/>
  <c r="E28" i="11"/>
  <c r="D28" i="11"/>
  <c r="W28" i="11"/>
  <c r="W29" i="11"/>
  <c r="W30" i="11"/>
  <c r="W31" i="11"/>
  <c r="W32" i="11"/>
  <c r="W33" i="11"/>
  <c r="W27" i="11"/>
  <c r="B25" i="11"/>
  <c r="D20" i="4"/>
  <c r="E27" i="4"/>
  <c r="D27" i="4"/>
  <c r="D24" i="4"/>
  <c r="D23" i="4"/>
  <c r="D21" i="4"/>
  <c r="D32" i="11" s="1"/>
  <c r="E18" i="4"/>
  <c r="E17" i="4"/>
  <c r="E16" i="4"/>
  <c r="E30" i="11" s="1"/>
  <c r="Y3" i="5"/>
  <c r="Y4" i="5"/>
  <c r="Y5" i="5"/>
  <c r="Y6" i="5"/>
  <c r="Y7" i="5"/>
  <c r="Y8" i="5"/>
  <c r="Y9" i="5"/>
  <c r="Y10" i="5"/>
  <c r="Y11" i="5"/>
  <c r="Y12" i="5"/>
  <c r="AE3" i="5"/>
  <c r="AE4" i="5"/>
  <c r="AE5" i="5"/>
  <c r="AE6" i="5"/>
  <c r="AE7" i="5"/>
  <c r="AE8" i="5"/>
  <c r="AE9" i="5"/>
  <c r="AE10" i="5"/>
  <c r="AE11" i="5"/>
  <c r="AE12" i="5"/>
  <c r="AA3" i="5"/>
  <c r="AD4" i="5"/>
  <c r="Z5" i="5"/>
  <c r="AC6" i="5"/>
  <c r="Z8" i="5"/>
  <c r="AA8" i="5"/>
  <c r="AD9" i="5"/>
  <c r="AA11" i="5"/>
  <c r="AD12" i="5"/>
  <c r="W6" i="6"/>
  <c r="W7" i="6"/>
  <c r="W5" i="6"/>
  <c r="V6" i="6"/>
  <c r="V7" i="6"/>
  <c r="V5" i="6"/>
  <c r="W8" i="6"/>
  <c r="W9" i="6"/>
  <c r="W10" i="6"/>
  <c r="W11" i="6"/>
  <c r="C40" i="6"/>
  <c r="R23" i="5"/>
  <c r="F6" i="5"/>
  <c r="F9" i="5"/>
  <c r="F4" i="5"/>
  <c r="G12" i="5"/>
  <c r="H31" i="5" s="1"/>
  <c r="R24" i="5"/>
  <c r="F7" i="5"/>
  <c r="R20" i="5"/>
  <c r="F5" i="5"/>
  <c r="R21" i="5"/>
  <c r="R22" i="5"/>
  <c r="AW6" i="6"/>
  <c r="AW7" i="6"/>
  <c r="AW8" i="6"/>
  <c r="AW9" i="6"/>
  <c r="AW10" i="6"/>
  <c r="AW11" i="6"/>
  <c r="AW5" i="6"/>
  <c r="S23" i="5"/>
  <c r="F8" i="5"/>
  <c r="S24" i="5"/>
  <c r="X19" i="5"/>
  <c r="W19" i="5"/>
  <c r="B9" i="4"/>
  <c r="B10" i="4"/>
  <c r="AH45" i="6" s="1"/>
  <c r="AM45" i="6" s="1"/>
  <c r="B11" i="4"/>
  <c r="B12" i="4"/>
  <c r="B13" i="4"/>
  <c r="AO11" i="6" s="1"/>
  <c r="B14" i="4"/>
  <c r="AO10" i="6" s="1"/>
  <c r="B15" i="4"/>
  <c r="B16" i="4"/>
  <c r="B17" i="4"/>
  <c r="B18" i="4"/>
  <c r="B19" i="4"/>
  <c r="B20" i="4"/>
  <c r="B21" i="4"/>
  <c r="B22" i="4"/>
  <c r="S22" i="5"/>
  <c r="S21" i="5"/>
  <c r="S20" i="5"/>
  <c r="E11" i="7"/>
  <c r="AE126" i="11" s="1"/>
  <c r="E8" i="7"/>
  <c r="E9" i="7"/>
  <c r="AE124" i="11" s="1"/>
  <c r="E18" i="7"/>
  <c r="E19" i="7"/>
  <c r="AE122" i="11" s="1"/>
  <c r="E10" i="7"/>
  <c r="AE125" i="11" s="1"/>
  <c r="E17" i="7"/>
  <c r="G10" i="4"/>
  <c r="G22" i="4"/>
  <c r="G25" i="4"/>
  <c r="B75" i="6"/>
  <c r="E14" i="6"/>
  <c r="E75" i="6"/>
  <c r="E74" i="6"/>
  <c r="F74" i="6" s="1"/>
  <c r="C74" i="6"/>
  <c r="E73" i="6"/>
  <c r="I10" i="4"/>
  <c r="I22" i="4"/>
  <c r="I25" i="4"/>
  <c r="B61" i="6"/>
  <c r="C61" i="6" s="1"/>
  <c r="E40" i="6"/>
  <c r="F40" i="6" s="1"/>
  <c r="E38" i="6"/>
  <c r="F38" i="6"/>
  <c r="E61" i="6"/>
  <c r="E60" i="6"/>
  <c r="B23" i="4"/>
  <c r="B24" i="4"/>
  <c r="E59" i="6"/>
  <c r="F59" i="6" s="1"/>
  <c r="C59" i="6"/>
  <c r="E45" i="6"/>
  <c r="F45" i="6"/>
  <c r="C45" i="6"/>
  <c r="E44" i="6"/>
  <c r="F44" i="6"/>
  <c r="C44" i="6"/>
  <c r="E43" i="6"/>
  <c r="E42" i="6"/>
  <c r="E41" i="6"/>
  <c r="E39" i="6"/>
  <c r="C38" i="6"/>
  <c r="E22" i="6"/>
  <c r="F22" i="6" s="1"/>
  <c r="C22" i="6"/>
  <c r="E21" i="6"/>
  <c r="E19" i="6"/>
  <c r="E18" i="6"/>
  <c r="E17" i="6"/>
  <c r="E16" i="6"/>
  <c r="E15" i="6"/>
  <c r="F15" i="6" s="1"/>
  <c r="C15" i="6"/>
  <c r="I65" i="4"/>
  <c r="G65" i="4"/>
  <c r="I64" i="4"/>
  <c r="G64" i="4"/>
  <c r="I63" i="4"/>
  <c r="G63" i="4"/>
  <c r="I62" i="4"/>
  <c r="G62" i="4"/>
  <c r="I61" i="4"/>
  <c r="G61" i="4"/>
  <c r="I60" i="4"/>
  <c r="G60" i="4"/>
  <c r="I59" i="4"/>
  <c r="G59" i="4"/>
  <c r="I58" i="4"/>
  <c r="G58" i="4"/>
  <c r="I57" i="4"/>
  <c r="G57" i="4"/>
  <c r="I56" i="4"/>
  <c r="G56" i="4"/>
  <c r="I55" i="4"/>
  <c r="G55" i="4"/>
  <c r="I54" i="4"/>
  <c r="G54" i="4"/>
  <c r="I53" i="4"/>
  <c r="G53" i="4"/>
  <c r="I52" i="4"/>
  <c r="G52" i="4"/>
  <c r="I51" i="4"/>
  <c r="G51" i="4"/>
  <c r="I50" i="4"/>
  <c r="G50" i="4"/>
  <c r="I49" i="4"/>
  <c r="G49" i="4"/>
  <c r="I48" i="4"/>
  <c r="G48" i="4"/>
  <c r="I47" i="4"/>
  <c r="G47" i="4"/>
  <c r="I46" i="4"/>
  <c r="G46" i="4"/>
  <c r="I45" i="4"/>
  <c r="G45" i="4"/>
  <c r="I44" i="4"/>
  <c r="G44" i="4"/>
  <c r="I43" i="4"/>
  <c r="G43" i="4"/>
  <c r="I42" i="4"/>
  <c r="G42" i="4"/>
  <c r="I41" i="4"/>
  <c r="G41" i="4"/>
  <c r="I40" i="4"/>
  <c r="G40" i="4"/>
  <c r="I39" i="4"/>
  <c r="G39" i="4"/>
  <c r="I38" i="4"/>
  <c r="G38" i="4"/>
  <c r="I37" i="4"/>
  <c r="G37" i="4"/>
  <c r="I36" i="4"/>
  <c r="G36" i="4"/>
  <c r="I35" i="4"/>
  <c r="G35" i="4"/>
  <c r="I34" i="4"/>
  <c r="G34" i="4"/>
  <c r="I33" i="4"/>
  <c r="G33" i="4"/>
  <c r="I32" i="4"/>
  <c r="G32" i="4"/>
  <c r="I31" i="4"/>
  <c r="G31" i="4"/>
  <c r="I30" i="4"/>
  <c r="G30" i="4"/>
  <c r="I29" i="4"/>
  <c r="G29" i="4"/>
  <c r="I28" i="4"/>
  <c r="G28" i="4"/>
  <c r="I27" i="4"/>
  <c r="G27" i="4"/>
  <c r="I26" i="4"/>
  <c r="G26" i="4"/>
  <c r="I24" i="4"/>
  <c r="G24" i="4"/>
  <c r="I23" i="4"/>
  <c r="G23" i="4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9" i="4"/>
  <c r="G9" i="4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H42" i="4" s="1"/>
  <c r="Q25" i="5"/>
  <c r="Q24" i="5"/>
  <c r="Q23" i="5"/>
  <c r="Q22" i="5"/>
  <c r="Q21" i="5"/>
  <c r="Q20" i="5"/>
  <c r="G9" i="5"/>
  <c r="G8" i="5"/>
  <c r="G7" i="5"/>
  <c r="G6" i="5"/>
  <c r="G5" i="5"/>
  <c r="G4" i="5"/>
  <c r="P3" i="5"/>
  <c r="R2" i="5"/>
  <c r="AD3" i="5" s="1"/>
  <c r="Q2" i="5"/>
  <c r="AC8" i="5" s="1"/>
  <c r="P2" i="5"/>
  <c r="AB5" i="5" s="1"/>
  <c r="O2" i="5"/>
  <c r="AA2" i="5" s="1"/>
  <c r="N2" i="5"/>
  <c r="Z7" i="5" s="1"/>
  <c r="M2" i="5"/>
  <c r="Y2" i="5" s="1"/>
  <c r="C121" i="11"/>
  <c r="C122" i="11"/>
  <c r="C123" i="11"/>
  <c r="C124" i="11"/>
  <c r="C125" i="11"/>
  <c r="C126" i="11"/>
  <c r="C120" i="11"/>
  <c r="E27" i="11"/>
  <c r="D27" i="11"/>
  <c r="F11" i="7"/>
  <c r="F10" i="7"/>
  <c r="F9" i="7"/>
  <c r="F8" i="7"/>
  <c r="I11" i="7"/>
  <c r="I9" i="7"/>
  <c r="I10" i="7"/>
  <c r="I8" i="7"/>
  <c r="I18" i="7"/>
  <c r="I19" i="7"/>
  <c r="I17" i="7"/>
  <c r="F19" i="7"/>
  <c r="F18" i="7"/>
  <c r="F17" i="7"/>
  <c r="H32" i="5"/>
  <c r="G32" i="5"/>
  <c r="G30" i="5"/>
  <c r="G34" i="5"/>
  <c r="H35" i="5"/>
  <c r="H40" i="4" s="1"/>
  <c r="G26" i="5"/>
  <c r="H34" i="5"/>
  <c r="H38" i="5"/>
  <c r="H15" i="4" s="1"/>
  <c r="H18" i="4"/>
  <c r="H33" i="4"/>
  <c r="F46" i="4"/>
  <c r="F58" i="4"/>
  <c r="F55" i="4"/>
  <c r="H48" i="4"/>
  <c r="H60" i="4"/>
  <c r="H53" i="4"/>
  <c r="AH6" i="6"/>
  <c r="AM6" i="6" s="1"/>
  <c r="D11" i="6"/>
  <c r="B73" i="6" s="1"/>
  <c r="F73" i="6" s="1"/>
  <c r="AO5" i="6"/>
  <c r="AO6" i="6"/>
  <c r="AH9" i="6"/>
  <c r="AK9" i="6" s="1"/>
  <c r="AH5" i="6"/>
  <c r="H16" i="4"/>
  <c r="AL8" i="6" s="1"/>
  <c r="H47" i="4" l="1"/>
  <c r="D34" i="6"/>
  <c r="B43" i="6" s="1"/>
  <c r="AO7" i="6"/>
  <c r="G80" i="6"/>
  <c r="AH11" i="6"/>
  <c r="AK11" i="6" s="1"/>
  <c r="H63" i="4"/>
  <c r="F61" i="4"/>
  <c r="H30" i="5"/>
  <c r="G27" i="5"/>
  <c r="H24" i="4"/>
  <c r="K24" i="4" s="1"/>
  <c r="N24" i="4" s="1"/>
  <c r="F26" i="4"/>
  <c r="AO8" i="6"/>
  <c r="H39" i="5"/>
  <c r="H61" i="4"/>
  <c r="K61" i="4" s="1"/>
  <c r="H49" i="4"/>
  <c r="F43" i="4"/>
  <c r="F59" i="4"/>
  <c r="K59" i="4" s="1"/>
  <c r="F47" i="4"/>
  <c r="G39" i="5"/>
  <c r="F31" i="4" s="1"/>
  <c r="H26" i="5"/>
  <c r="H36" i="5"/>
  <c r="H38" i="4" s="1"/>
  <c r="G36" i="5"/>
  <c r="F38" i="4" s="1"/>
  <c r="AL39" i="6"/>
  <c r="H14" i="4"/>
  <c r="AL7" i="6" s="1"/>
  <c r="AC11" i="5"/>
  <c r="Z10" i="5"/>
  <c r="AB8" i="5"/>
  <c r="AD6" i="5"/>
  <c r="AA5" i="5"/>
  <c r="AC3" i="5"/>
  <c r="Z2" i="5"/>
  <c r="AH8" i="6"/>
  <c r="AK8" i="6" s="1"/>
  <c r="F65" i="4"/>
  <c r="AO22" i="6"/>
  <c r="AH41" i="6"/>
  <c r="H23" i="4"/>
  <c r="AC9" i="5"/>
  <c r="AB6" i="5"/>
  <c r="AH7" i="6"/>
  <c r="AK7" i="6" s="1"/>
  <c r="AO9" i="6"/>
  <c r="H43" i="4"/>
  <c r="H58" i="4"/>
  <c r="K58" i="4" s="1"/>
  <c r="H46" i="4"/>
  <c r="F28" i="4"/>
  <c r="F64" i="4"/>
  <c r="F52" i="4"/>
  <c r="F44" i="4"/>
  <c r="K44" i="4" s="1"/>
  <c r="H31" i="4"/>
  <c r="H37" i="5"/>
  <c r="H37" i="4" s="1"/>
  <c r="AL14" i="6" s="1"/>
  <c r="G35" i="5"/>
  <c r="H27" i="5"/>
  <c r="H28" i="5"/>
  <c r="AO26" i="6"/>
  <c r="F75" i="6"/>
  <c r="AC12" i="5"/>
  <c r="Z11" i="5"/>
  <c r="AB9" i="5"/>
  <c r="AD7" i="5"/>
  <c r="AA6" i="5"/>
  <c r="AC4" i="5"/>
  <c r="Z3" i="5"/>
  <c r="H45" i="4"/>
  <c r="K45" i="4" s="1"/>
  <c r="B21" i="6"/>
  <c r="C21" i="6" s="1"/>
  <c r="AO30" i="6"/>
  <c r="AH49" i="6"/>
  <c r="AJ49" i="6" s="1"/>
  <c r="H34" i="4"/>
  <c r="AB12" i="5"/>
  <c r="AD10" i="5"/>
  <c r="AA9" i="5"/>
  <c r="AC7" i="5"/>
  <c r="Z6" i="5"/>
  <c r="AB4" i="5"/>
  <c r="AD2" i="5"/>
  <c r="H59" i="4"/>
  <c r="H54" i="4"/>
  <c r="F63" i="4"/>
  <c r="H64" i="4"/>
  <c r="F62" i="4"/>
  <c r="K62" i="4" s="1"/>
  <c r="F50" i="4"/>
  <c r="H29" i="4"/>
  <c r="G33" i="5"/>
  <c r="H33" i="5"/>
  <c r="G31" i="5"/>
  <c r="AO34" i="6"/>
  <c r="AL54" i="6"/>
  <c r="F39" i="4"/>
  <c r="AA12" i="5"/>
  <c r="AC10" i="5"/>
  <c r="Z9" i="5"/>
  <c r="AB7" i="5"/>
  <c r="AD5" i="5"/>
  <c r="AA4" i="5"/>
  <c r="AC2" i="5"/>
  <c r="F57" i="4"/>
  <c r="F45" i="4"/>
  <c r="H65" i="4"/>
  <c r="K65" i="4" s="1"/>
  <c r="F51" i="4"/>
  <c r="AH10" i="6"/>
  <c r="AN10" i="6" s="1"/>
  <c r="H52" i="4"/>
  <c r="F42" i="4"/>
  <c r="F49" i="4"/>
  <c r="H41" i="4"/>
  <c r="G28" i="7"/>
  <c r="L33" i="11" s="1"/>
  <c r="G27" i="7"/>
  <c r="L32" i="11" s="1"/>
  <c r="G26" i="7"/>
  <c r="L31" i="11" s="1"/>
  <c r="F15" i="4"/>
  <c r="Z12" i="5"/>
  <c r="AB10" i="5"/>
  <c r="AD8" i="5"/>
  <c r="AA7" i="5"/>
  <c r="AC5" i="5"/>
  <c r="Z4" i="5"/>
  <c r="AB2" i="5"/>
  <c r="AB11" i="5"/>
  <c r="AB3" i="5"/>
  <c r="H56" i="4"/>
  <c r="F54" i="4"/>
  <c r="H44" i="4"/>
  <c r="H57" i="4"/>
  <c r="H51" i="4"/>
  <c r="F53" i="4"/>
  <c r="K53" i="4" s="1"/>
  <c r="H28" i="4"/>
  <c r="K28" i="4" s="1"/>
  <c r="H29" i="5"/>
  <c r="G37" i="5"/>
  <c r="F36" i="4" s="1"/>
  <c r="F56" i="4"/>
  <c r="H62" i="4"/>
  <c r="H50" i="4"/>
  <c r="K50" i="4" s="1"/>
  <c r="H55" i="4"/>
  <c r="F60" i="4"/>
  <c r="F48" i="4"/>
  <c r="G38" i="5"/>
  <c r="G29" i="5"/>
  <c r="G28" i="5"/>
  <c r="AO59" i="6"/>
  <c r="F41" i="4"/>
  <c r="AD11" i="5"/>
  <c r="AA10" i="5"/>
  <c r="F30" i="4"/>
  <c r="M30" i="4" s="1"/>
  <c r="H35" i="4"/>
  <c r="G66" i="6"/>
  <c r="H17" i="4"/>
  <c r="H36" i="4"/>
  <c r="H27" i="4"/>
  <c r="AI23" i="6"/>
  <c r="AI31" i="6"/>
  <c r="AI38" i="6"/>
  <c r="AO47" i="6"/>
  <c r="AL56" i="6"/>
  <c r="AH57" i="6"/>
  <c r="AN57" i="6" s="1"/>
  <c r="AI19" i="6"/>
  <c r="AO24" i="6"/>
  <c r="AO28" i="6"/>
  <c r="AO32" i="6"/>
  <c r="AO36" i="6"/>
  <c r="AL38" i="6"/>
  <c r="AO42" i="6"/>
  <c r="AH47" i="6"/>
  <c r="AK47" i="6" s="1"/>
  <c r="AH51" i="6"/>
  <c r="AK51" i="6" s="1"/>
  <c r="AO56" i="6"/>
  <c r="AL16" i="6"/>
  <c r="AI27" i="6"/>
  <c r="AI35" i="6"/>
  <c r="AH40" i="6"/>
  <c r="AM40" i="6" s="1"/>
  <c r="AO51" i="6"/>
  <c r="AI58" i="6"/>
  <c r="AI12" i="6"/>
  <c r="AO20" i="6"/>
  <c r="AI25" i="6"/>
  <c r="AI29" i="6"/>
  <c r="AI33" i="6"/>
  <c r="AI37" i="6"/>
  <c r="AO41" i="6"/>
  <c r="AO44" i="6"/>
  <c r="AO45" i="6"/>
  <c r="AO49" i="6"/>
  <c r="AL53" i="6"/>
  <c r="O20" i="13"/>
  <c r="R20" i="13" s="1"/>
  <c r="T20" i="13" s="1"/>
  <c r="AO15" i="6"/>
  <c r="AO18" i="6"/>
  <c r="AO19" i="6"/>
  <c r="AI21" i="6"/>
  <c r="AO23" i="6"/>
  <c r="AO25" i="6"/>
  <c r="AO27" i="6"/>
  <c r="AO29" i="6"/>
  <c r="AO31" i="6"/>
  <c r="AO33" i="6"/>
  <c r="AO35" i="6"/>
  <c r="AO37" i="6"/>
  <c r="AL40" i="6"/>
  <c r="AI43" i="6"/>
  <c r="AO46" i="6"/>
  <c r="AO48" i="6"/>
  <c r="AO50" i="6"/>
  <c r="AO52" i="6"/>
  <c r="AH54" i="6"/>
  <c r="AK54" i="6" s="1"/>
  <c r="AO57" i="6"/>
  <c r="AI57" i="6"/>
  <c r="AH52" i="6"/>
  <c r="AN52" i="6" s="1"/>
  <c r="AH17" i="6"/>
  <c r="AM17" i="6" s="1"/>
  <c r="AH18" i="6"/>
  <c r="AN18" i="6" s="1"/>
  <c r="AI20" i="6"/>
  <c r="AL21" i="6"/>
  <c r="AI22" i="6"/>
  <c r="AI24" i="6"/>
  <c r="AI26" i="6"/>
  <c r="AI28" i="6"/>
  <c r="AI30" i="6"/>
  <c r="AI32" i="6"/>
  <c r="AI34" i="6"/>
  <c r="AI36" i="6"/>
  <c r="AH39" i="6"/>
  <c r="AM39" i="6" s="1"/>
  <c r="AI42" i="6"/>
  <c r="AL43" i="6"/>
  <c r="AI44" i="6"/>
  <c r="AH46" i="6"/>
  <c r="AH48" i="6"/>
  <c r="AK48" i="6" s="1"/>
  <c r="AH50" i="6"/>
  <c r="AN50" i="6" s="1"/>
  <c r="AL52" i="6"/>
  <c r="AL55" i="6"/>
  <c r="AL58" i="6"/>
  <c r="AI56" i="6"/>
  <c r="AI59" i="6"/>
  <c r="AH59" i="6"/>
  <c r="AN59" i="6" s="1"/>
  <c r="AO12" i="6"/>
  <c r="AO13" i="6"/>
  <c r="AO14" i="6"/>
  <c r="AH15" i="6"/>
  <c r="AM15" i="6" s="1"/>
  <c r="AO16" i="6"/>
  <c r="AI17" i="6"/>
  <c r="AL18" i="6"/>
  <c r="AH19" i="6"/>
  <c r="AM19" i="6" s="1"/>
  <c r="AH20" i="6"/>
  <c r="AN20" i="6" s="1"/>
  <c r="AO21" i="6"/>
  <c r="AH22" i="6"/>
  <c r="AM22" i="6" s="1"/>
  <c r="AH23" i="6"/>
  <c r="AK23" i="6" s="1"/>
  <c r="AH24" i="6"/>
  <c r="AJ24" i="6" s="1"/>
  <c r="AH25" i="6"/>
  <c r="AK25" i="6" s="1"/>
  <c r="AH26" i="6"/>
  <c r="AM26" i="6" s="1"/>
  <c r="AH27" i="6"/>
  <c r="AM27" i="6" s="1"/>
  <c r="AH28" i="6"/>
  <c r="AM28" i="6" s="1"/>
  <c r="AH29" i="6"/>
  <c r="AJ29" i="6" s="1"/>
  <c r="AH30" i="6"/>
  <c r="AM30" i="6" s="1"/>
  <c r="AH31" i="6"/>
  <c r="AM31" i="6" s="1"/>
  <c r="AH32" i="6"/>
  <c r="AN32" i="6" s="1"/>
  <c r="AH33" i="6"/>
  <c r="AM33" i="6" s="1"/>
  <c r="AH34" i="6"/>
  <c r="AM34" i="6" s="1"/>
  <c r="AH35" i="6"/>
  <c r="AM35" i="6" s="1"/>
  <c r="AH36" i="6"/>
  <c r="AK36" i="6" s="1"/>
  <c r="AH37" i="6"/>
  <c r="AM37" i="6" s="1"/>
  <c r="AO38" i="6"/>
  <c r="AI39" i="6"/>
  <c r="AI40" i="6"/>
  <c r="AL41" i="6"/>
  <c r="AH42" i="6"/>
  <c r="AM42" i="6" s="1"/>
  <c r="AO43" i="6"/>
  <c r="AH44" i="6"/>
  <c r="AK44" i="6" s="1"/>
  <c r="AL45" i="6"/>
  <c r="AL46" i="6"/>
  <c r="AL47" i="6"/>
  <c r="AL48" i="6"/>
  <c r="AL49" i="6"/>
  <c r="AL50" i="6"/>
  <c r="AL51" i="6"/>
  <c r="AI53" i="6"/>
  <c r="AI54" i="6"/>
  <c r="AO55" i="6"/>
  <c r="AH56" i="6"/>
  <c r="AK56" i="6" s="1"/>
  <c r="AO58" i="6"/>
  <c r="D27" i="7"/>
  <c r="D34" i="7"/>
  <c r="I27" i="11" s="1"/>
  <c r="AL59" i="6"/>
  <c r="AI55" i="6"/>
  <c r="AH58" i="6"/>
  <c r="AJ58" i="6" s="1"/>
  <c r="AH53" i="6"/>
  <c r="AK53" i="6" s="1"/>
  <c r="AH12" i="6"/>
  <c r="AK12" i="6" s="1"/>
  <c r="AH13" i="6"/>
  <c r="AJ13" i="6" s="1"/>
  <c r="AH14" i="6"/>
  <c r="AJ14" i="6" s="1"/>
  <c r="AL15" i="6"/>
  <c r="AH16" i="6"/>
  <c r="AM16" i="6" s="1"/>
  <c r="AO17" i="6"/>
  <c r="AL19" i="6"/>
  <c r="AL20" i="6"/>
  <c r="AH21" i="6"/>
  <c r="AJ21" i="6" s="1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H38" i="6"/>
  <c r="AJ38" i="6" s="1"/>
  <c r="AO39" i="6"/>
  <c r="AO40" i="6"/>
  <c r="AI41" i="6"/>
  <c r="AL42" i="6"/>
  <c r="AH43" i="6"/>
  <c r="AJ43" i="6" s="1"/>
  <c r="AL44" i="6"/>
  <c r="AI45" i="6"/>
  <c r="AI46" i="6"/>
  <c r="AI47" i="6"/>
  <c r="AI48" i="6"/>
  <c r="AI49" i="6"/>
  <c r="AI50" i="6"/>
  <c r="AI51" i="6"/>
  <c r="AI52" i="6"/>
  <c r="AO53" i="6"/>
  <c r="AO54" i="6"/>
  <c r="AH55" i="6"/>
  <c r="AK55" i="6" s="1"/>
  <c r="AL57" i="6"/>
  <c r="F29" i="4"/>
  <c r="M29" i="4" s="1"/>
  <c r="D28" i="7" s="1"/>
  <c r="K63" i="4"/>
  <c r="K47" i="4"/>
  <c r="F32" i="4"/>
  <c r="K15" i="4"/>
  <c r="K64" i="4"/>
  <c r="K52" i="4"/>
  <c r="F17" i="4"/>
  <c r="K46" i="4"/>
  <c r="K29" i="4"/>
  <c r="H13" i="4"/>
  <c r="K60" i="4"/>
  <c r="K48" i="4"/>
  <c r="H19" i="4"/>
  <c r="F61" i="6"/>
  <c r="AM9" i="6"/>
  <c r="AJ10" i="6"/>
  <c r="AJ9" i="6"/>
  <c r="AM10" i="6"/>
  <c r="AN9" i="6"/>
  <c r="AK10" i="6"/>
  <c r="AK6" i="6"/>
  <c r="AN11" i="6"/>
  <c r="B18" i="6"/>
  <c r="F18" i="6" s="1"/>
  <c r="B19" i="6"/>
  <c r="B60" i="6"/>
  <c r="F60" i="6" s="1"/>
  <c r="C75" i="6"/>
  <c r="C73" i="6"/>
  <c r="AM41" i="6"/>
  <c r="AN41" i="6"/>
  <c r="AK41" i="6"/>
  <c r="AJ41" i="6"/>
  <c r="AK49" i="6"/>
  <c r="AM49" i="6"/>
  <c r="AN49" i="6"/>
  <c r="H9" i="4"/>
  <c r="H10" i="4"/>
  <c r="F11" i="4"/>
  <c r="F12" i="4"/>
  <c r="F22" i="4"/>
  <c r="M22" i="4" s="1"/>
  <c r="F19" i="4"/>
  <c r="F21" i="4"/>
  <c r="M21" i="4" s="1"/>
  <c r="F25" i="4"/>
  <c r="F24" i="4"/>
  <c r="M24" i="4" s="1"/>
  <c r="F20" i="4"/>
  <c r="M20" i="4" s="1"/>
  <c r="F23" i="4"/>
  <c r="M23" i="4" s="1"/>
  <c r="AJ5" i="6"/>
  <c r="AM5" i="6"/>
  <c r="AN5" i="6"/>
  <c r="AK5" i="6"/>
  <c r="H11" i="4"/>
  <c r="H12" i="4"/>
  <c r="X29" i="11"/>
  <c r="Y29" i="11" s="1"/>
  <c r="F27" i="4"/>
  <c r="M27" i="4" s="1"/>
  <c r="AJ6" i="6"/>
  <c r="AN6" i="6"/>
  <c r="F18" i="4"/>
  <c r="F75" i="4" s="1"/>
  <c r="AK45" i="6"/>
  <c r="AJ45" i="6"/>
  <c r="AN45" i="6"/>
  <c r="H21" i="4"/>
  <c r="H25" i="4"/>
  <c r="H26" i="4"/>
  <c r="H20" i="4"/>
  <c r="H22" i="4"/>
  <c r="AM11" i="6"/>
  <c r="AJ11" i="6"/>
  <c r="B37" i="6"/>
  <c r="B14" i="6"/>
  <c r="B16" i="6"/>
  <c r="B17" i="6"/>
  <c r="F16" i="4"/>
  <c r="X33" i="11"/>
  <c r="Y33" i="11" s="1"/>
  <c r="E136" i="11"/>
  <c r="C132" i="11"/>
  <c r="B135" i="11"/>
  <c r="B133" i="11"/>
  <c r="E135" i="11"/>
  <c r="E133" i="11"/>
  <c r="B131" i="11"/>
  <c r="C134" i="11"/>
  <c r="B136" i="11"/>
  <c r="E131" i="11"/>
  <c r="C133" i="11"/>
  <c r="E134" i="11"/>
  <c r="B132" i="11"/>
  <c r="C131" i="11"/>
  <c r="E132" i="11"/>
  <c r="B134" i="11"/>
  <c r="C135" i="11"/>
  <c r="D136" i="11"/>
  <c r="C136" i="11"/>
  <c r="D131" i="11"/>
  <c r="D132" i="11"/>
  <c r="D133" i="11"/>
  <c r="D134" i="11"/>
  <c r="D135" i="11"/>
  <c r="AE120" i="11"/>
  <c r="AE121" i="11"/>
  <c r="AE123" i="11"/>
  <c r="X30" i="11"/>
  <c r="Y30" i="11" s="1"/>
  <c r="X31" i="11"/>
  <c r="Y31" i="11" s="1"/>
  <c r="X28" i="11"/>
  <c r="Y28" i="11" s="1"/>
  <c r="X27" i="11"/>
  <c r="Y27" i="11" s="1"/>
  <c r="X32" i="11"/>
  <c r="Y32" i="11" s="1"/>
  <c r="B41" i="6" l="1"/>
  <c r="F41" i="6" s="1"/>
  <c r="B20" i="6"/>
  <c r="B39" i="6"/>
  <c r="B42" i="6"/>
  <c r="F42" i="6" s="1"/>
  <c r="AI13" i="6"/>
  <c r="D35" i="7"/>
  <c r="I28" i="11" s="1"/>
  <c r="AL13" i="6"/>
  <c r="K38" i="4"/>
  <c r="G35" i="7" s="1"/>
  <c r="L28" i="11" s="1"/>
  <c r="M31" i="4"/>
  <c r="D26" i="7" s="1"/>
  <c r="AI16" i="6"/>
  <c r="K31" i="4"/>
  <c r="C137" i="11"/>
  <c r="C138" i="11"/>
  <c r="K41" i="4"/>
  <c r="G34" i="7" s="1"/>
  <c r="L27" i="11" s="1"/>
  <c r="K13" i="4"/>
  <c r="F14" i="4"/>
  <c r="AN8" i="6"/>
  <c r="O19" i="13"/>
  <c r="R19" i="13" s="1"/>
  <c r="T19" i="13" s="1"/>
  <c r="N29" i="4"/>
  <c r="N19" i="13"/>
  <c r="Q19" i="13" s="1"/>
  <c r="S19" i="13" s="1"/>
  <c r="I33" i="11"/>
  <c r="F33" i="4"/>
  <c r="K33" i="4" s="1"/>
  <c r="F35" i="4"/>
  <c r="F34" i="4"/>
  <c r="AJ7" i="6"/>
  <c r="K19" i="4"/>
  <c r="F37" i="4"/>
  <c r="F13" i="4"/>
  <c r="K49" i="4"/>
  <c r="H39" i="4"/>
  <c r="K39" i="4" s="1"/>
  <c r="N20" i="13"/>
  <c r="Q20" i="13" s="1"/>
  <c r="S20" i="13" s="1"/>
  <c r="I32" i="11"/>
  <c r="K36" i="4"/>
  <c r="K51" i="4"/>
  <c r="AL12" i="6"/>
  <c r="AM7" i="6"/>
  <c r="F21" i="6"/>
  <c r="K14" i="4"/>
  <c r="G19" i="7" s="1"/>
  <c r="AN7" i="6"/>
  <c r="AM8" i="6"/>
  <c r="K32" i="4"/>
  <c r="F40" i="4"/>
  <c r="K40" i="4" s="1"/>
  <c r="F10" i="4"/>
  <c r="F9" i="4"/>
  <c r="K9" i="4" s="1"/>
  <c r="H32" i="4"/>
  <c r="H30" i="4"/>
  <c r="AJ8" i="6"/>
  <c r="K11" i="4"/>
  <c r="AI18" i="6"/>
  <c r="AN30" i="6"/>
  <c r="AN16" i="6"/>
  <c r="AJ51" i="6"/>
  <c r="AM12" i="6"/>
  <c r="AK34" i="6"/>
  <c r="AN26" i="6"/>
  <c r="AJ54" i="6"/>
  <c r="AN51" i="6"/>
  <c r="AN22" i="6"/>
  <c r="AJ26" i="6"/>
  <c r="AM51" i="6"/>
  <c r="AK30" i="6"/>
  <c r="AK27" i="6"/>
  <c r="AN56" i="6"/>
  <c r="AJ50" i="6"/>
  <c r="AJ28" i="6"/>
  <c r="AK57" i="6"/>
  <c r="AK31" i="6"/>
  <c r="AM57" i="6"/>
  <c r="AM23" i="6"/>
  <c r="AJ40" i="6"/>
  <c r="AN31" i="6"/>
  <c r="AN12" i="6"/>
  <c r="AM20" i="6"/>
  <c r="AM25" i="6"/>
  <c r="AN55" i="6"/>
  <c r="AK43" i="6"/>
  <c r="AM29" i="6"/>
  <c r="AM50" i="6"/>
  <c r="AM52" i="6"/>
  <c r="AM43" i="6"/>
  <c r="AM24" i="6"/>
  <c r="AK18" i="6"/>
  <c r="AJ52" i="6"/>
  <c r="AN47" i="6"/>
  <c r="AK33" i="6"/>
  <c r="AK52" i="6"/>
  <c r="AK50" i="6"/>
  <c r="AK32" i="6"/>
  <c r="AJ47" i="6"/>
  <c r="AM47" i="6"/>
  <c r="AJ57" i="6"/>
  <c r="AJ32" i="6"/>
  <c r="AK38" i="6"/>
  <c r="AJ48" i="6"/>
  <c r="AM13" i="6"/>
  <c r="AN23" i="6"/>
  <c r="AK40" i="6"/>
  <c r="AM55" i="6"/>
  <c r="AN13" i="6"/>
  <c r="AN17" i="6"/>
  <c r="AM44" i="6"/>
  <c r="AM48" i="6"/>
  <c r="AM18" i="6"/>
  <c r="AN28" i="6"/>
  <c r="AN14" i="6"/>
  <c r="AJ36" i="6"/>
  <c r="AM32" i="6"/>
  <c r="AJ18" i="6"/>
  <c r="AN48" i="6"/>
  <c r="AM58" i="6"/>
  <c r="AN19" i="6"/>
  <c r="AN40" i="6"/>
  <c r="AJ17" i="6"/>
  <c r="AJ56" i="6"/>
  <c r="AN46" i="6"/>
  <c r="AJ46" i="6"/>
  <c r="AJ12" i="6"/>
  <c r="AN27" i="6"/>
  <c r="AK35" i="6"/>
  <c r="AK19" i="6"/>
  <c r="AJ27" i="6"/>
  <c r="AJ59" i="6"/>
  <c r="AK22" i="6"/>
  <c r="AK26" i="6"/>
  <c r="AJ19" i="6"/>
  <c r="AM54" i="6"/>
  <c r="AJ39" i="6"/>
  <c r="AK46" i="6"/>
  <c r="AJ55" i="6"/>
  <c r="AJ31" i="6"/>
  <c r="AN35" i="6"/>
  <c r="AJ35" i="6"/>
  <c r="AK42" i="6"/>
  <c r="AN42" i="6"/>
  <c r="AJ15" i="6"/>
  <c r="AK39" i="6"/>
  <c r="AM46" i="6"/>
  <c r="AN43" i="6"/>
  <c r="AK16" i="6"/>
  <c r="AK59" i="6"/>
  <c r="AN34" i="6"/>
  <c r="AJ16" i="6"/>
  <c r="AG16" i="6" s="1"/>
  <c r="AK15" i="6"/>
  <c r="AN15" i="6"/>
  <c r="AJ22" i="6"/>
  <c r="AN39" i="6"/>
  <c r="AN54" i="6"/>
  <c r="AM59" i="6"/>
  <c r="AK17" i="6"/>
  <c r="AJ42" i="6"/>
  <c r="AJ23" i="6"/>
  <c r="AJ30" i="6"/>
  <c r="AJ34" i="6"/>
  <c r="AM56" i="6"/>
  <c r="AJ33" i="6"/>
  <c r="AM53" i="6"/>
  <c r="AM14" i="6"/>
  <c r="AK14" i="6"/>
  <c r="AJ53" i="6"/>
  <c r="AK24" i="6"/>
  <c r="AK29" i="6"/>
  <c r="AK58" i="6"/>
  <c r="AK13" i="6"/>
  <c r="AN58" i="6"/>
  <c r="AK20" i="6"/>
  <c r="AN36" i="6"/>
  <c r="AJ25" i="6"/>
  <c r="AJ37" i="6"/>
  <c r="AN29" i="6"/>
  <c r="AN25" i="6"/>
  <c r="AM36" i="6"/>
  <c r="AN37" i="6"/>
  <c r="AN33" i="6"/>
  <c r="AJ20" i="6"/>
  <c r="AJ44" i="6"/>
  <c r="AK37" i="6"/>
  <c r="AN24" i="6"/>
  <c r="AM38" i="6"/>
  <c r="AK28" i="6"/>
  <c r="AK21" i="6"/>
  <c r="AN53" i="6"/>
  <c r="AN38" i="6"/>
  <c r="AM21" i="6"/>
  <c r="AN21" i="6"/>
  <c r="AN44" i="6"/>
  <c r="P27" i="11"/>
  <c r="AD27" i="11" s="1"/>
  <c r="C41" i="6"/>
  <c r="C18" i="6"/>
  <c r="C42" i="6"/>
  <c r="F76" i="4"/>
  <c r="K17" i="4"/>
  <c r="N17" i="4" s="1"/>
  <c r="C60" i="6"/>
  <c r="C19" i="6"/>
  <c r="F19" i="6"/>
  <c r="C43" i="6"/>
  <c r="F43" i="6"/>
  <c r="C39" i="6"/>
  <c r="F39" i="6"/>
  <c r="C20" i="6"/>
  <c r="F20" i="6"/>
  <c r="K16" i="4"/>
  <c r="N16" i="4" s="1"/>
  <c r="AI8" i="6"/>
  <c r="AG8" i="6" s="1"/>
  <c r="D8" i="7"/>
  <c r="C16" i="6"/>
  <c r="F16" i="6"/>
  <c r="AL9" i="6"/>
  <c r="K20" i="4"/>
  <c r="N20" i="4" s="1"/>
  <c r="AL6" i="6"/>
  <c r="K12" i="4"/>
  <c r="G18" i="7" s="1"/>
  <c r="K78" i="4"/>
  <c r="F77" i="4"/>
  <c r="M26" i="4" s="1"/>
  <c r="M25" i="4"/>
  <c r="D18" i="7"/>
  <c r="AI6" i="6"/>
  <c r="AG6" i="6" s="1"/>
  <c r="F14" i="6"/>
  <c r="C14" i="6"/>
  <c r="K26" i="4"/>
  <c r="AI10" i="6"/>
  <c r="AG10" i="6" s="1"/>
  <c r="F37" i="6"/>
  <c r="C37" i="6"/>
  <c r="K25" i="4"/>
  <c r="K18" i="4"/>
  <c r="N18" i="4" s="1"/>
  <c r="AI9" i="6"/>
  <c r="AG9" i="6" s="1"/>
  <c r="K10" i="4"/>
  <c r="G17" i="7" s="1"/>
  <c r="AL5" i="6"/>
  <c r="C17" i="6"/>
  <c r="F17" i="6"/>
  <c r="K22" i="4"/>
  <c r="N22" i="4" s="1"/>
  <c r="AL11" i="6"/>
  <c r="AL10" i="6"/>
  <c r="K21" i="4"/>
  <c r="N21" i="4" s="1"/>
  <c r="K27" i="4"/>
  <c r="K23" i="4"/>
  <c r="N23" i="4" s="1"/>
  <c r="F78" i="4"/>
  <c r="AI11" i="6"/>
  <c r="AG11" i="6" s="1"/>
  <c r="AF120" i="11" l="1"/>
  <c r="D138" i="11" s="1"/>
  <c r="K37" i="4"/>
  <c r="G36" i="7" s="1"/>
  <c r="L29" i="11" s="1"/>
  <c r="AF122" i="11" s="1"/>
  <c r="D36" i="7"/>
  <c r="AI14" i="6"/>
  <c r="M34" i="4"/>
  <c r="K34" i="4"/>
  <c r="N34" i="4" s="1"/>
  <c r="AF121" i="11"/>
  <c r="M35" i="4"/>
  <c r="D25" i="7"/>
  <c r="AI15" i="6"/>
  <c r="AG15" i="6" s="1"/>
  <c r="H25" i="7" s="1"/>
  <c r="M30" i="11" s="1"/>
  <c r="K35" i="4"/>
  <c r="AI7" i="6"/>
  <c r="AQ7" i="6" s="1"/>
  <c r="D19" i="7"/>
  <c r="N21" i="13"/>
  <c r="Q21" i="13" s="1"/>
  <c r="S21" i="13" s="1"/>
  <c r="I31" i="11"/>
  <c r="L8" i="7"/>
  <c r="N8" i="7" s="1"/>
  <c r="O21" i="13"/>
  <c r="R21" i="13" s="1"/>
  <c r="T21" i="13" s="1"/>
  <c r="N31" i="4"/>
  <c r="K30" i="4"/>
  <c r="N30" i="4" s="1"/>
  <c r="AL17" i="6"/>
  <c r="AI5" i="6"/>
  <c r="D17" i="7"/>
  <c r="L17" i="7" s="1"/>
  <c r="N17" i="7" s="1"/>
  <c r="K76" i="4"/>
  <c r="AG18" i="6"/>
  <c r="H28" i="7" s="1"/>
  <c r="M33" i="11" s="1"/>
  <c r="AG14" i="6"/>
  <c r="H36" i="7" s="1"/>
  <c r="M29" i="11" s="1"/>
  <c r="AG17" i="6"/>
  <c r="H27" i="7" s="1"/>
  <c r="M32" i="11" s="1"/>
  <c r="AD120" i="11"/>
  <c r="B138" i="11" s="1"/>
  <c r="AG13" i="6"/>
  <c r="H35" i="7" s="1"/>
  <c r="M28" i="11" s="1"/>
  <c r="AG12" i="6"/>
  <c r="H34" i="7" s="1"/>
  <c r="M27" i="11" s="1"/>
  <c r="H26" i="7"/>
  <c r="M31" i="11" s="1"/>
  <c r="Q27" i="11"/>
  <c r="P28" i="11"/>
  <c r="AD28" i="11" s="1"/>
  <c r="L18" i="7"/>
  <c r="N18" i="7" s="1"/>
  <c r="N15" i="13"/>
  <c r="Q15" i="13" s="1"/>
  <c r="S15" i="13" s="1"/>
  <c r="F46" i="6"/>
  <c r="C46" i="6"/>
  <c r="C47" i="6" s="1"/>
  <c r="B58" i="6" s="1"/>
  <c r="C23" i="6"/>
  <c r="C24" i="6" s="1"/>
  <c r="B72" i="6" s="1"/>
  <c r="D11" i="7"/>
  <c r="L11" i="7" s="1"/>
  <c r="N11" i="7" s="1"/>
  <c r="K77" i="4"/>
  <c r="AQ10" i="6"/>
  <c r="AS10" i="6"/>
  <c r="AS11" i="6"/>
  <c r="AQ11" i="6"/>
  <c r="F23" i="6"/>
  <c r="K57" i="4"/>
  <c r="K56" i="4"/>
  <c r="AQ9" i="6"/>
  <c r="AS9" i="6"/>
  <c r="K75" i="4"/>
  <c r="AS8" i="6"/>
  <c r="AQ8" i="6"/>
  <c r="AS6" i="6"/>
  <c r="AQ6" i="6"/>
  <c r="AU7" i="6" l="1"/>
  <c r="AV7" i="6" s="1"/>
  <c r="AR7" i="6"/>
  <c r="N22" i="13"/>
  <c r="Q22" i="13" s="1"/>
  <c r="S22" i="13" s="1"/>
  <c r="I30" i="11"/>
  <c r="P30" i="11" s="1"/>
  <c r="AD30" i="11" s="1"/>
  <c r="AQ5" i="6"/>
  <c r="AG5" i="6"/>
  <c r="AS5" i="6"/>
  <c r="AT5" i="6" s="1"/>
  <c r="AG7" i="6"/>
  <c r="AS7" i="6"/>
  <c r="G25" i="7"/>
  <c r="N35" i="4"/>
  <c r="L19" i="7"/>
  <c r="N19" i="7" s="1"/>
  <c r="I29" i="11"/>
  <c r="Q28" i="11"/>
  <c r="AD121" i="11"/>
  <c r="P33" i="11"/>
  <c r="AD33" i="11" s="1"/>
  <c r="N12" i="13"/>
  <c r="Q12" i="13" s="1"/>
  <c r="S12" i="13" s="1"/>
  <c r="F47" i="6"/>
  <c r="E58" i="6" s="1"/>
  <c r="F58" i="6" s="1"/>
  <c r="F62" i="6" s="1"/>
  <c r="AT9" i="6"/>
  <c r="AT10" i="6"/>
  <c r="F24" i="6"/>
  <c r="E72" i="6" s="1"/>
  <c r="F72" i="6" s="1"/>
  <c r="F76" i="6" s="1"/>
  <c r="D10" i="7"/>
  <c r="AR8" i="6"/>
  <c r="AU8" i="6"/>
  <c r="AV8" i="6" s="1"/>
  <c r="AU9" i="6"/>
  <c r="AV9" i="6" s="1"/>
  <c r="AR9" i="6"/>
  <c r="D9" i="7"/>
  <c r="L9" i="7" s="1"/>
  <c r="N9" i="7" s="1"/>
  <c r="C72" i="6"/>
  <c r="C76" i="6" s="1"/>
  <c r="C77" i="6" s="1"/>
  <c r="AU6" i="6"/>
  <c r="AV6" i="6" s="1"/>
  <c r="AR6" i="6"/>
  <c r="AT8" i="6"/>
  <c r="K43" i="4"/>
  <c r="H9" i="7"/>
  <c r="AG124" i="11" s="1"/>
  <c r="AX9" i="6"/>
  <c r="H10" i="7"/>
  <c r="AG125" i="11" s="1"/>
  <c r="AX10" i="6"/>
  <c r="AX6" i="6"/>
  <c r="H18" i="7"/>
  <c r="AG121" i="11" s="1"/>
  <c r="AU11" i="6"/>
  <c r="AV11" i="6" s="1"/>
  <c r="AR11" i="6"/>
  <c r="K55" i="4"/>
  <c r="AT6" i="6"/>
  <c r="H8" i="7"/>
  <c r="AG123" i="11" s="1"/>
  <c r="AX8" i="6"/>
  <c r="C58" i="6"/>
  <c r="C62" i="6" s="1"/>
  <c r="C63" i="6" s="1"/>
  <c r="H11" i="7"/>
  <c r="AG126" i="11" s="1"/>
  <c r="AX11" i="6"/>
  <c r="AT11" i="6"/>
  <c r="AU10" i="6"/>
  <c r="AV10" i="6" s="1"/>
  <c r="AR10" i="6"/>
  <c r="Q30" i="11" l="1"/>
  <c r="AD123" i="11"/>
  <c r="H19" i="7"/>
  <c r="AG122" i="11" s="1"/>
  <c r="AX7" i="6"/>
  <c r="AX5" i="6"/>
  <c r="H17" i="7"/>
  <c r="AG120" i="11" s="1"/>
  <c r="E138" i="11" s="1"/>
  <c r="P29" i="11"/>
  <c r="AD29" i="11" s="1"/>
  <c r="Q29" i="11"/>
  <c r="AD122" i="11"/>
  <c r="AU5" i="6"/>
  <c r="AV5" i="6" s="1"/>
  <c r="AR5" i="6"/>
  <c r="O22" i="13"/>
  <c r="R22" i="13" s="1"/>
  <c r="T22" i="13" s="1"/>
  <c r="L30" i="11"/>
  <c r="AT7" i="6"/>
  <c r="N13" i="13"/>
  <c r="Q13" i="13" s="1"/>
  <c r="S13" i="13" s="1"/>
  <c r="L10" i="7"/>
  <c r="N10" i="7" s="1"/>
  <c r="AD126" i="11"/>
  <c r="P31" i="11"/>
  <c r="AD31" i="11" s="1"/>
  <c r="N14" i="13"/>
  <c r="Q14" i="13" s="1"/>
  <c r="S14" i="13" s="1"/>
  <c r="Q33" i="11"/>
  <c r="P32" i="11"/>
  <c r="AD32" i="11" s="1"/>
  <c r="E137" i="11"/>
  <c r="F48" i="6"/>
  <c r="F49" i="6" s="1"/>
  <c r="F25" i="6"/>
  <c r="F26" i="6" s="1"/>
  <c r="N26" i="4"/>
  <c r="G10" i="7"/>
  <c r="G9" i="7"/>
  <c r="G11" i="7"/>
  <c r="N25" i="4"/>
  <c r="F63" i="6"/>
  <c r="F64" i="6" s="1"/>
  <c r="AF4" i="6" s="1"/>
  <c r="G8" i="7"/>
  <c r="F77" i="6"/>
  <c r="F78" i="6" s="1"/>
  <c r="AD4" i="6" s="1"/>
  <c r="AD125" i="11" l="1"/>
  <c r="Q31" i="11"/>
  <c r="Q32" i="11"/>
  <c r="AF124" i="11"/>
  <c r="D137" i="11" s="1"/>
  <c r="O14" i="13"/>
  <c r="R14" i="13" s="1"/>
  <c r="T14" i="13" s="1"/>
  <c r="AF123" i="11"/>
  <c r="O15" i="13"/>
  <c r="R15" i="13" s="1"/>
  <c r="T15" i="13" s="1"/>
  <c r="AD124" i="11"/>
  <c r="B137" i="11" s="1"/>
  <c r="AF125" i="11"/>
  <c r="O13" i="13"/>
  <c r="R13" i="13" s="1"/>
  <c r="T13" i="13" s="1"/>
  <c r="AF126" i="11"/>
  <c r="O12" i="13"/>
  <c r="R12" i="13" s="1"/>
  <c r="T12" i="13" s="1"/>
  <c r="F79" i="6"/>
  <c r="F80" i="6" s="1"/>
  <c r="AC4" i="6" s="1"/>
  <c r="F65" i="6"/>
  <c r="F66" i="6" s="1"/>
  <c r="AE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K5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apply phase angle correction
</t>
        </r>
      </text>
    </comment>
    <comment ref="K56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apply phase angle correction
</t>
        </r>
      </text>
    </comment>
    <comment ref="K57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apply phase angle correction
</t>
        </r>
      </text>
    </comment>
    <comment ref="D75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from Post_BIPM_ES.xls, 1 t functions.</t>
        </r>
      </text>
    </comment>
    <comment ref="E77" authorId="1" shapeId="0" xr:uid="{00000000-0006-0000-0100-000005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3 microradian is max spec for AH11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M9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 xr:uid="{00000000-0006-0000-02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  <comment ref="L47" authorId="1" shapeId="0" xr:uid="{00000000-0006-0000-02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just 1.0 in source template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k.jones</author>
    <author>t.stewart</author>
  </authors>
  <commentList>
    <comment ref="W8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30% of HP quoted TC for uncertainty</t>
        </r>
      </text>
    </comment>
    <comment ref="W15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30% of HP quoted TC for uncertainty</t>
        </r>
      </text>
    </comment>
    <comment ref="B18" authorId="1" shapeId="0" xr:uid="{00000000-0006-0000-0300-000003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20" authorId="1" shapeId="0" xr:uid="{00000000-0006-0000-0300-000004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in
2014, safer to stay with 16</t>
        </r>
      </text>
    </comment>
    <comment ref="B21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Sensitivity falls with f, 1 ppm at 2 kHz</t>
        </r>
      </text>
    </comment>
    <comment ref="B37" authorId="1" shapeId="0" xr:uid="{00000000-0006-0000-0300-000006000000}">
      <text>
        <r>
          <rPr>
            <sz val="8"/>
            <color indexed="81"/>
            <rFont val="Tahoma"/>
            <family val="2"/>
          </rPr>
          <t xml:space="preserve">t.stewart: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revert to 16 in 2014</t>
        </r>
      </text>
    </comment>
    <comment ref="L37" authorId="0" shapeId="0" xr:uid="{00000000-0006-0000-03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Revert after new CMCs developed and accepted.</t>
        </r>
      </text>
    </comment>
    <comment ref="D38" authorId="0" shapeId="0" xr:uid="{00000000-0006-0000-03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changed from 50 to 30 %, has impact on dof.</t>
        </r>
      </text>
    </comment>
    <comment ref="B40" authorId="0" shapeId="0" xr:uid="{00000000-0006-0000-03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</t>
        </r>
      </text>
    </comment>
    <comment ref="D40" authorId="0" shapeId="0" xr:uid="{00000000-0006-0000-0300-00000A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set to 1%, 30% compatible with CMC calculation</t>
        </r>
      </text>
    </comment>
    <comment ref="L40" authorId="0" shapeId="0" xr:uid="{00000000-0006-0000-0300-00000B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10 in last dial is more consistent with CMCs.</t>
        </r>
      </text>
    </comment>
    <comment ref="B41" authorId="0" shapeId="0" xr:uid="{00000000-0006-0000-0300-00000C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0" shapeId="0" xr:uid="{00000000-0006-0000-0300-00000D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0" shapeId="0" xr:uid="{00000000-0006-0000-0300-00000E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</t>
        </r>
      </text>
    </comment>
    <comment ref="B60" authorId="0" shapeId="0" xr:uid="{00000000-0006-0000-0300-00000F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63" authorId="1" shapeId="0" xr:uid="{00000000-0006-0000-0300-000010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Should it be "u combined (%)" ??
KJ: agree %</t>
        </r>
      </text>
    </comment>
    <comment ref="B72" authorId="0" shapeId="0" xr:uid="{00000000-0006-0000-0300-00001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0" shapeId="0" xr:uid="{00000000-0006-0000-0300-00001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0" shapeId="0" xr:uid="{00000000-0006-0000-0300-000013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k.jones</author>
  </authors>
  <commentList>
    <comment ref="X123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in report for all four low value caps.</t>
        </r>
      </text>
    </comment>
  </commentList>
</comments>
</file>

<file path=xl/sharedStrings.xml><?xml version="1.0" encoding="utf-8"?>
<sst xmlns="http://schemas.openxmlformats.org/spreadsheetml/2006/main" count="1321" uniqueCount="485">
  <si>
    <t>C</t>
  </si>
  <si>
    <t>nS</t>
  </si>
  <si>
    <t>E1</t>
  </si>
  <si>
    <t>E2</t>
  </si>
  <si>
    <t>E3</t>
  </si>
  <si>
    <t>D1</t>
  </si>
  <si>
    <t>UNCERTAINTY</t>
  </si>
  <si>
    <t>Information for calculating expanded uncertainties</t>
  </si>
  <si>
    <t>GEUM uncertainty calculation template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</si>
  <si>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</si>
  <si>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</si>
  <si>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</si>
  <si>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</si>
  <si>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</si>
  <si>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</si>
  <si>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</si>
  <si>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</si>
  <si>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</si>
  <si>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</si>
  <si>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</si>
  <si>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</si>
  <si>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</si>
  <si>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</si>
  <si>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</si>
  <si>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</si>
  <si>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</si>
  <si>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</si>
  <si>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</si>
  <si>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</si>
  <si>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</si>
  <si>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</si>
  <si>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</si>
  <si>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Assumptions</t>
  </si>
  <si>
    <t>Range</t>
  </si>
  <si>
    <t>Capacitance</t>
  </si>
  <si>
    <t>Conductance</t>
  </si>
  <si>
    <t>GR1000B</t>
  </si>
  <si>
    <t>6Y</t>
  </si>
  <si>
    <t>3Y</t>
  </si>
  <si>
    <t>A1</t>
  </si>
  <si>
    <t>B10</t>
  </si>
  <si>
    <t>C1</t>
  </si>
  <si>
    <t>5Y</t>
  </si>
  <si>
    <t>C10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</si>
  <si>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</si>
  <si>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</si>
  <si>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</si>
  <si>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</si>
  <si>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</si>
  <si>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</si>
  <si>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</si>
  <si>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</si>
  <si>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</si>
  <si>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</si>
  <si>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</si>
  <si>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</si>
  <si>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</si>
  <si>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</si>
  <si>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</si>
  <si>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</si>
  <si>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</si>
  <si>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</si>
  <si>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</si>
  <si>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</si>
  <si>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</si>
  <si>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</si>
  <si>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</si>
  <si>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</si>
  <si>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</si>
  <si>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</si>
  <si>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</si>
  <si>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</si>
  <si>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</si>
  <si>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</si>
  <si>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</si>
  <si>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</si>
  <si>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</si>
  <si>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</si>
  <si>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</si>
  <si>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</si>
  <si>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</si>
  <si>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</si>
  <si>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</si>
  <si>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</si>
  <si>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</si>
  <si>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</si>
  <si>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</si>
  <si>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</si>
  <si>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</si>
  <si>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</si>
  <si>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</si>
  <si>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</si>
  <si>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</si>
  <si>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</si>
  <si>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</si>
  <si>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</si>
  <si>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</si>
  <si>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</si>
  <si>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</si>
  <si>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</si>
  <si>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Symbol"/>
        <family val="1"/>
        <charset val="2"/>
      </rPr>
      <t>W</t>
    </r>
  </si>
  <si>
    <t>W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</si>
  <si>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</si>
  <si>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</si>
  <si>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</si>
  <si>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t>mS</t>
  </si>
  <si>
    <t>nF</t>
  </si>
  <si>
    <t>pF</t>
  </si>
  <si>
    <t>Model for uncertainty calculation.</t>
  </si>
  <si>
    <t>Loss angle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</si>
  <si>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</si>
  <si>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</si>
  <si>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</si>
  <si>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</si>
  <si>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</si>
  <si>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</si>
  <si>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</si>
  <si>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</si>
  <si>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</si>
  <si>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</si>
  <si>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</si>
  <si>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resolution</t>
  </si>
  <si>
    <t>this might be range and frequency dependent</t>
  </si>
  <si>
    <t>expanded u (counts)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</si>
  <si>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</si>
  <si>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</si>
  <si>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-</t>
  </si>
  <si>
    <t>based on standard deviation of 1984 determinations, 160 counts (16 ppm) for C at full scale</t>
  </si>
  <si>
    <t>stability of resistors only</t>
  </si>
  <si>
    <t>ubridge uncertainty</t>
  </si>
  <si>
    <t>temperature coefficient</t>
  </si>
  <si>
    <t xml:space="preserve">Expanded </t>
  </si>
  <si>
    <t>uncertainty</t>
  </si>
  <si>
    <t>bridge calibration, using HP3458 as transfer instrument</t>
  </si>
  <si>
    <t>change</t>
  </si>
  <si>
    <t>(milliradian)</t>
  </si>
  <si>
    <t>Uncertainty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</si>
  <si>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</si>
  <si>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</si>
  <si>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</si>
  <si>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</si>
  <si>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correction_c</t>
  </si>
  <si>
    <t>Latest comment</t>
  </si>
  <si>
    <t>Increase from 2 to 5 ppm to account for short-term instability of 1000 pF capacitor</t>
  </si>
  <si>
    <t>Nominal Value</t>
  </si>
  <si>
    <t>(pF)</t>
  </si>
  <si>
    <t>Coverage</t>
  </si>
  <si>
    <t>Loss Angle</t>
  </si>
  <si>
    <t>Factor</t>
  </si>
  <si>
    <t>(milliradians)</t>
  </si>
  <si>
    <t>Results 5 August 1993</t>
  </si>
  <si>
    <t>Component</t>
  </si>
  <si>
    <t>Capcitance</t>
  </si>
  <si>
    <t>HP 16387A 1 µF</t>
  </si>
  <si>
    <t>HP 16386A 0.1 µF</t>
  </si>
  <si>
    <t>HP 16385A 0.01 µF</t>
  </si>
  <si>
    <t>HP 16384A 1000 pF</t>
  </si>
  <si>
    <t>HP 16383A 100 pF</t>
  </si>
  <si>
    <t>HP 16382A 10 pF</t>
  </si>
  <si>
    <t>HP 16381A 1 pF</t>
  </si>
  <si>
    <t>Results 17 October 1995</t>
  </si>
  <si>
    <t>Results 27 November 1997</t>
  </si>
  <si>
    <t>15/8/2000</t>
  </si>
  <si>
    <t>G</t>
  </si>
  <si>
    <t>True C</t>
  </si>
  <si>
    <t>True G</t>
  </si>
  <si>
    <t>tan _</t>
  </si>
  <si>
    <t>µF</t>
  </si>
  <si>
    <t>µS</t>
  </si>
  <si>
    <t>Frequency</t>
  </si>
  <si>
    <t>Hz</t>
  </si>
  <si>
    <t>loss angle</t>
  </si>
  <si>
    <t>milliradians</t>
  </si>
  <si>
    <t>GR1000A</t>
  </si>
  <si>
    <t>Value of MSL Capacitors</t>
  </si>
  <si>
    <t>unc ppm</t>
  </si>
  <si>
    <t>S21580</t>
  </si>
  <si>
    <t>bridge calibration, following MSLT.E.023.004.  Uncertainties have increased.</t>
  </si>
  <si>
    <t>UB correction (millirad)</t>
  </si>
  <si>
    <t>Previous</t>
  </si>
  <si>
    <t>Current</t>
  </si>
  <si>
    <t>Days</t>
  </si>
  <si>
    <t>3 month change, ppm</t>
  </si>
  <si>
    <t>HP 1638XX series</t>
  </si>
  <si>
    <t>Capacitor(s)</t>
  </si>
  <si>
    <t>Client</t>
  </si>
  <si>
    <t>Job number</t>
  </si>
  <si>
    <t>S Number</t>
  </si>
  <si>
    <t>Template for decade and individual capacitors measured on Universal Bridge</t>
  </si>
  <si>
    <t>C (ppm)</t>
  </si>
  <si>
    <t xml:space="preserve">Coverage </t>
  </si>
  <si>
    <r>
      <t>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F) or (pF)</t>
    </r>
  </si>
  <si>
    <t>Instructions</t>
  </si>
  <si>
    <t>Select rows 24:33 and carry out "Insert Rows".  Copy cells in green block  A14:N22 and "Paste" to cells A24:N32. Copy cells in blue block and "Paste Special, Values" to green block A14:N22.</t>
  </si>
  <si>
    <t>HISTORY</t>
  </si>
  <si>
    <t>S21385</t>
  </si>
  <si>
    <t>Lookup Label</t>
  </si>
  <si>
    <t>Nominal value</t>
  </si>
  <si>
    <t>factor</t>
  </si>
  <si>
    <t>Checked by:</t>
  </si>
  <si>
    <t>ACC</t>
  </si>
  <si>
    <t>Job</t>
  </si>
  <si>
    <t>Report S No.</t>
  </si>
  <si>
    <t>uC</t>
  </si>
  <si>
    <t>delta</t>
  </si>
  <si>
    <t>udelta</t>
  </si>
  <si>
    <t>Start with S21580a</t>
  </si>
  <si>
    <t>Copy 'Universal Bridge' from most recent S21814 for RLC standards.</t>
  </si>
  <si>
    <t>Update history page for easier plotting.</t>
  </si>
  <si>
    <t>New UB calibrations need to be entered in Data block and accessed through the Date</t>
  </si>
  <si>
    <t>&lt;10</t>
  </si>
  <si>
    <t>except for range  4, up to 44?</t>
  </si>
  <si>
    <t>assume negligible c,d</t>
  </si>
  <si>
    <t>(G3=1/R4*)</t>
  </si>
  <si>
    <t>R&amp;F</t>
  </si>
  <si>
    <t>UBIII</t>
  </si>
  <si>
    <t>bridge calibration, following MSLT.E.023.004/5.  Uncertainties have increased slightly from 2005.</t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</si>
  <si>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</si>
  <si>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</si>
  <si>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</si>
  <si>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</si>
  <si>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</si>
  <si>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</si>
  <si>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</si>
  <si>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t>milliH</t>
  </si>
  <si>
    <t>mH</t>
  </si>
  <si>
    <t>kilohm</t>
  </si>
  <si>
    <t>microF</t>
  </si>
  <si>
    <t>milliS</t>
  </si>
  <si>
    <r>
      <t>m</t>
    </r>
    <r>
      <rPr>
        <sz val="12"/>
        <rFont val="Palatino"/>
        <family val="1"/>
      </rPr>
      <t>F</t>
    </r>
  </si>
  <si>
    <t>microS</t>
  </si>
  <si>
    <r>
      <t>m</t>
    </r>
    <r>
      <rPr>
        <sz val="12"/>
        <rFont val="Palatino"/>
        <family val="1"/>
      </rPr>
      <t>S</t>
    </r>
  </si>
  <si>
    <t>Carefully redefine critical block names.</t>
  </si>
  <si>
    <t>Item</t>
  </si>
  <si>
    <t>1 microF</t>
  </si>
  <si>
    <t>0.1 microF</t>
  </si>
  <si>
    <t>0.01 microF</t>
  </si>
  <si>
    <t>1 microF3Y</t>
  </si>
  <si>
    <t>0.1 microF4Y</t>
  </si>
  <si>
    <t>0.01 microF5Y</t>
  </si>
  <si>
    <t>coax open</t>
  </si>
  <si>
    <t>1000 pF</t>
  </si>
  <si>
    <t>1000 pF6Y</t>
  </si>
  <si>
    <t>100 pF</t>
  </si>
  <si>
    <t>10 pF</t>
  </si>
  <si>
    <t>10 pF7Y</t>
  </si>
  <si>
    <t>1 pF</t>
  </si>
  <si>
    <t>1 pF7Y</t>
  </si>
  <si>
    <t>AH11A</t>
  </si>
  <si>
    <t>AH11C</t>
  </si>
  <si>
    <t>Alter label structure on Results page, could try to use vlookup to find range zeros on UniversalBridge sheet?</t>
  </si>
  <si>
    <t>Babcock Fitzroy</t>
  </si>
  <si>
    <t>Parameters dependent on component</t>
  </si>
  <si>
    <t>This is a data table with B9 as the column input cell.</t>
  </si>
  <si>
    <t>CMC</t>
  </si>
  <si>
    <t>IANZ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</si>
  <si>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</si>
  <si>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</si>
  <si>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</si>
  <si>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</si>
  <si>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</si>
  <si>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</si>
  <si>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Aux L</t>
  </si>
  <si>
    <t>Aux R</t>
  </si>
  <si>
    <t>L/C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</si>
  <si>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</si>
  <si>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</si>
  <si>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</si>
  <si>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</si>
  <si>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</si>
  <si>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</si>
  <si>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</si>
  <si>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</si>
  <si>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</si>
  <si>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</si>
  <si>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</si>
  <si>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</si>
  <si>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</si>
  <si>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</si>
  <si>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</si>
  <si>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</si>
  <si>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</si>
  <si>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</si>
  <si>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1/ For all frequencies.  Additional noise typical at 50 Hz needs to be added</t>
  </si>
  <si>
    <t>4/ Updated following 2004/5 UB calibration, see AUDIREGC</t>
  </si>
  <si>
    <t>Universal bridge resistance uncertainty</t>
  </si>
  <si>
    <t>conductance dial setting</t>
  </si>
  <si>
    <t>all references to the conductance dial are now to cell D34 (previously separate lookups back to results page)</t>
  </si>
  <si>
    <t>Previous was 16, use latest value of 5 from MSLT.E.023.005</t>
  </si>
  <si>
    <t xml:space="preserve">Previous value was 2, now decreased to 1 ppm following MSLT.E023.005 </t>
  </si>
  <si>
    <t>this might be dependent on frequency and range, included below, increased from 0 to 1 in 2006, now 2000/f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</si>
  <si>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</si>
  <si>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</si>
  <si>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</si>
  <si>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</si>
  <si>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count uncertainty</t>
  </si>
  <si>
    <t>3 month drift in resistance</t>
  </si>
  <si>
    <t xml:space="preserve">assume u_t = 0.5 degree </t>
  </si>
  <si>
    <t>auxiliary balance senstivity</t>
  </si>
  <si>
    <t>in Ubridge budget</t>
  </si>
  <si>
    <t>C uncert = (0.2/f +22C) pF with C in microF, f in Hz</t>
  </si>
  <si>
    <t>1/</t>
  </si>
  <si>
    <t>3 month drift of standard</t>
  </si>
  <si>
    <t>auxiliary balance sensitivity</t>
  </si>
  <si>
    <t>u combined (count)</t>
  </si>
  <si>
    <t>expanded u (count)</t>
  </si>
  <si>
    <t>Replace uncertainty sheet with the uncertainty sheet from S21814</t>
  </si>
  <si>
    <t>R/G uncertainty</t>
  </si>
  <si>
    <t>G to delta</t>
  </si>
  <si>
    <t>AH2700A</t>
  </si>
  <si>
    <t>ppm</t>
  </si>
  <si>
    <t>L/C dial setting</t>
  </si>
  <si>
    <t>G/R error due to phase error in L/C</t>
  </si>
  <si>
    <t>L/C error due to phase error in R/G</t>
  </si>
  <si>
    <t>Conductance uncertainty for 16380</t>
  </si>
  <si>
    <t>Reactance uncertainty for 16380</t>
  </si>
  <si>
    <t>UB Cap correction (ppm)</t>
  </si>
  <si>
    <t>mrad</t>
  </si>
  <si>
    <t>Corrected C</t>
  </si>
  <si>
    <t>Corrected loss</t>
  </si>
  <si>
    <t>7Y cap corrn</t>
  </si>
  <si>
    <t>7Y loss corrn</t>
  </si>
  <si>
    <t>6Y loss corrn</t>
  </si>
  <si>
    <t>Alter treatment of range 7Y and 6Y by applying corrections as at bottom of Results sheet</t>
  </si>
  <si>
    <t>Modify Report to pick up corrected results</t>
  </si>
  <si>
    <t>delta uncert = 0.000027+0.00027/C</t>
  </si>
  <si>
    <t>C uncert = 0.2/f+22C</t>
  </si>
  <si>
    <t>Now return to 16 to stay consistent with CMCS</t>
  </si>
  <si>
    <t>Increase to 5 for 2011 measurements.</t>
  </si>
  <si>
    <r>
      <t>(</t>
    </r>
    <r>
      <rPr>
        <sz val="11"/>
        <rFont val="Symbol"/>
        <family val="1"/>
        <charset val="2"/>
      </rPr>
      <t>m</t>
    </r>
    <r>
      <rPr>
        <sz val="11"/>
        <rFont val="Times New Roman"/>
        <family val="1"/>
      </rPr>
      <t>F)</t>
    </r>
  </si>
  <si>
    <t>Start with S21815.xls</t>
  </si>
  <si>
    <t>As S21815.xls</t>
  </si>
  <si>
    <t>As S21942.xlsx</t>
  </si>
  <si>
    <t>bridge calibration, following MSLT.E.023.006.  Uncertainties unchanged from 2009.</t>
  </si>
  <si>
    <t>Enter Ubridge calibration data of 7/7/14</t>
  </si>
  <si>
    <t>S21942</t>
  </si>
  <si>
    <t>100 pF7Y</t>
  </si>
  <si>
    <t>Add graph history of UB cal constants,  just for interest.</t>
  </si>
  <si>
    <t>(mF) or (pF)</t>
  </si>
  <si>
    <t>S21815</t>
  </si>
  <si>
    <t>from cell R21 of the "L&amp;C" sheet of I:\MSL\Private\Electricity\Quality\TECHPROC\E023-Impedance\UBcalibrationJuly2014.xlsx</t>
  </si>
  <si>
    <t>millirad</t>
  </si>
  <si>
    <t>from cell Q21 of the "L&amp;C" sheet of I:\MSL\Private\Electricity\Quality\TECHPROC\E023-Impedance\UBcalibrationJuly2014.xlsx</t>
  </si>
  <si>
    <t>from cell Q20 of the "L&amp;C" sheet of I:\MSL\Private\Electricity\Quality\TECHPROC\E023-Impedance\UBcalibrationJuly2014.xlsx</t>
  </si>
  <si>
    <t>1.5915 kHz</t>
  </si>
  <si>
    <t>HP 1 pF</t>
  </si>
  <si>
    <t>HP 10 pF</t>
  </si>
  <si>
    <t>HP 100 pF</t>
  </si>
  <si>
    <t>HP 1000 pF</t>
  </si>
  <si>
    <t>temperature</t>
  </si>
  <si>
    <t>Ref Value</t>
  </si>
  <si>
    <t>Real</t>
  </si>
  <si>
    <t>Im</t>
  </si>
  <si>
    <t>urad</t>
  </si>
  <si>
    <t>Correction</t>
  </si>
  <si>
    <t>Imaginary</t>
  </si>
  <si>
    <t>Report -AH</t>
  </si>
  <si>
    <t>As fraction of report uncertainty</t>
  </si>
  <si>
    <t>Report, 1 July</t>
  </si>
  <si>
    <t>repeat</t>
  </si>
  <si>
    <t>rpt 1 pF</t>
  </si>
  <si>
    <t>rpt 10 pF</t>
  </si>
  <si>
    <t>rpt 100 pF</t>
  </si>
  <si>
    <t>rpt open</t>
  </si>
  <si>
    <t>rpt 1000 pF</t>
  </si>
  <si>
    <t>Corrected, 11 August</t>
  </si>
  <si>
    <t>rpt 0.01 microF</t>
  </si>
  <si>
    <t>rpt 0.1 microF</t>
  </si>
  <si>
    <t>rpt 1 microF</t>
  </si>
  <si>
    <t>Report, 12 August</t>
  </si>
  <si>
    <t>assume 0.5 deg at one sigma and look up the temp coefficient</t>
  </si>
  <si>
    <t>GMH51</t>
  </si>
  <si>
    <t>cap change</t>
  </si>
  <si>
    <t>temp change</t>
  </si>
  <si>
    <t>apparent tco</t>
  </si>
  <si>
    <t>Delays in calibrating the UB (and repairing the permutable) are the reason for having the standards so long, and hence measuring them twice.</t>
  </si>
  <si>
    <t>rpt 1 microF3Y</t>
  </si>
  <si>
    <t>rpt 0.1 microF4Y</t>
  </si>
  <si>
    <t>rpt 0.01 microF5Y</t>
  </si>
  <si>
    <t>rpt 1000 pF6Y</t>
  </si>
  <si>
    <t>rpt 100 pF7Y</t>
  </si>
  <si>
    <t>rpt 10 pF7Y</t>
  </si>
  <si>
    <t>rpt 1 pF7Y</t>
  </si>
  <si>
    <t>Range 7 results remain a problem for loss angle measurements, see 'Range7' worksheet.</t>
  </si>
  <si>
    <t>Range 7 was a design afterthought on the Universal Bridge and is expected to perform less well than the other ranges.</t>
  </si>
  <si>
    <t>Consider the 2014 calibration of the UB that has, for the first time, included a 1 M Vishay in the calibration.</t>
  </si>
  <si>
    <t>We have no resistance phase standard for range 7.</t>
  </si>
  <si>
    <t>At 1.6 kHz the G and R ac-dc differences look OK at -10.5 and 0.3 ppm respectively (using the same 'c' correction as for all other ranges, see 'Resistors' page).</t>
  </si>
  <si>
    <t>The 1 M Vishay gives a reading of -35 mH, which is much larger than the intrinsic &lt;0.08 uH, but consistent with a mere 0.035 pF in parallel with the 1 M resistor</t>
  </si>
  <si>
    <t>GR100 is measured ('L and C' sheet) to have a 144 urad loss angle.</t>
  </si>
  <si>
    <t>AH2700 measures</t>
  </si>
  <si>
    <t>urad for GR100 (see p.23 of UB III)</t>
  </si>
  <si>
    <t>Calc cap  suggests</t>
  </si>
  <si>
    <t>urad for GR100 (see Y:\Ongoing\Farad\CalcCap\Cap2014\Simple_buildup_July2014.xls)</t>
  </si>
  <si>
    <t>Item 1 gives basic confidence of ratio performance.</t>
  </si>
  <si>
    <t>Item 2 is inconclusive.</t>
  </si>
  <si>
    <t>Items 3 to 5 suggest a correction is required for phase on Range 7Y of the UB.</t>
  </si>
  <si>
    <t>AH2700</t>
  </si>
  <si>
    <t>Unfortunately the difference in loss angles measured by the UB in July and August exceed the estimated uncertainty.</t>
  </si>
  <si>
    <t>It is possible that the phase of the UB's 1 M internal standard was changed during the July calibration (physical knock?)</t>
  </si>
  <si>
    <t>Universal Bridge</t>
  </si>
  <si>
    <t>Therefore it seems prudent to rely on the AH2700 for the loss angle of capacitors below 1 nF.</t>
  </si>
  <si>
    <t>See AH2700 manual page C-6 (appendix C), 'Accuracy of D vs. Frequency' graph</t>
  </si>
  <si>
    <t>100 pF/ 1 nF</t>
  </si>
  <si>
    <t>6 urad</t>
  </si>
  <si>
    <t>4 urad</t>
  </si>
  <si>
    <t>3 urad</t>
  </si>
  <si>
    <t>D accuracy</t>
  </si>
  <si>
    <t>These are a factor of 10 or more better than our UB based CMCs.</t>
  </si>
  <si>
    <t>Therefore use AH2700 results, but UB uncertainties (for CMC compliance).</t>
  </si>
  <si>
    <t>Therefore for reporting loss angle for the 1, 10 and 100 pF capacitors, use AH2700 results with UB uncertainties (for CMC compliance).</t>
  </si>
  <si>
    <t>As there is doubt about the 1 June loss angle measurements, only the 12 August results are reported</t>
  </si>
  <si>
    <t>Template for capacitors</t>
  </si>
  <si>
    <t>Capacitors</t>
  </si>
  <si>
    <t>Enter, say, 5 ppm as 5e-6</t>
  </si>
  <si>
    <t>1 sigma uncertainties from specifications</t>
  </si>
  <si>
    <t>specs say -140 ppm for capacitance, assume 100 ppm for G</t>
  </si>
  <si>
    <t>Data from lab book</t>
  </si>
  <si>
    <t>Data from specifications and other sources</t>
  </si>
  <si>
    <t>Nominal Frequency</t>
  </si>
  <si>
    <t>xdial</t>
  </si>
  <si>
    <t>rdial</t>
  </si>
  <si>
    <t>Temperature</t>
  </si>
  <si>
    <t>u</t>
  </si>
  <si>
    <t>df</t>
  </si>
  <si>
    <t>Temp coeff C</t>
  </si>
  <si>
    <t>Temp coeff G</t>
  </si>
  <si>
    <t>Other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</si>
  <si>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</si>
  <si>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coax zero</t>
  </si>
  <si>
    <t>xDial</t>
  </si>
  <si>
    <t>rDial</t>
  </si>
  <si>
    <t>frequency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</si>
  <si>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</si>
  <si>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</si>
  <si>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</si>
  <si>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</si>
  <si>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</si>
  <si>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</si>
  <si>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</si>
  <si>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</si>
  <si>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</si>
  <si>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</si>
  <si>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</si>
  <si>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</si>
  <si>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</si>
  <si>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</si>
  <si>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td</t>
  </si>
  <si>
    <t>utd</t>
  </si>
  <si>
    <t>ktd</t>
  </si>
  <si>
    <t>cmcx</t>
  </si>
  <si>
    <t>cmcr</t>
  </si>
  <si>
    <t>ux/cmcx</t>
  </si>
  <si>
    <t>ur/cmcr</t>
  </si>
  <si>
    <t>label</t>
  </si>
  <si>
    <t>multiplier for G</t>
  </si>
  <si>
    <t>uG</t>
  </si>
  <si>
    <t>multiplier for C</t>
  </si>
  <si>
    <t>nom Freq</t>
  </si>
  <si>
    <t>(mF)</t>
  </si>
  <si>
    <t>Coverage
Factor</t>
  </si>
  <si>
    <t>Loss
Angle
(mrad)</t>
  </si>
  <si>
    <t>Expanded
Uncertainty
(mrad)</t>
  </si>
  <si>
    <t>Expanded
Uncertainty
(µF)</t>
  </si>
  <si>
    <t>Nominal
Value
(µF)</t>
  </si>
  <si>
    <t>Nominal
Value
(pF)</t>
  </si>
  <si>
    <t>Expanded
Uncertainty
(pF)</t>
  </si>
  <si>
    <t>Table 1</t>
  </si>
  <si>
    <t>Table 2</t>
  </si>
  <si>
    <t>Capacitance
(pF)</t>
  </si>
  <si>
    <t>Capacitance
(µF)</t>
  </si>
  <si>
    <t>HP 16380A_C</t>
  </si>
  <si>
    <t>Babcock</t>
  </si>
  <si>
    <t>J05598</t>
  </si>
  <si>
    <t>E96330146</t>
  </si>
  <si>
    <t>S22088</t>
  </si>
  <si>
    <t>Start with ' G:\My Drive\Work Space\Commercial Jobs\2021\Babcock\HP 16380A_C_S22088_0146\S22088_HP 16380A_C\UniversalBridge3_26_jan_21'  CoaxCap.xls</t>
  </si>
  <si>
    <t>Enter Ubridge calibration data of19_20/01/21</t>
  </si>
  <si>
    <t>UB1000pF</t>
  </si>
  <si>
    <t>S22013</t>
  </si>
  <si>
    <t>from Y:\Ongoing\Farad\CalcCap\Cap2014\Simple_buildup_July2014.xls, A28 to C45</t>
  </si>
  <si>
    <t>AH11B</t>
  </si>
  <si>
    <t>ES14</t>
  </si>
  <si>
    <t>GR100</t>
  </si>
  <si>
    <t>GR10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</si>
</sst>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164" formatCode="0.00000"/>
    <numFmt numFmtId="165" formatCode="0.000000"/>
    <numFmt numFmtId="166" formatCode="0.0000000"/>
    <numFmt numFmtId="167" formatCode="0E+00"/>
    <numFmt numFmtId="168" formatCode="0.000"/>
    <numFmt numFmtId="169" formatCode="0.0000"/>
    <numFmt numFmtId="170" formatCode="0.0E+00"/>
    <numFmt numFmtId="171" formatCode="General_)"/>
    <numFmt numFmtId="172" formatCode="dd/mmm/yy_)"/>
    <numFmt numFmtId="173" formatCode="0.0"/>
    <numFmt numFmtId="174" formatCode="0.000000_)"/>
    <numFmt numFmtId="175" formatCode="0.0_)"/>
    <numFmt numFmtId="176" formatCode="0.0E+00_)"/>
    <numFmt numFmtId="177" formatCode="0_)"/>
    <numFmt numFmtId="178" formatCode="0.00_)"/>
    <numFmt numFmtId="179" formatCode="0.000_)"/>
    <numFmt numFmtId="180" formatCode="0.00E+00_)"/>
    <numFmt numFmtId="181" formatCode="0.0000_)"/>
    <numFmt numFmtId="182" formatCode="0.00000_)"/>
    <numFmt numFmtId="183" formatCode="dd\-mmm\-yy"/>
    <numFmt numFmtId="184" formatCode="0.E+00"/>
    <numFmt numFmtId="185" formatCode="0.0.E+00"/>
    <numFmt numFmtId="186" formatCode="0.00000000"/>
    <numFmt numFmtId="187" formatCode="0.00000E+00"/>
    <numFmt numFmtId="188" formatCode="0000000"/>
    <numFmt numFmtId="189" formatCode="000000"/>
    <numFmt numFmtId="190" formatCode="0.000000\ "/>
    <numFmt numFmtId="191" formatCode="0.000\ \ \ \ "/>
    <numFmt numFmtId="192" formatCode="0\ \ \ \ \ \ \ \ \ \ \ "/>
    <numFmt numFmtId="193" formatCode="0\ \ \ \ \ \ \ \ \ \ \ \ \ \ \ "/>
    <numFmt numFmtId="194" formatCode="0.0\ \ \ \ \ \ \ \ \ \ \ \ "/>
    <numFmt numFmtId="195" formatCode="0.00\ \ \ \ \ \ \ \ \ \ "/>
    <numFmt numFmtId="196" formatCode="0.00000\ \ \ "/>
    <numFmt numFmtId="197" formatCode="0.0000\ \ \ \ \ "/>
    <numFmt numFmtId="198" formatCode="0.000\ \ \ \ \ \ \ "/>
    <numFmt numFmtId="199" formatCode="0.00\ \ \ \ \ \ \ \ \ "/>
  </numFmts>
  <fonts count="2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33"/>
      <name val="Helv"/>
    </font>
    <font>
      <sz val="10"/>
      <color indexed="14"/>
      <name val="Arial"/>
      <family val="2"/>
    </font>
    <font>
      <sz val="11"/>
      <name val="Times New Roman"/>
      <family val="1"/>
    </font>
    <font>
      <sz val="11"/>
      <name val="Symbol"/>
      <family val="1"/>
      <charset val="2"/>
    </font>
    <font>
      <sz val="10"/>
      <name val="Calibri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1"/>
      <color rgb="FFFA7D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  <xf numFmtId="0" fontId="28" fillId="23" borderId="44" applyNumberFormat="0" applyAlignment="0" applyProtection="0"/>
  </cellStyleXfs>
  <cellXfs count="32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171" fontId="10" fillId="0" borderId="0" xfId="0" applyNumberFormat="1" applyFont="1" applyAlignment="1" applyProtection="1">
      <alignment horizontal="left"/>
    </xf>
    <xf numFmtId="171" fontId="11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72" fontId="0" fillId="0" borderId="0" xfId="0" applyNumberFormat="1" applyProtection="1"/>
    <xf numFmtId="170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Protection="1"/>
    <xf numFmtId="168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/>
    <xf numFmtId="174" fontId="1" fillId="2" borderId="0" xfId="0" applyNumberFormat="1" applyFont="1" applyFill="1" applyProtection="1"/>
    <xf numFmtId="171" fontId="11" fillId="3" borderId="9" xfId="0" applyNumberFormat="1" applyFont="1" applyFill="1" applyBorder="1" applyAlignment="1" applyProtection="1">
      <alignment horizontal="left"/>
    </xf>
    <xf numFmtId="174" fontId="0" fillId="3" borderId="10" xfId="0" applyNumberFormat="1" applyFill="1" applyBorder="1" applyProtection="1"/>
    <xf numFmtId="171" fontId="0" fillId="3" borderId="10" xfId="0" applyNumberFormat="1" applyFill="1" applyBorder="1" applyProtection="1"/>
    <xf numFmtId="171" fontId="0" fillId="3" borderId="11" xfId="0" applyNumberFormat="1" applyFill="1" applyBorder="1" applyProtection="1"/>
    <xf numFmtId="171" fontId="10" fillId="0" borderId="0" xfId="0" applyNumberFormat="1" applyFont="1" applyProtection="1"/>
    <xf numFmtId="174" fontId="10" fillId="0" borderId="0" xfId="0" applyNumberFormat="1" applyFont="1" applyAlignment="1" applyProtection="1">
      <alignment horizontal="center"/>
    </xf>
    <xf numFmtId="171" fontId="10" fillId="0" borderId="0" xfId="0" applyNumberFormat="1" applyFont="1" applyAlignment="1" applyProtection="1">
      <alignment horizontal="center"/>
    </xf>
    <xf numFmtId="171" fontId="13" fillId="0" borderId="0" xfId="0" applyNumberFormat="1" applyFont="1" applyAlignment="1" applyProtection="1">
      <alignment horizontal="center"/>
    </xf>
    <xf numFmtId="171" fontId="11" fillId="0" borderId="0" xfId="0" applyNumberFormat="1" applyFont="1" applyProtection="1"/>
    <xf numFmtId="171" fontId="14" fillId="0" borderId="0" xfId="0" applyNumberFormat="1" applyFont="1" applyAlignment="1" applyProtection="1">
      <alignment horizontal="left"/>
    </xf>
    <xf numFmtId="173" fontId="15" fillId="0" borderId="0" xfId="0" applyNumberFormat="1" applyFont="1" applyProtection="1"/>
    <xf numFmtId="176" fontId="0" fillId="0" borderId="0" xfId="0" applyNumberFormat="1" applyProtection="1"/>
    <xf numFmtId="171" fontId="0" fillId="0" borderId="0" xfId="0" applyNumberFormat="1" applyProtection="1"/>
    <xf numFmtId="177" fontId="0" fillId="0" borderId="0" xfId="0" applyNumberFormat="1" applyProtection="1"/>
    <xf numFmtId="175" fontId="0" fillId="0" borderId="0" xfId="0" applyNumberFormat="1" applyProtection="1"/>
    <xf numFmtId="171" fontId="14" fillId="0" borderId="0" xfId="0" applyNumberFormat="1" applyFont="1" applyProtection="1"/>
    <xf numFmtId="171" fontId="0" fillId="0" borderId="0" xfId="0" applyNumberFormat="1" applyAlignment="1" applyProtection="1">
      <alignment horizontal="right"/>
    </xf>
    <xf numFmtId="174" fontId="10" fillId="0" borderId="0" xfId="0" applyNumberFormat="1" applyFont="1" applyAlignment="1" applyProtection="1">
      <alignment horizontal="left"/>
    </xf>
    <xf numFmtId="171" fontId="10" fillId="0" borderId="12" xfId="0" applyNumberFormat="1" applyFont="1" applyBorder="1" applyAlignment="1" applyProtection="1">
      <alignment horizontal="center"/>
    </xf>
    <xf numFmtId="171" fontId="10" fillId="0" borderId="13" xfId="0" applyNumberFormat="1" applyFont="1" applyBorder="1" applyAlignment="1" applyProtection="1">
      <alignment horizontal="center"/>
    </xf>
    <xf numFmtId="171" fontId="10" fillId="0" borderId="14" xfId="0" applyNumberFormat="1" applyFont="1" applyBorder="1" applyAlignment="1" applyProtection="1">
      <alignment horizontal="center"/>
    </xf>
    <xf numFmtId="179" fontId="0" fillId="0" borderId="0" xfId="0" applyNumberFormat="1" applyProtection="1"/>
    <xf numFmtId="171" fontId="0" fillId="0" borderId="0" xfId="0" applyNumberFormat="1" applyAlignment="1" applyProtection="1">
      <alignment horizontal="center"/>
    </xf>
    <xf numFmtId="171" fontId="0" fillId="0" borderId="0" xfId="0" applyNumberFormat="1" applyFont="1" applyProtection="1"/>
    <xf numFmtId="180" fontId="0" fillId="0" borderId="0" xfId="0" applyNumberFormat="1" applyFont="1" applyProtection="1"/>
    <xf numFmtId="171" fontId="1" fillId="3" borderId="11" xfId="0" applyNumberFormat="1" applyFont="1" applyFill="1" applyBorder="1" applyProtection="1"/>
    <xf numFmtId="168" fontId="0" fillId="0" borderId="0" xfId="0" applyNumberFormat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8" xfId="0" applyFill="1" applyBorder="1"/>
    <xf numFmtId="168" fontId="0" fillId="7" borderId="18" xfId="0" applyNumberFormat="1" applyFill="1" applyBorder="1" applyAlignment="1">
      <alignment horizontal="right"/>
    </xf>
    <xf numFmtId="169" fontId="0" fillId="7" borderId="18" xfId="0" applyNumberFormat="1" applyFill="1" applyBorder="1" applyAlignment="1">
      <alignment horizontal="center"/>
    </xf>
    <xf numFmtId="168" fontId="0" fillId="7" borderId="18" xfId="0" applyNumberFormat="1" applyFill="1" applyBorder="1"/>
    <xf numFmtId="170" fontId="9" fillId="7" borderId="18" xfId="0" applyNumberFormat="1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9" fontId="0" fillId="7" borderId="18" xfId="0" applyNumberFormat="1" applyFill="1" applyBorder="1"/>
    <xf numFmtId="165" fontId="0" fillId="7" borderId="18" xfId="0" applyNumberFormat="1" applyFill="1" applyBorder="1" applyAlignment="1">
      <alignment horizontal="right"/>
    </xf>
    <xf numFmtId="2" fontId="0" fillId="0" borderId="0" xfId="0" applyNumberFormat="1"/>
    <xf numFmtId="0" fontId="16" fillId="0" borderId="0" xfId="0" applyFont="1"/>
    <xf numFmtId="0" fontId="3" fillId="0" borderId="0" xfId="0" applyFont="1" applyAlignment="1">
      <alignment horizontal="left"/>
    </xf>
    <xf numFmtId="173" fontId="16" fillId="0" borderId="0" xfId="0" applyNumberFormat="1" applyFont="1" applyBorder="1" applyAlignment="1">
      <alignment horizontal="center"/>
    </xf>
    <xf numFmtId="173" fontId="0" fillId="0" borderId="0" xfId="0" applyNumberFormat="1"/>
    <xf numFmtId="1" fontId="0" fillId="0" borderId="0" xfId="0" applyNumberFormat="1"/>
    <xf numFmtId="0" fontId="0" fillId="8" borderId="0" xfId="0" applyFill="1" applyAlignment="1">
      <alignment horizontal="center"/>
    </xf>
    <xf numFmtId="0" fontId="0" fillId="6" borderId="18" xfId="0" applyFill="1" applyBorder="1" applyProtection="1">
      <protection locked="0"/>
    </xf>
    <xf numFmtId="0" fontId="0" fillId="6" borderId="18" xfId="0" applyFill="1" applyBorder="1" applyAlignment="1" applyProtection="1">
      <alignment horizontal="center"/>
      <protection locked="0"/>
    </xf>
    <xf numFmtId="0" fontId="0" fillId="9" borderId="0" xfId="0" applyFill="1"/>
    <xf numFmtId="0" fontId="0" fillId="10" borderId="0" xfId="0" applyFill="1"/>
    <xf numFmtId="0" fontId="0" fillId="8" borderId="0" xfId="0" applyFill="1"/>
    <xf numFmtId="0" fontId="16" fillId="0" borderId="0" xfId="0" applyFont="1" applyBorder="1"/>
    <xf numFmtId="165" fontId="0" fillId="0" borderId="0" xfId="0" applyNumberFormat="1"/>
    <xf numFmtId="169" fontId="0" fillId="0" borderId="0" xfId="0" applyNumberFormat="1"/>
    <xf numFmtId="169" fontId="0" fillId="0" borderId="0" xfId="0" applyNumberFormat="1" applyAlignment="1">
      <alignment horizontal="center"/>
    </xf>
    <xf numFmtId="15" fontId="0" fillId="0" borderId="0" xfId="0" applyNumberFormat="1"/>
    <xf numFmtId="183" fontId="0" fillId="0" borderId="0" xfId="0" applyNumberFormat="1"/>
    <xf numFmtId="164" fontId="0" fillId="7" borderId="18" xfId="0" applyNumberFormat="1" applyFill="1" applyBorder="1" applyAlignment="1">
      <alignment horizontal="right"/>
    </xf>
    <xf numFmtId="0" fontId="9" fillId="9" borderId="0" xfId="0" applyFont="1" applyFill="1"/>
    <xf numFmtId="0" fontId="0" fillId="2" borderId="0" xfId="0" applyFill="1" applyAlignment="1">
      <alignment horizontal="left"/>
    </xf>
    <xf numFmtId="15" fontId="9" fillId="9" borderId="0" xfId="0" applyNumberFormat="1" applyFont="1" applyFill="1" applyAlignment="1">
      <alignment horizontal="left"/>
    </xf>
    <xf numFmtId="0" fontId="9" fillId="6" borderId="0" xfId="0" applyFont="1" applyFill="1" applyBorder="1" applyAlignment="1">
      <alignment horizontal="center"/>
    </xf>
    <xf numFmtId="0" fontId="0" fillId="6" borderId="18" xfId="0" applyFill="1" applyBorder="1"/>
    <xf numFmtId="170" fontId="9" fillId="6" borderId="18" xfId="0" applyNumberFormat="1" applyFont="1" applyFill="1" applyBorder="1" applyAlignment="1">
      <alignment horizont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ill="1" applyBorder="1" applyAlignment="1">
      <alignment horizontal="center"/>
    </xf>
    <xf numFmtId="173" fontId="0" fillId="11" borderId="0" xfId="0" applyNumberFormat="1" applyFill="1"/>
    <xf numFmtId="0" fontId="0" fillId="0" borderId="19" xfId="0" applyBorder="1"/>
    <xf numFmtId="0" fontId="0" fillId="9" borderId="20" xfId="0" applyFill="1" applyBorder="1"/>
    <xf numFmtId="0" fontId="0" fillId="9" borderId="21" xfId="0" applyFill="1" applyBorder="1"/>
    <xf numFmtId="14" fontId="0" fillId="9" borderId="22" xfId="0" applyNumberFormat="1" applyFill="1" applyBorder="1"/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23" xfId="0" applyFill="1" applyBorder="1"/>
    <xf numFmtId="0" fontId="0" fillId="9" borderId="22" xfId="0" applyFill="1" applyBorder="1"/>
    <xf numFmtId="168" fontId="0" fillId="9" borderId="0" xfId="0" applyNumberFormat="1" applyFill="1" applyBorder="1"/>
    <xf numFmtId="173" fontId="0" fillId="9" borderId="0" xfId="0" applyNumberFormat="1" applyFill="1" applyBorder="1"/>
    <xf numFmtId="2" fontId="0" fillId="9" borderId="0" xfId="0" applyNumberFormat="1" applyFill="1" applyBorder="1"/>
    <xf numFmtId="173" fontId="0" fillId="9" borderId="23" xfId="0" applyNumberFormat="1" applyFill="1" applyBorder="1"/>
    <xf numFmtId="0" fontId="0" fillId="9" borderId="24" xfId="0" applyFill="1" applyBorder="1"/>
    <xf numFmtId="0" fontId="0" fillId="9" borderId="19" xfId="0" applyFill="1" applyBorder="1"/>
    <xf numFmtId="168" fontId="0" fillId="9" borderId="19" xfId="0" applyNumberFormat="1" applyFill="1" applyBorder="1"/>
    <xf numFmtId="0" fontId="0" fillId="12" borderId="20" xfId="0" applyFill="1" applyBorder="1"/>
    <xf numFmtId="0" fontId="0" fillId="12" borderId="21" xfId="0" applyFill="1" applyBorder="1"/>
    <xf numFmtId="0" fontId="0" fillId="12" borderId="22" xfId="0" applyFill="1" applyBorder="1"/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12" borderId="23" xfId="0" applyFill="1" applyBorder="1"/>
    <xf numFmtId="169" fontId="0" fillId="12" borderId="0" xfId="0" applyNumberFormat="1" applyFill="1" applyBorder="1"/>
    <xf numFmtId="173" fontId="0" fillId="12" borderId="0" xfId="0" applyNumberFormat="1" applyFill="1" applyBorder="1"/>
    <xf numFmtId="168" fontId="0" fillId="12" borderId="0" xfId="0" applyNumberFormat="1" applyFill="1" applyBorder="1"/>
    <xf numFmtId="2" fontId="0" fillId="12" borderId="0" xfId="0" applyNumberFormat="1" applyFill="1" applyBorder="1"/>
    <xf numFmtId="173" fontId="0" fillId="12" borderId="23" xfId="0" applyNumberFormat="1" applyFill="1" applyBorder="1"/>
    <xf numFmtId="0" fontId="0" fillId="12" borderId="24" xfId="0" applyFill="1" applyBorder="1"/>
    <xf numFmtId="0" fontId="0" fillId="12" borderId="19" xfId="0" applyFill="1" applyBorder="1"/>
    <xf numFmtId="169" fontId="0" fillId="12" borderId="19" xfId="0" applyNumberFormat="1" applyFill="1" applyBorder="1"/>
    <xf numFmtId="173" fontId="0" fillId="12" borderId="19" xfId="0" applyNumberFormat="1" applyFill="1" applyBorder="1"/>
    <xf numFmtId="168" fontId="0" fillId="12" borderId="19" xfId="0" applyNumberFormat="1" applyFill="1" applyBorder="1"/>
    <xf numFmtId="2" fontId="0" fillId="12" borderId="19" xfId="0" applyNumberFormat="1" applyFill="1" applyBorder="1"/>
    <xf numFmtId="173" fontId="0" fillId="12" borderId="25" xfId="0" applyNumberFormat="1" applyFill="1" applyBorder="1"/>
    <xf numFmtId="0" fontId="0" fillId="0" borderId="25" xfId="0" applyBorder="1"/>
    <xf numFmtId="0" fontId="5" fillId="0" borderId="24" xfId="0" applyFont="1" applyBorder="1"/>
    <xf numFmtId="14" fontId="0" fillId="12" borderId="26" xfId="0" applyNumberFormat="1" applyFill="1" applyBorder="1"/>
    <xf numFmtId="0" fontId="0" fillId="2" borderId="0" xfId="0" applyFill="1" applyAlignment="1">
      <alignment horizontal="right"/>
    </xf>
    <xf numFmtId="0" fontId="19" fillId="0" borderId="0" xfId="0" applyFont="1"/>
    <xf numFmtId="14" fontId="0" fillId="10" borderId="0" xfId="0" applyNumberFormat="1" applyFill="1"/>
    <xf numFmtId="14" fontId="1" fillId="11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3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0" fontId="5" fillId="0" borderId="5" xfId="0" applyFont="1" applyFill="1" applyBorder="1" applyAlignment="1" applyProtection="1">
      <alignment horizontal="center"/>
      <protection locked="0"/>
    </xf>
    <xf numFmtId="0" fontId="0" fillId="0" borderId="27" xfId="0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0" fillId="0" borderId="28" xfId="0" applyBorder="1"/>
    <xf numFmtId="0" fontId="4" fillId="0" borderId="2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9" borderId="32" xfId="0" applyFill="1" applyBorder="1" applyAlignment="1">
      <alignment horizontal="center"/>
    </xf>
    <xf numFmtId="14" fontId="2" fillId="0" borderId="0" xfId="3" applyNumberFormat="1"/>
    <xf numFmtId="0" fontId="2" fillId="0" borderId="0" xfId="3"/>
    <xf numFmtId="0" fontId="0" fillId="0" borderId="30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Border="1"/>
    <xf numFmtId="0" fontId="0" fillId="9" borderId="34" xfId="0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167" fontId="0" fillId="0" borderId="0" xfId="0" applyNumberFormat="1" applyFill="1" applyBorder="1"/>
    <xf numFmtId="167" fontId="0" fillId="8" borderId="0" xfId="0" applyNumberFormat="1" applyFill="1"/>
    <xf numFmtId="16" fontId="0" fillId="0" borderId="0" xfId="0" quotePrefix="1" applyNumberFormat="1"/>
    <xf numFmtId="0" fontId="0" fillId="0" borderId="0" xfId="0" quotePrefix="1" applyAlignment="1">
      <alignment horizontal="center"/>
    </xf>
    <xf numFmtId="170" fontId="0" fillId="8" borderId="0" xfId="0" applyNumberFormat="1" applyFill="1" applyAlignment="1">
      <alignment horizontal="center"/>
    </xf>
    <xf numFmtId="173" fontId="0" fillId="8" borderId="0" xfId="0" applyNumberFormat="1" applyFill="1" applyAlignment="1">
      <alignment horizontal="center"/>
    </xf>
    <xf numFmtId="184" fontId="0" fillId="0" borderId="0" xfId="0" applyNumberFormat="1"/>
    <xf numFmtId="170" fontId="0" fillId="0" borderId="0" xfId="0" applyNumberFormat="1"/>
    <xf numFmtId="171" fontId="12" fillId="0" borderId="0" xfId="0" applyNumberFormat="1" applyFont="1" applyProtection="1"/>
    <xf numFmtId="171" fontId="12" fillId="0" borderId="0" xfId="0" applyNumberFormat="1" applyFont="1" applyFill="1" applyProtection="1"/>
    <xf numFmtId="171" fontId="21" fillId="0" borderId="0" xfId="0" applyNumberFormat="1" applyFont="1" applyProtection="1"/>
    <xf numFmtId="0" fontId="5" fillId="10" borderId="0" xfId="2" applyFont="1" applyFill="1"/>
    <xf numFmtId="173" fontId="15" fillId="0" borderId="0" xfId="0" applyNumberFormat="1" applyFont="1" applyFill="1" applyProtection="1"/>
    <xf numFmtId="176" fontId="0" fillId="0" borderId="0" xfId="0" applyNumberFormat="1" applyFill="1" applyProtection="1"/>
    <xf numFmtId="0" fontId="2" fillId="0" borderId="0" xfId="2"/>
    <xf numFmtId="175" fontId="0" fillId="0" borderId="0" xfId="0" applyNumberFormat="1" applyFill="1" applyProtection="1"/>
    <xf numFmtId="0" fontId="2" fillId="10" borderId="0" xfId="2" applyFill="1"/>
    <xf numFmtId="1" fontId="15" fillId="0" borderId="0" xfId="0" applyNumberFormat="1" applyFont="1" applyFill="1" applyProtection="1"/>
    <xf numFmtId="179" fontId="22" fillId="0" borderId="0" xfId="0" applyNumberFormat="1" applyFont="1" applyFill="1" applyProtection="1"/>
    <xf numFmtId="0" fontId="2" fillId="10" borderId="0" xfId="2" applyFont="1" applyFill="1"/>
    <xf numFmtId="178" fontId="0" fillId="0" borderId="0" xfId="0" applyNumberFormat="1" applyFill="1" applyProtection="1"/>
    <xf numFmtId="177" fontId="0" fillId="0" borderId="36" xfId="0" applyNumberFormat="1" applyFill="1" applyBorder="1" applyProtection="1"/>
    <xf numFmtId="178" fontId="0" fillId="0" borderId="37" xfId="0" applyNumberFormat="1" applyFill="1" applyBorder="1" applyProtection="1"/>
    <xf numFmtId="177" fontId="0" fillId="0" borderId="38" xfId="0" applyNumberFormat="1" applyFill="1" applyBorder="1" applyProtection="1"/>
    <xf numFmtId="171" fontId="12" fillId="0" borderId="0" xfId="2" applyNumberFormat="1" applyFont="1" applyProtection="1"/>
    <xf numFmtId="171" fontId="12" fillId="0" borderId="0" xfId="2" applyNumberFormat="1" applyFont="1" applyFill="1" applyProtection="1"/>
    <xf numFmtId="171" fontId="21" fillId="0" borderId="0" xfId="2" applyNumberFormat="1" applyFont="1" applyProtection="1"/>
    <xf numFmtId="171" fontId="10" fillId="0" borderId="0" xfId="2" applyNumberFormat="1" applyFont="1" applyProtection="1"/>
    <xf numFmtId="180" fontId="0" fillId="0" borderId="0" xfId="0" applyNumberFormat="1" applyFill="1" applyProtection="1"/>
    <xf numFmtId="181" fontId="0" fillId="0" borderId="0" xfId="0" applyNumberFormat="1" applyFill="1" applyProtection="1"/>
    <xf numFmtId="0" fontId="0" fillId="0" borderId="0" xfId="0" applyFill="1"/>
    <xf numFmtId="184" fontId="0" fillId="13" borderId="0" xfId="0" applyNumberFormat="1" applyFill="1"/>
    <xf numFmtId="2" fontId="0" fillId="13" borderId="0" xfId="0" applyNumberFormat="1" applyFill="1"/>
    <xf numFmtId="177" fontId="0" fillId="0" borderId="0" xfId="0" applyNumberFormat="1" applyFill="1" applyProtection="1"/>
    <xf numFmtId="182" fontId="22" fillId="0" borderId="0" xfId="0" applyNumberFormat="1" applyFont="1" applyFill="1" applyProtection="1"/>
    <xf numFmtId="175" fontId="0" fillId="0" borderId="37" xfId="0" applyNumberFormat="1" applyFill="1" applyBorder="1" applyProtection="1"/>
    <xf numFmtId="178" fontId="0" fillId="0" borderId="38" xfId="0" applyNumberFormat="1" applyFill="1" applyBorder="1" applyProtection="1"/>
    <xf numFmtId="11" fontId="0" fillId="0" borderId="0" xfId="0" applyNumberFormat="1" applyFill="1"/>
    <xf numFmtId="181" fontId="22" fillId="0" borderId="0" xfId="0" applyNumberFormat="1" applyFont="1" applyFill="1" applyProtection="1"/>
    <xf numFmtId="174" fontId="10" fillId="0" borderId="0" xfId="0" applyNumberFormat="1" applyFont="1" applyFill="1" applyAlignment="1" applyProtection="1">
      <alignment horizontal="left"/>
    </xf>
    <xf numFmtId="171" fontId="10" fillId="0" borderId="0" xfId="0" applyNumberFormat="1" applyFont="1" applyFill="1" applyAlignment="1" applyProtection="1">
      <alignment horizontal="left"/>
    </xf>
    <xf numFmtId="171" fontId="10" fillId="0" borderId="12" xfId="0" applyNumberFormat="1" applyFont="1" applyFill="1" applyBorder="1" applyAlignment="1" applyProtection="1">
      <alignment horizontal="center"/>
    </xf>
    <xf numFmtId="171" fontId="10" fillId="0" borderId="13" xfId="0" applyNumberFormat="1" applyFont="1" applyFill="1" applyBorder="1" applyAlignment="1" applyProtection="1">
      <alignment horizontal="center"/>
    </xf>
    <xf numFmtId="171" fontId="10" fillId="0" borderId="14" xfId="0" applyNumberFormat="1" applyFont="1" applyFill="1" applyBorder="1" applyAlignment="1" applyProtection="1">
      <alignment horizontal="center"/>
    </xf>
    <xf numFmtId="179" fontId="0" fillId="0" borderId="38" xfId="0" applyNumberFormat="1" applyFill="1" applyBorder="1" applyProtection="1"/>
    <xf numFmtId="168" fontId="0" fillId="0" borderId="0" xfId="0" applyNumberFormat="1" applyFill="1"/>
    <xf numFmtId="168" fontId="0" fillId="11" borderId="0" xfId="0" applyNumberFormat="1" applyFill="1"/>
    <xf numFmtId="173" fontId="5" fillId="0" borderId="0" xfId="0" applyNumberFormat="1" applyFont="1"/>
    <xf numFmtId="169" fontId="5" fillId="0" borderId="0" xfId="0" applyNumberFormat="1" applyFont="1"/>
    <xf numFmtId="185" fontId="0" fillId="0" borderId="0" xfId="0" applyNumberFormat="1"/>
    <xf numFmtId="0" fontId="2" fillId="0" borderId="0" xfId="2" applyFont="1"/>
    <xf numFmtId="0" fontId="23" fillId="0" borderId="26" xfId="0" applyFont="1" applyBorder="1" applyAlignment="1">
      <alignment horizontal="center"/>
    </xf>
    <xf numFmtId="173" fontId="23" fillId="0" borderId="26" xfId="0" applyNumberFormat="1" applyFont="1" applyBorder="1" applyAlignment="1">
      <alignment horizontal="center"/>
    </xf>
    <xf numFmtId="173" fontId="23" fillId="0" borderId="39" xfId="0" applyNumberFormat="1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173" fontId="23" fillId="0" borderId="22" xfId="0" applyNumberFormat="1" applyFont="1" applyBorder="1" applyAlignment="1">
      <alignment horizontal="center"/>
    </xf>
    <xf numFmtId="173" fontId="23" fillId="0" borderId="31" xfId="0" applyNumberFormat="1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173" fontId="23" fillId="0" borderId="24" xfId="0" applyNumberFormat="1" applyFont="1" applyBorder="1" applyAlignment="1">
      <alignment horizontal="center"/>
    </xf>
    <xf numFmtId="173" fontId="23" fillId="0" borderId="40" xfId="0" applyNumberFormat="1" applyFont="1" applyBorder="1" applyAlignment="1">
      <alignment horizontal="center"/>
    </xf>
    <xf numFmtId="2" fontId="23" fillId="0" borderId="39" xfId="0" applyNumberFormat="1" applyFont="1" applyBorder="1" applyAlignment="1">
      <alignment horizontal="center"/>
    </xf>
    <xf numFmtId="168" fontId="23" fillId="0" borderId="22" xfId="0" applyNumberFormat="1" applyFont="1" applyBorder="1" applyAlignment="1">
      <alignment horizontal="center"/>
    </xf>
    <xf numFmtId="168" fontId="23" fillId="0" borderId="39" xfId="0" applyNumberFormat="1" applyFont="1" applyBorder="1" applyAlignment="1">
      <alignment horizontal="center"/>
    </xf>
    <xf numFmtId="168" fontId="23" fillId="0" borderId="31" xfId="0" applyNumberFormat="1" applyFont="1" applyBorder="1" applyAlignment="1">
      <alignment horizontal="center"/>
    </xf>
    <xf numFmtId="169" fontId="23" fillId="0" borderId="31" xfId="0" applyNumberFormat="1" applyFont="1" applyBorder="1" applyAlignment="1">
      <alignment horizontal="center"/>
    </xf>
    <xf numFmtId="164" fontId="23" fillId="0" borderId="40" xfId="0" applyNumberFormat="1" applyFont="1" applyBorder="1" applyAlignment="1">
      <alignment horizontal="center"/>
    </xf>
    <xf numFmtId="2" fontId="23" fillId="0" borderId="24" xfId="0" applyNumberFormat="1" applyFont="1" applyBorder="1" applyAlignment="1">
      <alignment horizontal="center"/>
    </xf>
    <xf numFmtId="2" fontId="23" fillId="0" borderId="4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73" fontId="23" fillId="0" borderId="0" xfId="0" applyNumberFormat="1" applyFont="1" applyBorder="1" applyAlignment="1">
      <alignment horizontal="center"/>
    </xf>
    <xf numFmtId="168" fontId="23" fillId="0" borderId="0" xfId="0" applyNumberFormat="1" applyFont="1" applyBorder="1" applyAlignment="1">
      <alignment horizontal="center"/>
    </xf>
    <xf numFmtId="165" fontId="23" fillId="0" borderId="22" xfId="0" applyNumberFormat="1" applyFont="1" applyBorder="1" applyAlignment="1">
      <alignment horizontal="center"/>
    </xf>
    <xf numFmtId="168" fontId="23" fillId="0" borderId="24" xfId="0" applyNumberFormat="1" applyFont="1" applyBorder="1" applyAlignment="1">
      <alignment horizontal="center"/>
    </xf>
    <xf numFmtId="0" fontId="2" fillId="0" borderId="0" xfId="0" applyFont="1"/>
    <xf numFmtId="14" fontId="0" fillId="14" borderId="0" xfId="0" applyNumberFormat="1" applyFill="1" applyBorder="1"/>
    <xf numFmtId="0" fontId="0" fillId="14" borderId="0" xfId="0" applyFill="1" applyBorder="1"/>
    <xf numFmtId="168" fontId="0" fillId="14" borderId="0" xfId="0" applyNumberFormat="1" applyFill="1" applyBorder="1"/>
    <xf numFmtId="173" fontId="0" fillId="14" borderId="0" xfId="0" applyNumberFormat="1" applyFill="1" applyBorder="1"/>
    <xf numFmtId="2" fontId="0" fillId="14" borderId="0" xfId="0" applyNumberFormat="1" applyFill="1" applyBorder="1"/>
    <xf numFmtId="0" fontId="2" fillId="4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18" xfId="0" applyFont="1" applyFill="1" applyBorder="1" applyAlignment="1">
      <alignment horizontal="center"/>
    </xf>
    <xf numFmtId="15" fontId="1" fillId="0" borderId="0" xfId="0" applyNumberFormat="1" applyFont="1"/>
    <xf numFmtId="0" fontId="2" fillId="0" borderId="0" xfId="0" applyFont="1" applyFill="1"/>
    <xf numFmtId="166" fontId="23" fillId="0" borderId="22" xfId="0" applyNumberFormat="1" applyFont="1" applyBorder="1" applyAlignment="1">
      <alignment horizontal="center"/>
    </xf>
    <xf numFmtId="186" fontId="23" fillId="0" borderId="24" xfId="0" applyNumberFormat="1" applyFont="1" applyBorder="1" applyAlignment="1">
      <alignment horizontal="center"/>
    </xf>
    <xf numFmtId="0" fontId="2" fillId="0" borderId="0" xfId="0" applyFont="1" applyFill="1" applyBorder="1"/>
    <xf numFmtId="0" fontId="2" fillId="8" borderId="0" xfId="0" applyFont="1" applyFill="1" applyAlignment="1">
      <alignment horizontal="center"/>
    </xf>
    <xf numFmtId="173" fontId="0" fillId="15" borderId="0" xfId="0" applyNumberFormat="1" applyFill="1" applyAlignment="1">
      <alignment horizontal="center"/>
    </xf>
    <xf numFmtId="168" fontId="0" fillId="15" borderId="0" xfId="0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0" fontId="1" fillId="0" borderId="0" xfId="0" applyFont="1"/>
    <xf numFmtId="168" fontId="0" fillId="17" borderId="0" xfId="0" applyNumberFormat="1" applyFill="1"/>
    <xf numFmtId="0" fontId="0" fillId="18" borderId="0" xfId="0" applyFill="1"/>
    <xf numFmtId="22" fontId="0" fillId="0" borderId="0" xfId="0" applyNumberFormat="1"/>
    <xf numFmtId="0" fontId="0" fillId="16" borderId="0" xfId="0" applyFill="1"/>
    <xf numFmtId="2" fontId="0" fillId="16" borderId="0" xfId="0" applyNumberFormat="1" applyFill="1"/>
    <xf numFmtId="0" fontId="2" fillId="2" borderId="0" xfId="0" applyFont="1" applyFill="1" applyAlignment="1">
      <alignment horizontal="left"/>
    </xf>
    <xf numFmtId="0" fontId="2" fillId="9" borderId="0" xfId="0" applyFont="1" applyFill="1"/>
    <xf numFmtId="15" fontId="2" fillId="9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2" fillId="4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6" borderId="41" xfId="0" applyFill="1" applyBorder="1"/>
    <xf numFmtId="0" fontId="2" fillId="19" borderId="18" xfId="0" applyFont="1" applyFill="1" applyBorder="1"/>
    <xf numFmtId="170" fontId="2" fillId="6" borderId="18" xfId="0" applyNumberFormat="1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0" fillId="19" borderId="18" xfId="0" applyFill="1" applyBorder="1"/>
    <xf numFmtId="187" fontId="0" fillId="6" borderId="18" xfId="0" applyNumberFormat="1" applyFill="1" applyBorder="1" applyProtection="1">
      <protection locked="0"/>
    </xf>
    <xf numFmtId="11" fontId="0" fillId="19" borderId="18" xfId="0" applyNumberFormat="1" applyFill="1" applyBorder="1"/>
    <xf numFmtId="1" fontId="0" fillId="19" borderId="18" xfId="0" applyNumberFormat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188" fontId="0" fillId="6" borderId="18" xfId="0" applyNumberFormat="1" applyFill="1" applyBorder="1" applyProtection="1">
      <protection locked="0"/>
    </xf>
    <xf numFmtId="189" fontId="0" fillId="6" borderId="18" xfId="0" applyNumberFormat="1" applyFill="1" applyBorder="1" applyProtection="1">
      <protection locked="0"/>
    </xf>
    <xf numFmtId="0" fontId="2" fillId="20" borderId="0" xfId="0" applyFont="1" applyFill="1"/>
    <xf numFmtId="173" fontId="0" fillId="20" borderId="0" xfId="0" applyNumberFormat="1" applyFill="1"/>
    <xf numFmtId="0" fontId="0" fillId="20" borderId="0" xfId="0" applyFill="1"/>
    <xf numFmtId="11" fontId="0" fillId="20" borderId="0" xfId="0" applyNumberFormat="1" applyFill="1"/>
    <xf numFmtId="165" fontId="0" fillId="20" borderId="0" xfId="0" applyNumberFormat="1" applyFill="1"/>
    <xf numFmtId="164" fontId="0" fillId="20" borderId="0" xfId="0" applyNumberFormat="1" applyFill="1"/>
    <xf numFmtId="2" fontId="0" fillId="20" borderId="0" xfId="0" applyNumberFormat="1" applyFill="1"/>
    <xf numFmtId="166" fontId="0" fillId="20" borderId="0" xfId="0" applyNumberFormat="1" applyFill="1"/>
    <xf numFmtId="168" fontId="0" fillId="20" borderId="0" xfId="0" applyNumberFormat="1" applyFill="1"/>
    <xf numFmtId="169" fontId="0" fillId="20" borderId="0" xfId="0" applyNumberFormat="1" applyFill="1"/>
    <xf numFmtId="0" fontId="0" fillId="4" borderId="43" xfId="0" applyFill="1" applyBorder="1" applyAlignment="1">
      <alignment horizontal="center"/>
    </xf>
    <xf numFmtId="0" fontId="26" fillId="0" borderId="0" xfId="0" applyFont="1" applyAlignment="1">
      <alignment horizontal="center"/>
    </xf>
    <xf numFmtId="0" fontId="27" fillId="0" borderId="19" xfId="0" applyFont="1" applyBorder="1" applyAlignment="1">
      <alignment horizontal="center" vertical="top" wrapText="1"/>
    </xf>
    <xf numFmtId="0" fontId="27" fillId="0" borderId="0" xfId="0" applyFont="1" applyAlignment="1">
      <alignment horizontal="center"/>
    </xf>
    <xf numFmtId="190" fontId="27" fillId="0" borderId="0" xfId="0" applyNumberFormat="1" applyFont="1" applyAlignment="1">
      <alignment horizontal="right"/>
    </xf>
    <xf numFmtId="173" fontId="27" fillId="0" borderId="0" xfId="0" applyNumberFormat="1" applyFont="1" applyAlignment="1">
      <alignment horizontal="center"/>
    </xf>
    <xf numFmtId="191" fontId="27" fillId="0" borderId="0" xfId="0" applyNumberFormat="1" applyFont="1" applyAlignment="1">
      <alignment horizontal="right"/>
    </xf>
    <xf numFmtId="0" fontId="27" fillId="0" borderId="0" xfId="0" applyFont="1" applyBorder="1" applyAlignment="1">
      <alignment horizontal="center" vertical="top" wrapText="1"/>
    </xf>
    <xf numFmtId="192" fontId="27" fillId="0" borderId="0" xfId="0" applyNumberFormat="1" applyFont="1" applyAlignment="1">
      <alignment horizontal="right"/>
    </xf>
    <xf numFmtId="193" fontId="27" fillId="0" borderId="0" xfId="0" applyNumberFormat="1" applyFont="1" applyAlignment="1">
      <alignment horizontal="right"/>
    </xf>
    <xf numFmtId="194" fontId="27" fillId="0" borderId="0" xfId="0" applyNumberFormat="1" applyFont="1" applyAlignment="1">
      <alignment horizontal="right"/>
    </xf>
    <xf numFmtId="195" fontId="27" fillId="0" borderId="0" xfId="0" applyNumberFormat="1" applyFont="1" applyAlignment="1">
      <alignment horizontal="right"/>
    </xf>
    <xf numFmtId="0" fontId="0" fillId="21" borderId="0" xfId="0" applyFill="1"/>
    <xf numFmtId="196" fontId="27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197" fontId="27" fillId="0" borderId="0" xfId="0" applyNumberFormat="1" applyFont="1" applyAlignment="1">
      <alignment horizontal="right"/>
    </xf>
    <xf numFmtId="198" fontId="27" fillId="0" borderId="0" xfId="0" applyNumberFormat="1" applyFont="1" applyAlignment="1">
      <alignment horizontal="right"/>
    </xf>
    <xf numFmtId="199" fontId="27" fillId="0" borderId="0" xfId="0" applyNumberFormat="1" applyFont="1" applyAlignment="1">
      <alignment horizontal="right"/>
    </xf>
    <xf numFmtId="0" fontId="0" fillId="6" borderId="18" xfId="0" applyFill="1" applyBorder="1" applyAlignment="1" applyProtection="1">
      <alignment horizontal="right"/>
      <protection locked="0"/>
    </xf>
    <xf numFmtId="0" fontId="2" fillId="22" borderId="0" xfId="0" applyFont="1" applyFill="1"/>
    <xf numFmtId="0" fontId="0" fillId="22" borderId="0" xfId="0" applyFill="1"/>
    <xf numFmtId="0" fontId="28" fillId="23" borderId="44" xfId="4"/>
    <xf numFmtId="0" fontId="28" fillId="23" borderId="44" xfId="4" applyAlignment="1">
      <alignment horizontal="center"/>
    </xf>
    <xf numFmtId="0" fontId="5" fillId="0" borderId="22" xfId="0" applyFont="1" applyBorder="1"/>
    <xf numFmtId="0" fontId="2" fillId="9" borderId="0" xfId="0" applyFont="1" applyFill="1" applyBorder="1"/>
    <xf numFmtId="0" fontId="2" fillId="24" borderId="0" xfId="0" applyFont="1" applyFill="1"/>
    <xf numFmtId="0" fontId="0" fillId="24" borderId="0" xfId="0" applyFill="1"/>
    <xf numFmtId="11" fontId="0" fillId="0" borderId="0" xfId="0" applyNumberFormat="1"/>
  </cellXfs>
  <cellStyles count="5">
    <cellStyle name="Calculation" xfId="4" builtinId="22"/>
    <cellStyle name="Heading 2" xfId="1" builtinId="17" customBuiltin="1"/>
    <cellStyle name="Normal" xfId="0" builtinId="0"/>
    <cellStyle name="Normal_Uncertainty" xfId="2" xr:uid="{00000000-0005-0000-0000-000002000000}"/>
    <cellStyle name="Normal_Universal Bridge" xfId="3" xr:uid="{00000000-0005-0000-0000-000003000000}"/>
  </cellStyles>
  <dxfs count="2"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Bridge'!$M$2:$M$12</c:f>
              <c:numCache>
                <c:formatCode>General</c:formatCode>
                <c:ptCount val="11"/>
                <c:pt idx="0">
                  <c:v>32</c:v>
                </c:pt>
                <c:pt idx="1">
                  <c:v>123.32</c:v>
                </c:pt>
                <c:pt idx="2">
                  <c:v>133</c:v>
                </c:pt>
                <c:pt idx="3">
                  <c:v>127.40600000000001</c:v>
                </c:pt>
                <c:pt idx="4">
                  <c:v>135.27000000000001</c:v>
                </c:pt>
                <c:pt idx="5" formatCode="0.0">
                  <c:v>124.15653400852065</c:v>
                </c:pt>
                <c:pt idx="6" formatCode="0.0">
                  <c:v>131.71484972722556</c:v>
                </c:pt>
                <c:pt idx="7" formatCode="0.0">
                  <c:v>123.9</c:v>
                </c:pt>
                <c:pt idx="8" formatCode="0.00">
                  <c:v>129.44934972722558</c:v>
                </c:pt>
                <c:pt idx="9">
                  <c:v>130.29869400282834</c:v>
                </c:pt>
                <c:pt idx="10">
                  <c:v>143.10000000006261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0-4B40-A530-EAAB164EBDDC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Bridge'!$N$2:$N$12</c:f>
              <c:numCache>
                <c:formatCode>General</c:formatCode>
                <c:ptCount val="11"/>
                <c:pt idx="0">
                  <c:v>30.1</c:v>
                </c:pt>
                <c:pt idx="1">
                  <c:v>35</c:v>
                </c:pt>
                <c:pt idx="2">
                  <c:v>37</c:v>
                </c:pt>
                <c:pt idx="3">
                  <c:v>40.340000000000003</c:v>
                </c:pt>
                <c:pt idx="4" formatCode="0">
                  <c:v>43.374148761358811</c:v>
                </c:pt>
                <c:pt idx="5" formatCode="0.0">
                  <c:v>46.005999473575088</c:v>
                </c:pt>
                <c:pt idx="6" formatCode="0.0">
                  <c:v>47.52000000007861</c:v>
                </c:pt>
                <c:pt idx="7" formatCode="0.0">
                  <c:v>47.52000000007861</c:v>
                </c:pt>
                <c:pt idx="8">
                  <c:v>46.540000000261372</c:v>
                </c:pt>
                <c:pt idx="9">
                  <c:v>50.874703493297702</c:v>
                </c:pt>
                <c:pt idx="10">
                  <c:v>54.126077194238675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0-4B40-A530-EAAB164EBDDC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Bridge'!$O$2:$O$12</c:f>
              <c:numCache>
                <c:formatCode>General</c:formatCode>
                <c:ptCount val="11"/>
                <c:pt idx="0">
                  <c:v>-12</c:v>
                </c:pt>
                <c:pt idx="1">
                  <c:v>-12</c:v>
                </c:pt>
                <c:pt idx="2">
                  <c:v>-14</c:v>
                </c:pt>
                <c:pt idx="3" formatCode="0.0">
                  <c:v>-17.21</c:v>
                </c:pt>
                <c:pt idx="4" formatCode="0.0">
                  <c:v>-16.35231834356091</c:v>
                </c:pt>
                <c:pt idx="5" formatCode="0.0">
                  <c:v>-17.319750828058801</c:v>
                </c:pt>
                <c:pt idx="6" formatCode="0.0">
                  <c:v>-16.235999999891781</c:v>
                </c:pt>
                <c:pt idx="7" formatCode="0.0">
                  <c:v>-16.235999999891781</c:v>
                </c:pt>
                <c:pt idx="8">
                  <c:v>-16.960000000287856</c:v>
                </c:pt>
                <c:pt idx="9">
                  <c:v>-14.104296506833869</c:v>
                </c:pt>
                <c:pt idx="10">
                  <c:v>-9.8547183057240417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0-4B40-A530-EAAB164EBDDC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Bridge'!$P$2:$P$12</c:f>
              <c:numCache>
                <c:formatCode>General</c:formatCode>
                <c:ptCount val="11"/>
                <c:pt idx="0">
                  <c:v>53</c:v>
                </c:pt>
                <c:pt idx="1">
                  <c:v>#N/A</c:v>
                </c:pt>
                <c:pt idx="2">
                  <c:v>61</c:v>
                </c:pt>
                <c:pt idx="3">
                  <c:v>52</c:v>
                </c:pt>
                <c:pt idx="4" formatCode="0">
                  <c:v>67.003866063780151</c:v>
                </c:pt>
                <c:pt idx="5" formatCode="0.0">
                  <c:v>64.090992469401087</c:v>
                </c:pt>
                <c:pt idx="6" formatCode="0.0">
                  <c:v>63.740000000089836</c:v>
                </c:pt>
                <c:pt idx="7" formatCode="0.0">
                  <c:v>63.740000000089836</c:v>
                </c:pt>
                <c:pt idx="8">
                  <c:v>61.50000000015865</c:v>
                </c:pt>
                <c:pt idx="9">
                  <c:v>64.524703493384905</c:v>
                </c:pt>
                <c:pt idx="10">
                  <c:v>67.19327719428847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0-4B40-A530-EAAB164EBDDC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0-4B40-A530-EAAB164EBDDC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Bridge'!$R$2:$R$12</c:f>
              <c:numCache>
                <c:formatCode>General</c:formatCode>
                <c:ptCount val="11"/>
                <c:pt idx="0">
                  <c:v>8.6999999999999993</c:v>
                </c:pt>
                <c:pt idx="1">
                  <c:v>4</c:v>
                </c:pt>
                <c:pt idx="2">
                  <c:v>6</c:v>
                </c:pt>
                <c:pt idx="3" formatCode="0.0">
                  <c:v>6.21</c:v>
                </c:pt>
                <c:pt idx="4" formatCode="0.0">
                  <c:v>6.6891116768238135</c:v>
                </c:pt>
                <c:pt idx="5" formatCode="0.0">
                  <c:v>7.47625082806357</c:v>
                </c:pt>
                <c:pt idx="6" formatCode="0.0">
                  <c:v>7.5959999999986039</c:v>
                </c:pt>
                <c:pt idx="7" formatCode="0.0">
                  <c:v>7.5959999999986039</c:v>
                </c:pt>
                <c:pt idx="8">
                  <c:v>9.0000000000367564</c:v>
                </c:pt>
                <c:pt idx="9">
                  <c:v>7.4752965067981236</c:v>
                </c:pt>
                <c:pt idx="10">
                  <c:v>7.496058305744846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30-4B40-A530-EAAB164EBDDC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30-4B40-A530-EAAB164EB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83552"/>
        <c:axId val="155785088"/>
      </c:scatterChart>
      <c:valAx>
        <c:axId val="155783552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5785088"/>
        <c:crosses val="autoZero"/>
        <c:crossBetween val="midCat"/>
      </c:valAx>
      <c:valAx>
        <c:axId val="15578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783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Bridge'!$Y$2:$Y$12</c:f>
              <c:numCache>
                <c:formatCode>General</c:formatCode>
                <c:ptCount val="11"/>
                <c:pt idx="0">
                  <c:v>-91.32</c:v>
                </c:pt>
                <c:pt idx="1">
                  <c:v>0</c:v>
                </c:pt>
                <c:pt idx="2">
                  <c:v>9.6800000000000068</c:v>
                </c:pt>
                <c:pt idx="3">
                  <c:v>4.0860000000000127</c:v>
                </c:pt>
                <c:pt idx="4">
                  <c:v>11.950000000000017</c:v>
                </c:pt>
                <c:pt idx="5">
                  <c:v>0.83653400852065829</c:v>
                </c:pt>
                <c:pt idx="6">
                  <c:v>8.3948497272255622</c:v>
                </c:pt>
                <c:pt idx="7">
                  <c:v>0.58000000000001251</c:v>
                </c:pt>
                <c:pt idx="8">
                  <c:v>6.1293497272255877</c:v>
                </c:pt>
                <c:pt idx="9">
                  <c:v>6.9786940028283482</c:v>
                </c:pt>
                <c:pt idx="10">
                  <c:v>19.780000000062614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6-4FC3-B2A5-5BD0B993C67E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Bridge'!$Z$2:$Z$12</c:f>
              <c:numCache>
                <c:formatCode>General</c:formatCode>
                <c:ptCount val="11"/>
                <c:pt idx="0">
                  <c:v>0</c:v>
                </c:pt>
                <c:pt idx="1">
                  <c:v>4.8999999999999986</c:v>
                </c:pt>
                <c:pt idx="2">
                  <c:v>6.8999999999999986</c:v>
                </c:pt>
                <c:pt idx="3">
                  <c:v>10.240000000000002</c:v>
                </c:pt>
                <c:pt idx="4">
                  <c:v>13.274148761358809</c:v>
                </c:pt>
                <c:pt idx="5">
                  <c:v>15.905999473575086</c:v>
                </c:pt>
                <c:pt idx="6">
                  <c:v>17.420000000078609</c:v>
                </c:pt>
                <c:pt idx="7">
                  <c:v>17.420000000078609</c:v>
                </c:pt>
                <c:pt idx="8">
                  <c:v>16.440000000261371</c:v>
                </c:pt>
                <c:pt idx="9">
                  <c:v>20.7747034932977</c:v>
                </c:pt>
                <c:pt idx="10">
                  <c:v>24.026077194238674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6-4FC3-B2A5-5BD0B993C67E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-5.2100000000000009</c:v>
                </c:pt>
                <c:pt idx="4">
                  <c:v>-4.3523183435609099</c:v>
                </c:pt>
                <c:pt idx="5">
                  <c:v>-5.3197508280588011</c:v>
                </c:pt>
                <c:pt idx="6">
                  <c:v>-4.2359999998917814</c:v>
                </c:pt>
                <c:pt idx="7">
                  <c:v>-4.2359999998917814</c:v>
                </c:pt>
                <c:pt idx="8">
                  <c:v>-4.9600000002878559</c:v>
                </c:pt>
                <c:pt idx="9">
                  <c:v>-2.1042965068338688</c:v>
                </c:pt>
                <c:pt idx="10">
                  <c:v>2.1452816942759583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26-4FC3-B2A5-5BD0B993C67E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Bridge'!$AB$2:$AB$12</c:f>
              <c:numCache>
                <c:formatCode>General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8</c:v>
                </c:pt>
                <c:pt idx="3">
                  <c:v>-1</c:v>
                </c:pt>
                <c:pt idx="4">
                  <c:v>14.003866063780151</c:v>
                </c:pt>
                <c:pt idx="5">
                  <c:v>11.090992469401087</c:v>
                </c:pt>
                <c:pt idx="6">
                  <c:v>10.740000000089836</c:v>
                </c:pt>
                <c:pt idx="7">
                  <c:v>10.740000000089836</c:v>
                </c:pt>
                <c:pt idx="8">
                  <c:v>8.50000000015865</c:v>
                </c:pt>
                <c:pt idx="9">
                  <c:v>11.524703493384905</c:v>
                </c:pt>
                <c:pt idx="10">
                  <c:v>14.19327719428847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26-4FC3-B2A5-5BD0B993C67E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26-4FC3-B2A5-5BD0B993C67E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Bridge'!$AD$2:$AD$12</c:f>
              <c:numCache>
                <c:formatCode>General</c:formatCode>
                <c:ptCount val="11"/>
                <c:pt idx="0">
                  <c:v>0</c:v>
                </c:pt>
                <c:pt idx="1">
                  <c:v>-4.6999999999999993</c:v>
                </c:pt>
                <c:pt idx="2">
                  <c:v>-2.6999999999999993</c:v>
                </c:pt>
                <c:pt idx="3">
                  <c:v>-2.4899999999999993</c:v>
                </c:pt>
                <c:pt idx="4">
                  <c:v>-2.0108883231761858</c:v>
                </c:pt>
                <c:pt idx="5">
                  <c:v>-1.2237491719364293</c:v>
                </c:pt>
                <c:pt idx="6">
                  <c:v>-1.1040000000013954</c:v>
                </c:pt>
                <c:pt idx="7">
                  <c:v>-1.1040000000013954</c:v>
                </c:pt>
                <c:pt idx="8">
                  <c:v>0.30000000003675709</c:v>
                </c:pt>
                <c:pt idx="9">
                  <c:v>-1.2247034932018757</c:v>
                </c:pt>
                <c:pt idx="10">
                  <c:v>-1.2039416942551533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426-4FC3-B2A5-5BD0B993C67E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26-4FC3-B2A5-5BD0B993C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26432"/>
        <c:axId val="155832320"/>
      </c:scatterChart>
      <c:valAx>
        <c:axId val="155826432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5832320"/>
        <c:crosses val="autoZero"/>
        <c:crossBetween val="midCat"/>
      </c:valAx>
      <c:valAx>
        <c:axId val="155832320"/>
        <c:scaling>
          <c:orientation val="minMax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826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'HP History'!$A$129</c:f>
          <c:strCache>
            <c:ptCount val="1"/>
            <c:pt idx="0">
              <c:v>HP 16387A 1 µF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'HP History'!$B$130</c:f>
              <c:strCache>
                <c:ptCount val="1"/>
                <c:pt idx="0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History'!$C$131:$C$138</c:f>
                <c:numCache>
                  <c:formatCode>General</c:formatCode>
                  <c:ptCount val="8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</c:numCache>
              </c:numRef>
            </c:plus>
            <c:minus>
              <c:numRef>
                <c:f>'HP History'!$C$131:$C$138</c:f>
                <c:numCache>
                  <c:formatCode>General</c:formatCode>
                  <c:ptCount val="8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</c:numCache>
              </c:numRef>
            </c:minus>
            <c:spPr>
              <a:ln w="317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History'!$A$131:$A$138</c:f>
              <c:numCache>
                <c:formatCode>m/d/yyyy</c:formatCode>
                <c:ptCount val="8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</c:numCache>
            </c:numRef>
          </c:xVal>
          <c:yVal>
            <c:numRef>
              <c:f>'HP History'!$B$131:$B$138</c:f>
              <c:numCache>
                <c:formatCode>0.00000</c:formatCode>
                <c:ptCount val="8"/>
                <c:pt idx="0">
                  <c:v>0.99983999999999995</c:v>
                </c:pt>
                <c:pt idx="1">
                  <c:v>0.99985999999999997</c:v>
                </c:pt>
                <c:pt idx="2">
                  <c:v>0.99985000000000002</c:v>
                </c:pt>
                <c:pt idx="3">
                  <c:v>0.99988999999999995</c:v>
                </c:pt>
                <c:pt idx="4">
                  <c:v>0.99987999999999999</c:v>
                </c:pt>
                <c:pt idx="5">
                  <c:v>0.9998881970720439</c:v>
                </c:pt>
                <c:pt idx="6">
                  <c:v>0.99990093687267345</c:v>
                </c:pt>
                <c:pt idx="7">
                  <c:v>0.9999044961601945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1-4E45-82D3-FFC8A6B66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9168"/>
        <c:axId val="154760704"/>
      </c:scatterChart>
      <c:scatterChart>
        <c:scatterStyle val="lineMarker"/>
        <c:varyColors val="0"/>
        <c:ser>
          <c:idx val="1"/>
          <c:order val="1"/>
          <c:tx>
            <c:strRef>
              <c:f>'HP History'!$D$130</c:f>
              <c:strCache>
                <c:ptCount val="1"/>
                <c:pt idx="0">
                  <c:v>delta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History'!$E$131:$E$138</c:f>
                <c:numCache>
                  <c:formatCode>General</c:formatCode>
                  <c:ptCount val="8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</c:numCache>
              </c:numRef>
            </c:plus>
            <c:minus>
              <c:numRef>
                <c:f>'HP History'!$E$131:$E$138</c:f>
                <c:numCache>
                  <c:formatCode>General</c:formatCode>
                  <c:ptCount val="8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History'!$A$131:$A$138</c:f>
              <c:numCache>
                <c:formatCode>m/d/yyyy</c:formatCode>
                <c:ptCount val="8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</c:numCache>
            </c:numRef>
          </c:xVal>
          <c:yVal>
            <c:numRef>
              <c:f>'HP History'!$D$131:$D$138</c:f>
              <c:numCache>
                <c:formatCode>0.00000</c:formatCode>
                <c:ptCount val="8"/>
                <c:pt idx="0">
                  <c:v>0.18</c:v>
                </c:pt>
                <c:pt idx="1">
                  <c:v>0.17499999999999999</c:v>
                </c:pt>
                <c:pt idx="2">
                  <c:v>0.17599999999999999</c:v>
                </c:pt>
                <c:pt idx="3">
                  <c:v>0.17</c:v>
                </c:pt>
                <c:pt idx="4">
                  <c:v>0.16</c:v>
                </c:pt>
                <c:pt idx="5">
                  <c:v>0.16474294827471472</c:v>
                </c:pt>
                <c:pt idx="6">
                  <c:v>0.17111407920585317</c:v>
                </c:pt>
                <c:pt idx="7">
                  <c:v>0.17091143732418621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D1-4E45-82D3-FFC8A6B66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64032"/>
        <c:axId val="154762240"/>
      </c:scatterChart>
      <c:valAx>
        <c:axId val="154759168"/>
        <c:scaling>
          <c:orientation val="minMax"/>
          <c:max val="42000"/>
          <c:min val="34000"/>
        </c:scaling>
        <c:delete val="0"/>
        <c:axPos val="b"/>
        <c:numFmt formatCode="m/d/yyyy" sourceLinked="1"/>
        <c:majorTickMark val="out"/>
        <c:minorTickMark val="none"/>
        <c:tickLblPos val="nextTo"/>
        <c:crossAx val="154760704"/>
        <c:crosses val="autoZero"/>
        <c:crossBetween val="midCat"/>
      </c:valAx>
      <c:valAx>
        <c:axId val="154760704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54759168"/>
        <c:crosses val="autoZero"/>
        <c:crossBetween val="midCat"/>
      </c:valAx>
      <c:valAx>
        <c:axId val="154762240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crossAx val="154764032"/>
        <c:crosses val="max"/>
        <c:crossBetween val="midCat"/>
      </c:valAx>
      <c:valAx>
        <c:axId val="1547640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476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400050</xdr:colOff>
      <xdr:row>23</xdr:row>
      <xdr:rowOff>142875</xdr:rowOff>
    </xdr:from>
    <xdr:to>
      <xdr:col>34</xdr:col>
      <xdr:colOff>200025</xdr:colOff>
      <xdr:row>47</xdr:row>
      <xdr:rowOff>95250</xdr:rowOff>
    </xdr:to>
    <xdr:graphicFrame macro="">
      <xdr:nvGraphicFramePr>
        <xdr:cNvPr id="1110" name="Chart 1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50</xdr:row>
      <xdr:rowOff>0</xdr:rowOff>
    </xdr:from>
    <xdr:to>
      <xdr:col>34</xdr:col>
      <xdr:colOff>409575</xdr:colOff>
      <xdr:row>73</xdr:row>
      <xdr:rowOff>133350</xdr:rowOff>
    </xdr:to>
    <xdr:graphicFrame macro="">
      <xdr:nvGraphicFramePr>
        <xdr:cNvPr id="1111" name="Chart 7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40</xdr:row>
      <xdr:rowOff>95250</xdr:rowOff>
    </xdr:from>
    <xdr:to>
      <xdr:col>6</xdr:col>
      <xdr:colOff>502227</xdr:colOff>
      <xdr:row>51</xdr:row>
      <xdr:rowOff>147205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671205" y="7455477"/>
          <a:ext cx="3766704" cy="1861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Note the columns used</a:t>
          </a:r>
          <a:r>
            <a:rPr lang="en-NZ" sz="1100" baseline="0"/>
            <a:t> in vlookup for capacitance value.</a:t>
          </a:r>
        </a:p>
        <a:p>
          <a:r>
            <a:rPr lang="en-NZ" sz="1100" baseline="0"/>
            <a:t>1, 10 and 100 pF are column 12 with additonal range 7 correction.  The other caps go to column 5, the usual  UB calculation.</a:t>
          </a:r>
        </a:p>
        <a:p>
          <a:endParaRPr lang="en-NZ" sz="1100" baseline="0"/>
        </a:p>
        <a:p>
          <a:r>
            <a:rPr lang="en-NZ" sz="1100" baseline="0"/>
            <a:t>For loss angle</a:t>
          </a:r>
        </a:p>
        <a:p>
          <a:r>
            <a:rPr lang="en-NZ" sz="1100" baseline="0"/>
            <a:t>1, 10 and 100 are column 16, relying on AH2700.</a:t>
          </a:r>
        </a:p>
        <a:p>
          <a:r>
            <a:rPr lang="en-NZ" sz="1100" baseline="0"/>
            <a:t>1000 is column 13 using an additional 6Y correction.</a:t>
          </a:r>
        </a:p>
        <a:p>
          <a:r>
            <a:rPr lang="en-NZ" sz="1100" baseline="0"/>
            <a:t>The higher value caps are all column 10, the normal UB corrections.</a:t>
          </a:r>
        </a:p>
        <a:p>
          <a:endParaRPr lang="en-NZ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83</xdr:row>
      <xdr:rowOff>66675</xdr:rowOff>
    </xdr:from>
    <xdr:to>
      <xdr:col>17</xdr:col>
      <xdr:colOff>552450</xdr:colOff>
      <xdr:row>115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Work%20Space/Commercial%20Jobs/2021/Babcock/HP%2016380A_C_S22088_0146/S22088_HP%2016380A_C/UniversalBridge3_26_jan_21/FinalDecadeCa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.zhang\Documents\__1__Local%20of%20G_drive\Commercial%20Jobs\2021\Babcock\HP%2016380A_C_S22088_0146\trash\S22013%20HP%2016380%20Caps\PythonCalculations\S22013_v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.zhang\AppData\Local\Temp\Temp1_UniversalBridge3-master%20(2).zip\UniversalBridge3-master\CoaxC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pyUBreadings"/>
      <sheetName val="room_logger"/>
      <sheetName val="pyUBresults"/>
      <sheetName val="AH2700_data"/>
      <sheetName val="AH2700_cal"/>
      <sheetName val="pyAH2700readings"/>
      <sheetName val="report"/>
      <sheetName val="older"/>
      <sheetName val="pyAH2700results"/>
    </sheetNames>
    <sheetDataSet>
      <sheetData sheetId="0"/>
      <sheetData sheetId="1"/>
      <sheetData sheetId="2"/>
      <sheetData sheetId="3">
        <row r="3">
          <cell r="A3" t="str">
            <v>box_zero</v>
          </cell>
          <cell r="B3">
            <v>1591.5</v>
          </cell>
          <cell r="C3" t="str">
            <v>3Y</v>
          </cell>
          <cell r="D3">
            <v>49</v>
          </cell>
          <cell r="E3">
            <v>0</v>
          </cell>
          <cell r="F3">
            <v>1591.5</v>
          </cell>
          <cell r="G3">
            <v>19.75</v>
          </cell>
          <cell r="H3">
            <v>0.5</v>
          </cell>
          <cell r="I3">
            <v>10</v>
          </cell>
          <cell r="J3">
            <v>0</v>
          </cell>
          <cell r="K3">
            <v>6.9999999999999994E-5</v>
          </cell>
          <cell r="L3">
            <v>10</v>
          </cell>
          <cell r="M3">
            <v>0</v>
          </cell>
          <cell r="N3">
            <v>1E-4</v>
          </cell>
          <cell r="O3">
            <v>10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2.9378645118936909E-15</v>
          </cell>
          <cell r="U3">
            <v>2.446911848791681</v>
          </cell>
          <cell r="V3">
            <v>0</v>
          </cell>
          <cell r="W3">
            <v>0</v>
          </cell>
          <cell r="X3">
            <v>0</v>
          </cell>
          <cell r="Y3">
            <v>1.203764731820176E-15</v>
          </cell>
          <cell r="Z3">
            <v>1.5930697163018918E-11</v>
          </cell>
          <cell r="AA3">
            <v>0</v>
          </cell>
          <cell r="AB3">
            <v>1.8441531351895689E-4</v>
          </cell>
          <cell r="AC3" t="str">
            <v>box_zero1591.5</v>
          </cell>
          <cell r="AD3">
            <v>1000</v>
          </cell>
          <cell r="AE3">
            <v>0</v>
          </cell>
          <cell r="AF3">
            <v>2.9378645118936911E-12</v>
          </cell>
          <cell r="AG3">
            <v>2.446911848791681</v>
          </cell>
          <cell r="AH3">
            <v>1000000</v>
          </cell>
          <cell r="AI3">
            <v>0</v>
          </cell>
          <cell r="AJ3">
            <v>0</v>
          </cell>
          <cell r="AK3">
            <v>0</v>
          </cell>
          <cell r="AL3">
            <v>1591.5</v>
          </cell>
        </row>
        <row r="4">
          <cell r="A4" t="str">
            <v>A1</v>
          </cell>
          <cell r="B4">
            <v>1591.5</v>
          </cell>
          <cell r="C4" t="str">
            <v>3Y</v>
          </cell>
          <cell r="D4">
            <v>100013</v>
          </cell>
          <cell r="E4">
            <v>40</v>
          </cell>
          <cell r="F4">
            <v>1591.5</v>
          </cell>
          <cell r="G4">
            <v>19.760000000000002</v>
          </cell>
          <cell r="H4">
            <v>0.5</v>
          </cell>
          <cell r="I4">
            <v>10</v>
          </cell>
          <cell r="J4">
            <v>0</v>
          </cell>
          <cell r="K4">
            <v>6.9999999999999994E-5</v>
          </cell>
          <cell r="L4">
            <v>10</v>
          </cell>
          <cell r="M4">
            <v>0</v>
          </cell>
          <cell r="N4">
            <v>1E-4</v>
          </cell>
          <cell r="O4">
            <v>10</v>
          </cell>
          <cell r="P4">
            <v>9.9973006278505333E-8</v>
          </cell>
          <cell r="Q4">
            <v>1.197598162114327E-11</v>
          </cell>
          <cell r="R4">
            <v>2.0230650120073381</v>
          </cell>
          <cell r="S4">
            <v>3.9998452085935639E-8</v>
          </cell>
          <cell r="T4">
            <v>5.6571954908633601E-8</v>
          </cell>
          <cell r="U4">
            <v>2.0153724128065238</v>
          </cell>
          <cell r="V4">
            <v>4.0010494732456023E-5</v>
          </cell>
          <cell r="W4">
            <v>5.6588987478351721E-5</v>
          </cell>
          <cell r="X4">
            <v>2.0153724130026269</v>
          </cell>
          <cell r="Y4">
            <v>2.2006099028589379E-12</v>
          </cell>
          <cell r="Z4">
            <v>2.700780404293831E-8</v>
          </cell>
          <cell r="AA4">
            <v>5.4421192986474294</v>
          </cell>
          <cell r="AB4">
            <v>2.0946521538253453</v>
          </cell>
          <cell r="AC4" t="str">
            <v>A11591.5</v>
          </cell>
          <cell r="AD4">
            <v>1000</v>
          </cell>
          <cell r="AE4">
            <v>3.9998452085935642E-5</v>
          </cell>
          <cell r="AF4">
            <v>5.6571954908633602E-5</v>
          </cell>
          <cell r="AG4">
            <v>2.0153724128065238</v>
          </cell>
          <cell r="AH4">
            <v>1000000</v>
          </cell>
          <cell r="AI4">
            <v>9.9973006278505333E-2</v>
          </cell>
          <cell r="AJ4">
            <v>1.197598162114327E-5</v>
          </cell>
          <cell r="AK4">
            <v>2.0230650120073381</v>
          </cell>
          <cell r="AL4">
            <v>1591.5</v>
          </cell>
        </row>
        <row r="5">
          <cell r="A5" t="str">
            <v>A2</v>
          </cell>
          <cell r="B5">
            <v>1591.5</v>
          </cell>
          <cell r="C5" t="str">
            <v>3Y</v>
          </cell>
          <cell r="D5">
            <v>200413</v>
          </cell>
          <cell r="E5">
            <v>90</v>
          </cell>
          <cell r="F5">
            <v>1591.5</v>
          </cell>
          <cell r="G5">
            <v>19.75</v>
          </cell>
          <cell r="H5">
            <v>0.5</v>
          </cell>
          <cell r="I5">
            <v>10</v>
          </cell>
          <cell r="J5">
            <v>0</v>
          </cell>
          <cell r="K5">
            <v>6.9999999999999994E-5</v>
          </cell>
          <cell r="L5">
            <v>10</v>
          </cell>
          <cell r="M5">
            <v>0</v>
          </cell>
          <cell r="N5">
            <v>1E-4</v>
          </cell>
          <cell r="O5">
            <v>10</v>
          </cell>
          <cell r="P5">
            <v>2.0038205183852641E-7</v>
          </cell>
          <cell r="Q5">
            <v>2.2995484823086629E-11</v>
          </cell>
          <cell r="R5">
            <v>2.0380693592619141</v>
          </cell>
          <cell r="S5">
            <v>8.9996517193355192E-8</v>
          </cell>
          <cell r="T5">
            <v>9.2766368923906928E-8</v>
          </cell>
          <cell r="U5">
            <v>2.0596370828769399</v>
          </cell>
          <cell r="V5">
            <v>4.4913859100084212E-5</v>
          </cell>
          <cell r="W5">
            <v>4.6296187370135058E-5</v>
          </cell>
          <cell r="X5">
            <v>2.059637083777945</v>
          </cell>
          <cell r="Y5">
            <v>4.4096089051793999E-12</v>
          </cell>
          <cell r="Z5">
            <v>5.4117404338203008E-8</v>
          </cell>
          <cell r="AA5">
            <v>5.2148581240564882</v>
          </cell>
          <cell r="AB5">
            <v>1.7141688530397701</v>
          </cell>
          <cell r="AC5" t="str">
            <v>A21591.5</v>
          </cell>
          <cell r="AD5">
            <v>1000</v>
          </cell>
          <cell r="AE5">
            <v>8.9996517193355197E-5</v>
          </cell>
          <cell r="AF5">
            <v>9.2766368923906926E-5</v>
          </cell>
          <cell r="AG5">
            <v>2.0596370828769399</v>
          </cell>
          <cell r="AH5">
            <v>1000000</v>
          </cell>
          <cell r="AI5">
            <v>0.20038205183852642</v>
          </cell>
          <cell r="AJ5">
            <v>2.2995484823086631E-5</v>
          </cell>
          <cell r="AK5">
            <v>2.0380693592619141</v>
          </cell>
          <cell r="AL5">
            <v>1591.5</v>
          </cell>
        </row>
        <row r="6">
          <cell r="A6" t="str">
            <v>A3</v>
          </cell>
          <cell r="B6">
            <v>1591.5</v>
          </cell>
          <cell r="C6" t="str">
            <v>3Y</v>
          </cell>
          <cell r="D6">
            <v>300376</v>
          </cell>
          <cell r="E6">
            <v>119</v>
          </cell>
          <cell r="F6">
            <v>1591.5</v>
          </cell>
          <cell r="G6">
            <v>19.75</v>
          </cell>
          <cell r="H6">
            <v>0.5</v>
          </cell>
          <cell r="I6">
            <v>10</v>
          </cell>
          <cell r="J6">
            <v>0</v>
          </cell>
          <cell r="K6">
            <v>6.9999999999999994E-5</v>
          </cell>
          <cell r="L6">
            <v>10</v>
          </cell>
          <cell r="M6">
            <v>0</v>
          </cell>
          <cell r="N6">
            <v>1E-4</v>
          </cell>
          <cell r="O6">
            <v>10</v>
          </cell>
          <cell r="P6">
            <v>3.0035405802693651E-7</v>
          </cell>
          <cell r="Q6">
            <v>3.4162767074178807E-11</v>
          </cell>
          <cell r="R6">
            <v>2.041476135553304</v>
          </cell>
          <cell r="S6">
            <v>1.189953949556585E-7</v>
          </cell>
          <cell r="T6">
            <v>1.493350592472629E-7</v>
          </cell>
          <cell r="U6">
            <v>2.0927181556113328</v>
          </cell>
          <cell r="V6">
            <v>3.961960482713781E-5</v>
          </cell>
          <cell r="W6">
            <v>4.9721218502778812E-5</v>
          </cell>
          <cell r="X6">
            <v>2.0927181563098411</v>
          </cell>
          <cell r="Y6">
            <v>6.6089930413244221E-12</v>
          </cell>
          <cell r="Z6">
            <v>8.110900766803911E-8</v>
          </cell>
          <cell r="AA6">
            <v>5.169133461113872</v>
          </cell>
          <cell r="AB6">
            <v>1.8411649154734779</v>
          </cell>
          <cell r="AC6" t="str">
            <v>A31591.5</v>
          </cell>
          <cell r="AD6">
            <v>1000</v>
          </cell>
          <cell r="AE6">
            <v>1.1899539495565851E-4</v>
          </cell>
          <cell r="AF6">
            <v>1.4933505924726289E-4</v>
          </cell>
          <cell r="AG6">
            <v>2.0927181556113328</v>
          </cell>
          <cell r="AH6">
            <v>1000000</v>
          </cell>
          <cell r="AI6">
            <v>0.30035405802693649</v>
          </cell>
          <cell r="AJ6">
            <v>3.4162767074178809E-5</v>
          </cell>
          <cell r="AK6">
            <v>2.041476135553304</v>
          </cell>
          <cell r="AL6">
            <v>1591.5</v>
          </cell>
        </row>
        <row r="7">
          <cell r="A7" t="str">
            <v>A4</v>
          </cell>
          <cell r="B7">
            <v>1591.5</v>
          </cell>
          <cell r="C7" t="str">
            <v>3Y</v>
          </cell>
          <cell r="D7">
            <v>400767</v>
          </cell>
          <cell r="E7">
            <v>209</v>
          </cell>
          <cell r="F7">
            <v>1591.5</v>
          </cell>
          <cell r="G7">
            <v>19.75</v>
          </cell>
          <cell r="H7">
            <v>0.5</v>
          </cell>
          <cell r="I7">
            <v>10</v>
          </cell>
          <cell r="J7">
            <v>0</v>
          </cell>
          <cell r="K7">
            <v>6.9999999999999994E-5</v>
          </cell>
          <cell r="L7">
            <v>10</v>
          </cell>
          <cell r="M7">
            <v>0</v>
          </cell>
          <cell r="N7">
            <v>1E-4</v>
          </cell>
          <cell r="O7">
            <v>10</v>
          </cell>
          <cell r="P7">
            <v>4.0075410277610049E-7</v>
          </cell>
          <cell r="Q7">
            <v>4.5438739054445457E-11</v>
          </cell>
          <cell r="R7">
            <v>2.0427422852522308</v>
          </cell>
          <cell r="S7">
            <v>2.0899191214901371E-7</v>
          </cell>
          <cell r="T7">
            <v>2.292273006865296E-7</v>
          </cell>
          <cell r="U7">
            <v>2.1357097157912781</v>
          </cell>
          <cell r="V7">
            <v>5.2151282257470573E-5</v>
          </cell>
          <cell r="W7">
            <v>5.7200766927997977E-5</v>
          </cell>
          <cell r="X7">
            <v>2.1357097167954389</v>
          </cell>
          <cell r="Y7">
            <v>8.8177940258060314E-12</v>
          </cell>
          <cell r="Z7">
            <v>1.0821617781985111E-7</v>
          </cell>
          <cell r="AA7">
            <v>5.1530733107923687</v>
          </cell>
          <cell r="AB7">
            <v>2.1182350486276396</v>
          </cell>
          <cell r="AC7" t="str">
            <v>A41591.5</v>
          </cell>
          <cell r="AD7">
            <v>1000</v>
          </cell>
          <cell r="AE7">
            <v>2.0899191214901372E-4</v>
          </cell>
          <cell r="AF7">
            <v>2.2922730068652958E-4</v>
          </cell>
          <cell r="AG7">
            <v>2.1357097157912781</v>
          </cell>
          <cell r="AH7">
            <v>1000000</v>
          </cell>
          <cell r="AI7">
            <v>0.40075410277610052</v>
          </cell>
          <cell r="AJ7">
            <v>4.5438739054445458E-5</v>
          </cell>
          <cell r="AK7">
            <v>2.0427422852522308</v>
          </cell>
          <cell r="AL7">
            <v>1591.5</v>
          </cell>
        </row>
        <row r="8">
          <cell r="A8" t="str">
            <v>A5</v>
          </cell>
          <cell r="B8">
            <v>1591.5</v>
          </cell>
          <cell r="C8" t="str">
            <v>3Y</v>
          </cell>
          <cell r="D8">
            <v>500576</v>
          </cell>
          <cell r="E8">
            <v>346</v>
          </cell>
          <cell r="F8">
            <v>1591.5</v>
          </cell>
          <cell r="G8">
            <v>19.75</v>
          </cell>
          <cell r="H8">
            <v>0.5</v>
          </cell>
          <cell r="I8">
            <v>10</v>
          </cell>
          <cell r="J8">
            <v>0</v>
          </cell>
          <cell r="K8">
            <v>6.9999999999999994E-5</v>
          </cell>
          <cell r="L8">
            <v>10</v>
          </cell>
          <cell r="M8">
            <v>0</v>
          </cell>
          <cell r="N8">
            <v>1E-4</v>
          </cell>
          <cell r="O8">
            <v>10</v>
          </cell>
          <cell r="P8">
            <v>5.0057209508984703E-7</v>
          </cell>
          <cell r="Q8">
            <v>5.6673580436878518E-11</v>
          </cell>
          <cell r="R8">
            <v>2.0433373229954528</v>
          </cell>
          <cell r="S8">
            <v>3.4598661054334329E-7</v>
          </cell>
          <cell r="T8">
            <v>3.3355078687685408E-7</v>
          </cell>
          <cell r="U8">
            <v>2.183180863529889</v>
          </cell>
          <cell r="V8">
            <v>6.912038446580254E-5</v>
          </cell>
          <cell r="W8">
            <v>6.6635985089447881E-5</v>
          </cell>
          <cell r="X8">
            <v>2.1831808649939641</v>
          </cell>
          <cell r="Y8">
            <v>1.101378985670845E-11</v>
          </cell>
          <cell r="Z8">
            <v>1.35166198695051E-7</v>
          </cell>
          <cell r="AA8">
            <v>5.145692915355462</v>
          </cell>
          <cell r="AB8">
            <v>2.4677085698724084</v>
          </cell>
          <cell r="AC8" t="str">
            <v>A51591.5</v>
          </cell>
          <cell r="AD8">
            <v>1000</v>
          </cell>
          <cell r="AE8">
            <v>3.4598661054334326E-4</v>
          </cell>
          <cell r="AF8">
            <v>3.335507868768541E-4</v>
          </cell>
          <cell r="AG8">
            <v>2.183180863529889</v>
          </cell>
          <cell r="AH8">
            <v>1000000</v>
          </cell>
          <cell r="AI8">
            <v>0.50057209508984701</v>
          </cell>
          <cell r="AJ8">
            <v>5.6673580436878518E-5</v>
          </cell>
          <cell r="AK8">
            <v>2.0433373229954528</v>
          </cell>
          <cell r="AL8">
            <v>1591.5</v>
          </cell>
        </row>
        <row r="9">
          <cell r="A9" t="str">
            <v>A6</v>
          </cell>
          <cell r="B9">
            <v>1591.5</v>
          </cell>
          <cell r="C9" t="str">
            <v>3Y</v>
          </cell>
          <cell r="D9">
            <v>600560</v>
          </cell>
          <cell r="E9">
            <v>84</v>
          </cell>
          <cell r="F9">
            <v>1591.5</v>
          </cell>
          <cell r="G9">
            <v>19.75</v>
          </cell>
          <cell r="H9">
            <v>0.5</v>
          </cell>
          <cell r="I9">
            <v>10</v>
          </cell>
          <cell r="J9">
            <v>0</v>
          </cell>
          <cell r="K9">
            <v>6.9999999999999994E-5</v>
          </cell>
          <cell r="L9">
            <v>10</v>
          </cell>
          <cell r="M9">
            <v>0</v>
          </cell>
          <cell r="N9">
            <v>1E-4</v>
          </cell>
          <cell r="O9">
            <v>10</v>
          </cell>
          <cell r="P9">
            <v>6.0056510317025665E-7</v>
          </cell>
          <cell r="Q9">
            <v>6.794024367775919E-11</v>
          </cell>
          <cell r="R9">
            <v>2.0436648693802129</v>
          </cell>
          <cell r="S9">
            <v>8.3996749380464843E-8</v>
          </cell>
          <cell r="T9">
            <v>4.6352540422510358E-7</v>
          </cell>
          <cell r="U9">
            <v>2.2270859312472449</v>
          </cell>
          <cell r="V9">
            <v>1.398671981098429E-5</v>
          </cell>
          <cell r="W9">
            <v>7.7183938687333954E-5</v>
          </cell>
          <cell r="X9">
            <v>2.227085931297565</v>
          </cell>
          <cell r="Y9">
            <v>1.321363603447747E-11</v>
          </cell>
          <cell r="Z9">
            <v>1.6216347235961021E-7</v>
          </cell>
          <cell r="AA9">
            <v>5.141676636202722</v>
          </cell>
          <cell r="AB9">
            <v>2.8583835649325495</v>
          </cell>
          <cell r="AC9" t="str">
            <v>A61591.5</v>
          </cell>
          <cell r="AD9">
            <v>1000</v>
          </cell>
          <cell r="AE9">
            <v>8.3996749380464841E-5</v>
          </cell>
          <cell r="AF9">
            <v>4.6352540422510359E-4</v>
          </cell>
          <cell r="AG9">
            <v>2.2270859312472449</v>
          </cell>
          <cell r="AH9">
            <v>1000000</v>
          </cell>
          <cell r="AI9">
            <v>0.60056510317025669</v>
          </cell>
          <cell r="AJ9">
            <v>6.7940243677759194E-5</v>
          </cell>
          <cell r="AK9">
            <v>2.0436648693802129</v>
          </cell>
          <cell r="AL9">
            <v>1591.5</v>
          </cell>
        </row>
        <row r="10">
          <cell r="A10" t="str">
            <v>A7</v>
          </cell>
          <cell r="B10">
            <v>1591.5</v>
          </cell>
          <cell r="C10" t="str">
            <v>3Y</v>
          </cell>
          <cell r="D10">
            <v>700940</v>
          </cell>
          <cell r="E10">
            <v>522</v>
          </cell>
          <cell r="F10">
            <v>1591.5</v>
          </cell>
          <cell r="G10">
            <v>19.75</v>
          </cell>
          <cell r="H10">
            <v>0.5</v>
          </cell>
          <cell r="I10">
            <v>10</v>
          </cell>
          <cell r="J10">
            <v>0</v>
          </cell>
          <cell r="K10">
            <v>6.9999999999999994E-5</v>
          </cell>
          <cell r="L10">
            <v>10</v>
          </cell>
          <cell r="M10">
            <v>0</v>
          </cell>
          <cell r="N10">
            <v>1E-4</v>
          </cell>
          <cell r="O10">
            <v>10</v>
          </cell>
          <cell r="P10">
            <v>7.0095414692837346E-7</v>
          </cell>
          <cell r="Q10">
            <v>7.9258509449612502E-11</v>
          </cell>
          <cell r="R10">
            <v>2.043864186102736</v>
          </cell>
          <cell r="S10">
            <v>5.2197979972146013E-7</v>
          </cell>
          <cell r="T10">
            <v>6.1964142827817748E-7</v>
          </cell>
          <cell r="U10">
            <v>2.264305456599748</v>
          </cell>
          <cell r="V10">
            <v>7.4469352146667262E-5</v>
          </cell>
          <cell r="W10">
            <v>8.8402454930913848E-5</v>
          </cell>
          <cell r="X10">
            <v>2.2643054578050652</v>
          </cell>
          <cell r="Y10">
            <v>1.5422194997156031E-11</v>
          </cell>
          <cell r="Z10">
            <v>1.8926767233609111E-7</v>
          </cell>
          <cell r="AA10">
            <v>5.1392495986614337</v>
          </cell>
          <cell r="AB10">
            <v>3.2738894108543395</v>
          </cell>
          <cell r="AC10" t="str">
            <v>A71591.5</v>
          </cell>
          <cell r="AD10">
            <v>1000</v>
          </cell>
          <cell r="AE10">
            <v>5.2197979972146017E-4</v>
          </cell>
          <cell r="AF10">
            <v>6.1964142827817745E-4</v>
          </cell>
          <cell r="AG10">
            <v>2.264305456599748</v>
          </cell>
          <cell r="AH10">
            <v>1000000</v>
          </cell>
          <cell r="AI10">
            <v>0.70095414692837343</v>
          </cell>
          <cell r="AJ10">
            <v>7.9258509449612507E-5</v>
          </cell>
          <cell r="AK10">
            <v>2.043864186102736</v>
          </cell>
          <cell r="AL10">
            <v>1591.5</v>
          </cell>
        </row>
        <row r="11">
          <cell r="A11" t="str">
            <v>A8</v>
          </cell>
          <cell r="B11">
            <v>1591.5</v>
          </cell>
          <cell r="C11" t="str">
            <v>3Y</v>
          </cell>
          <cell r="D11">
            <v>800803</v>
          </cell>
          <cell r="E11">
            <v>736</v>
          </cell>
          <cell r="F11">
            <v>1591.5</v>
          </cell>
          <cell r="G11">
            <v>19.75</v>
          </cell>
          <cell r="H11">
            <v>0.5</v>
          </cell>
          <cell r="I11">
            <v>10</v>
          </cell>
          <cell r="J11">
            <v>0</v>
          </cell>
          <cell r="K11">
            <v>6.9999999999999994E-5</v>
          </cell>
          <cell r="L11">
            <v>10</v>
          </cell>
          <cell r="M11">
            <v>0</v>
          </cell>
          <cell r="N11">
            <v>1E-4</v>
          </cell>
          <cell r="O11">
            <v>10</v>
          </cell>
          <cell r="P11">
            <v>8.0082614410726147E-7</v>
          </cell>
          <cell r="Q11">
            <v>9.0522819064602347E-11</v>
          </cell>
          <cell r="R11">
            <v>2.0439932806047971</v>
          </cell>
          <cell r="S11">
            <v>7.359715183812158E-7</v>
          </cell>
          <cell r="T11">
            <v>8.0025255352428325E-7</v>
          </cell>
          <cell r="U11">
            <v>2.294411147193653</v>
          </cell>
          <cell r="V11">
            <v>9.1904389308087456E-5</v>
          </cell>
          <cell r="W11">
            <v>9.9931478833598385E-5</v>
          </cell>
          <cell r="X11">
            <v>2.294411148755183</v>
          </cell>
          <cell r="Y11">
            <v>1.761937893509157E-11</v>
          </cell>
          <cell r="Z11">
            <v>2.162322740720075E-7</v>
          </cell>
          <cell r="AA11">
            <v>5.1376850113776094</v>
          </cell>
          <cell r="AB11">
            <v>3.7008932036565048</v>
          </cell>
          <cell r="AC11" t="str">
            <v>A81591.5</v>
          </cell>
          <cell r="AD11">
            <v>1000</v>
          </cell>
          <cell r="AE11">
            <v>7.3597151838121575E-4</v>
          </cell>
          <cell r="AF11">
            <v>8.0025255352428326E-4</v>
          </cell>
          <cell r="AG11">
            <v>2.294411147193653</v>
          </cell>
          <cell r="AH11">
            <v>1000000</v>
          </cell>
          <cell r="AI11">
            <v>0.8008261441072615</v>
          </cell>
          <cell r="AJ11">
            <v>9.0522819064602341E-5</v>
          </cell>
          <cell r="AK11">
            <v>2.0439932806047971</v>
          </cell>
          <cell r="AL11">
            <v>1591.5</v>
          </cell>
        </row>
        <row r="12">
          <cell r="A12" t="str">
            <v>A9</v>
          </cell>
          <cell r="B12">
            <v>1591.5</v>
          </cell>
          <cell r="C12" t="str">
            <v>3Y</v>
          </cell>
          <cell r="D12">
            <v>901292</v>
          </cell>
          <cell r="E12">
            <v>1013</v>
          </cell>
          <cell r="F12">
            <v>1591.5</v>
          </cell>
          <cell r="G12">
            <v>19.75</v>
          </cell>
          <cell r="H12">
            <v>0.5</v>
          </cell>
          <cell r="I12">
            <v>10</v>
          </cell>
          <cell r="J12">
            <v>0</v>
          </cell>
          <cell r="K12">
            <v>6.9999999999999994E-5</v>
          </cell>
          <cell r="L12">
            <v>10</v>
          </cell>
          <cell r="M12">
            <v>0</v>
          </cell>
          <cell r="N12">
            <v>1E-4</v>
          </cell>
          <cell r="O12">
            <v>10</v>
          </cell>
          <cell r="P12">
            <v>9.0132419768575698E-7</v>
          </cell>
          <cell r="Q12">
            <v>1.0186065011892681E-10</v>
          </cell>
          <cell r="R12">
            <v>2.0440825071174848</v>
          </cell>
          <cell r="S12">
            <v>1.0129607990763201E-6</v>
          </cell>
          <cell r="T12">
            <v>1.0072764760297661E-6</v>
          </cell>
          <cell r="U12">
            <v>2.3187189253051321</v>
          </cell>
          <cell r="V12">
            <v>1.1238933377779051E-4</v>
          </cell>
          <cell r="W12">
            <v>1.117586506342416E-4</v>
          </cell>
          <cell r="X12">
            <v>2.318718927301433</v>
          </cell>
          <cell r="Y12">
            <v>1.983033611381847E-11</v>
          </cell>
          <cell r="Z12">
            <v>2.4336590578586071E-7</v>
          </cell>
          <cell r="AA12">
            <v>5.1366073441360758</v>
          </cell>
          <cell r="AB12">
            <v>4.1389383314689745</v>
          </cell>
          <cell r="AC12" t="str">
            <v>A91591.5</v>
          </cell>
          <cell r="AD12">
            <v>1000</v>
          </cell>
          <cell r="AE12">
            <v>1.0129607990763201E-3</v>
          </cell>
          <cell r="AF12">
            <v>1.007276476029766E-3</v>
          </cell>
          <cell r="AG12">
            <v>2.3187189253051321</v>
          </cell>
          <cell r="AH12">
            <v>1000000</v>
          </cell>
          <cell r="AI12">
            <v>0.901324197685757</v>
          </cell>
          <cell r="AJ12">
            <v>1.0186065011892681E-4</v>
          </cell>
          <cell r="AK12">
            <v>2.0440825071174848</v>
          </cell>
          <cell r="AL12">
            <v>1591.5</v>
          </cell>
        </row>
        <row r="13">
          <cell r="A13" t="str">
            <v>A10</v>
          </cell>
          <cell r="B13">
            <v>1591.5</v>
          </cell>
          <cell r="C13" t="str">
            <v>3Y</v>
          </cell>
          <cell r="D13">
            <v>1001258</v>
          </cell>
          <cell r="E13">
            <v>1327</v>
          </cell>
          <cell r="F13">
            <v>1591.5</v>
          </cell>
          <cell r="G13">
            <v>19.75</v>
          </cell>
          <cell r="H13">
            <v>0.5</v>
          </cell>
          <cell r="I13">
            <v>10</v>
          </cell>
          <cell r="J13">
            <v>0</v>
          </cell>
          <cell r="K13">
            <v>6.9999999999999994E-5</v>
          </cell>
          <cell r="L13">
            <v>10</v>
          </cell>
          <cell r="M13">
            <v>0</v>
          </cell>
          <cell r="N13">
            <v>1E-4</v>
          </cell>
          <cell r="O13">
            <v>10</v>
          </cell>
          <cell r="P13">
            <v>1.0012992041444529E-6</v>
          </cell>
          <cell r="Q13">
            <v>1.1314150057098701E-10</v>
          </cell>
          <cell r="R13">
            <v>2.04414605075134</v>
          </cell>
          <cell r="S13">
            <v>1.3269486479509151E-6</v>
          </cell>
          <cell r="T13">
            <v>1.238228129583454E-6</v>
          </cell>
          <cell r="U13">
            <v>2.3380980904498641</v>
          </cell>
          <cell r="V13">
            <v>1.325268068316044E-4</v>
          </cell>
          <cell r="W13">
            <v>1.236659914196927E-4</v>
          </cell>
          <cell r="X13">
            <v>2.3380980928400081</v>
          </cell>
          <cell r="Y13">
            <v>2.202978625590978E-11</v>
          </cell>
          <cell r="Z13">
            <v>2.7035831916351429E-7</v>
          </cell>
          <cell r="AA13">
            <v>5.1358419576420227</v>
          </cell>
          <cell r="AB13">
            <v>4.579952018545308</v>
          </cell>
          <cell r="AC13" t="str">
            <v>A101591.5</v>
          </cell>
          <cell r="AD13">
            <v>1000</v>
          </cell>
          <cell r="AE13">
            <v>1.326948647950915E-3</v>
          </cell>
          <cell r="AF13">
            <v>1.2382281295834541E-3</v>
          </cell>
          <cell r="AG13">
            <v>2.3380980904498641</v>
          </cell>
          <cell r="AH13">
            <v>1000000</v>
          </cell>
          <cell r="AI13">
            <v>1.0012992041444528</v>
          </cell>
          <cell r="AJ13">
            <v>1.1314150057098701E-4</v>
          </cell>
          <cell r="AK13">
            <v>2.04414605075134</v>
          </cell>
          <cell r="AL13">
            <v>1591.5</v>
          </cell>
        </row>
        <row r="14">
          <cell r="A14" t="str">
            <v>coax zero</v>
          </cell>
          <cell r="B14">
            <v>1591.5</v>
          </cell>
          <cell r="C14" t="str">
            <v>4Y</v>
          </cell>
          <cell r="D14">
            <v>0</v>
          </cell>
          <cell r="E14">
            <v>0</v>
          </cell>
          <cell r="F14">
            <v>1591.5</v>
          </cell>
          <cell r="G14">
            <v>19.84</v>
          </cell>
          <cell r="H14">
            <v>0.5</v>
          </cell>
          <cell r="I14">
            <v>10</v>
          </cell>
          <cell r="J14">
            <v>0</v>
          </cell>
          <cell r="K14">
            <v>6.9999999999999994E-5</v>
          </cell>
          <cell r="L14">
            <v>10</v>
          </cell>
          <cell r="M14">
            <v>0</v>
          </cell>
          <cell r="N14">
            <v>1E-4</v>
          </cell>
          <cell r="O14">
            <v>10</v>
          </cell>
          <cell r="P14">
            <v>0</v>
          </cell>
          <cell r="Q14">
            <v>3.2277921225849978E-13</v>
          </cell>
          <cell r="R14">
            <v>2.08946806431709</v>
          </cell>
          <cell r="S14">
            <v>0</v>
          </cell>
          <cell r="T14">
            <v>3.2273764427759329E-9</v>
          </cell>
          <cell r="U14">
            <v>2.08946806431709</v>
          </cell>
          <cell r="V14">
            <v>1.2566760917373549E-16</v>
          </cell>
          <cell r="W14">
            <v>0</v>
          </cell>
          <cell r="AA14" t="e">
            <v>#DIV/0!</v>
          </cell>
          <cell r="AB14" t="e">
            <v>#DIV/0!</v>
          </cell>
          <cell r="AC14" t="str">
            <v>coax zero1591.5</v>
          </cell>
          <cell r="AD14">
            <v>1000</v>
          </cell>
          <cell r="AE14">
            <v>0</v>
          </cell>
          <cell r="AF14">
            <v>3.2273764427759327E-6</v>
          </cell>
          <cell r="AG14">
            <v>2.08946806431709</v>
          </cell>
          <cell r="AH14">
            <v>1000000000</v>
          </cell>
          <cell r="AI14">
            <v>0</v>
          </cell>
          <cell r="AJ14">
            <v>3.2277921225849977E-4</v>
          </cell>
          <cell r="AK14">
            <v>2.08946806431709</v>
          </cell>
          <cell r="AL14">
            <v>1591.5</v>
          </cell>
        </row>
        <row r="15">
          <cell r="A15" t="str">
            <v>box_zero</v>
          </cell>
          <cell r="B15">
            <v>1591.5</v>
          </cell>
          <cell r="C15" t="str">
            <v>4Y</v>
          </cell>
          <cell r="D15">
            <v>500</v>
          </cell>
          <cell r="E15">
            <v>10</v>
          </cell>
          <cell r="F15">
            <v>1591.5</v>
          </cell>
          <cell r="G15">
            <v>19.71</v>
          </cell>
          <cell r="H15">
            <v>0.5</v>
          </cell>
          <cell r="I15">
            <v>10</v>
          </cell>
          <cell r="J15">
            <v>0</v>
          </cell>
          <cell r="K15">
            <v>6.9999999999999994E-5</v>
          </cell>
          <cell r="L15">
            <v>10</v>
          </cell>
          <cell r="M15">
            <v>0</v>
          </cell>
          <cell r="N15">
            <v>1E-4</v>
          </cell>
          <cell r="O15">
            <v>10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3.0590009494936369E-15</v>
          </cell>
          <cell r="U15">
            <v>2.446911848791681</v>
          </cell>
          <cell r="V15">
            <v>0</v>
          </cell>
          <cell r="W15">
            <v>0</v>
          </cell>
          <cell r="X15">
            <v>0</v>
          </cell>
          <cell r="Y15">
            <v>1.2257667139150009E-15</v>
          </cell>
          <cell r="Z15">
            <v>1.620071310221478E-11</v>
          </cell>
          <cell r="AA15">
            <v>0</v>
          </cell>
          <cell r="AB15">
            <v>1.8881890755015251E-4</v>
          </cell>
          <cell r="AC15" t="str">
            <v>box_zero1591.5</v>
          </cell>
          <cell r="AD15">
            <v>1000</v>
          </cell>
          <cell r="AE15">
            <v>0</v>
          </cell>
          <cell r="AF15">
            <v>3.059000949493637E-12</v>
          </cell>
          <cell r="AG15">
            <v>2.446911848791681</v>
          </cell>
          <cell r="AH15">
            <v>1000000000</v>
          </cell>
          <cell r="AI15">
            <v>0</v>
          </cell>
          <cell r="AJ15">
            <v>0</v>
          </cell>
          <cell r="AK15">
            <v>0</v>
          </cell>
          <cell r="AL15">
            <v>1591.5</v>
          </cell>
        </row>
        <row r="16">
          <cell r="A16" t="str">
            <v>B1</v>
          </cell>
          <cell r="B16">
            <v>1591.5</v>
          </cell>
          <cell r="C16" t="str">
            <v>4Y</v>
          </cell>
          <cell r="D16">
            <v>100618</v>
          </cell>
          <cell r="E16">
            <v>47</v>
          </cell>
          <cell r="F16">
            <v>1591.5</v>
          </cell>
          <cell r="G16">
            <v>19.72</v>
          </cell>
          <cell r="H16">
            <v>0.5</v>
          </cell>
          <cell r="I16">
            <v>10</v>
          </cell>
          <cell r="J16">
            <v>0</v>
          </cell>
          <cell r="K16">
            <v>6.9999999999999994E-5</v>
          </cell>
          <cell r="L16">
            <v>10</v>
          </cell>
          <cell r="M16">
            <v>0</v>
          </cell>
          <cell r="N16">
            <v>1E-4</v>
          </cell>
          <cell r="O16">
            <v>10</v>
          </cell>
          <cell r="P16">
            <v>1.0012702015316909E-8</v>
          </cell>
          <cell r="Q16">
            <v>1.2216437806519951E-12</v>
          </cell>
          <cell r="R16">
            <v>2.0259411684219089</v>
          </cell>
          <cell r="S16">
            <v>3.699856817949047E-9</v>
          </cell>
          <cell r="T16">
            <v>5.5801711487291877E-9</v>
          </cell>
          <cell r="U16">
            <v>2.0187610633386801</v>
          </cell>
          <cell r="V16">
            <v>3.6952779852549889E-5</v>
          </cell>
          <cell r="W16">
            <v>5.5732652941876539E-5</v>
          </cell>
          <cell r="X16">
            <v>2.018761063597041</v>
          </cell>
          <cell r="Y16">
            <v>2.215052110508871E-13</v>
          </cell>
          <cell r="Z16">
            <v>2.7195462931433612E-9</v>
          </cell>
          <cell r="AA16">
            <v>5.5151920573613182</v>
          </cell>
          <cell r="AB16">
            <v>2.0518757716307894</v>
          </cell>
          <cell r="AC16" t="str">
            <v>B11591.5</v>
          </cell>
          <cell r="AD16">
            <v>1000</v>
          </cell>
          <cell r="AE16">
            <v>3.6998568179490469E-6</v>
          </cell>
          <cell r="AF16">
            <v>5.5801711487291873E-6</v>
          </cell>
          <cell r="AG16">
            <v>2.0187610633386801</v>
          </cell>
          <cell r="AH16">
            <v>1000000000</v>
          </cell>
          <cell r="AI16">
            <v>10.01270201531691</v>
          </cell>
          <cell r="AJ16">
            <v>1.221643780651995E-3</v>
          </cell>
          <cell r="AK16">
            <v>2.0259411684219089</v>
          </cell>
          <cell r="AL16">
            <v>1591.5</v>
          </cell>
        </row>
        <row r="17">
          <cell r="A17" t="str">
            <v>B2</v>
          </cell>
          <cell r="B17">
            <v>1591.5</v>
          </cell>
          <cell r="C17" t="str">
            <v>4Y</v>
          </cell>
          <cell r="D17">
            <v>200526</v>
          </cell>
          <cell r="E17">
            <v>67</v>
          </cell>
          <cell r="F17">
            <v>1591.5</v>
          </cell>
          <cell r="G17">
            <v>19.73</v>
          </cell>
          <cell r="H17">
            <v>0.5</v>
          </cell>
          <cell r="I17">
            <v>10</v>
          </cell>
          <cell r="J17">
            <v>0</v>
          </cell>
          <cell r="K17">
            <v>6.9999999999999994E-5</v>
          </cell>
          <cell r="L17">
            <v>10</v>
          </cell>
          <cell r="M17">
            <v>0</v>
          </cell>
          <cell r="N17">
            <v>1E-4</v>
          </cell>
          <cell r="O17">
            <v>10</v>
          </cell>
          <cell r="P17">
            <v>2.0004402138634221E-8</v>
          </cell>
          <cell r="Q17">
            <v>2.3194474128910778E-12</v>
          </cell>
          <cell r="R17">
            <v>2.03955272381052</v>
          </cell>
          <cell r="S17">
            <v>5.6997794222458287E-9</v>
          </cell>
          <cell r="T17">
            <v>8.4288528570499735E-9</v>
          </cell>
          <cell r="U17">
            <v>2.090697294541481</v>
          </cell>
          <cell r="V17">
            <v>2.849351064859172E-5</v>
          </cell>
          <cell r="W17">
            <v>4.2136298758872057E-5</v>
          </cell>
          <cell r="X17">
            <v>2.0906972952639871</v>
          </cell>
          <cell r="Y17">
            <v>4.4132261376386778E-13</v>
          </cell>
          <cell r="Z17">
            <v>5.4172215384613931E-9</v>
          </cell>
          <cell r="AA17">
            <v>5.2556731528199272</v>
          </cell>
          <cell r="AB17">
            <v>1.5559365252475807</v>
          </cell>
          <cell r="AC17" t="str">
            <v>B21591.5</v>
          </cell>
          <cell r="AD17">
            <v>1000</v>
          </cell>
          <cell r="AE17">
            <v>5.6997794222458286E-6</v>
          </cell>
          <cell r="AF17">
            <v>8.4288528570499727E-6</v>
          </cell>
          <cell r="AG17">
            <v>2.090697294541481</v>
          </cell>
          <cell r="AH17">
            <v>1000000000</v>
          </cell>
          <cell r="AI17">
            <v>20.004402138634219</v>
          </cell>
          <cell r="AJ17">
            <v>2.3194474128910778E-3</v>
          </cell>
          <cell r="AK17">
            <v>2.03955272381052</v>
          </cell>
          <cell r="AL17">
            <v>1591.5</v>
          </cell>
        </row>
        <row r="18">
          <cell r="A18" t="str">
            <v>B3</v>
          </cell>
          <cell r="B18">
            <v>1591.5</v>
          </cell>
          <cell r="C18" t="str">
            <v>4Y</v>
          </cell>
          <cell r="D18">
            <v>300641</v>
          </cell>
          <cell r="E18">
            <v>70</v>
          </cell>
          <cell r="F18">
            <v>1591.5</v>
          </cell>
          <cell r="G18">
            <v>19.71</v>
          </cell>
          <cell r="H18">
            <v>0.5</v>
          </cell>
          <cell r="I18">
            <v>10</v>
          </cell>
          <cell r="J18">
            <v>0</v>
          </cell>
          <cell r="K18">
            <v>6.9999999999999994E-5</v>
          </cell>
          <cell r="L18">
            <v>10</v>
          </cell>
          <cell r="M18">
            <v>0</v>
          </cell>
          <cell r="N18">
            <v>1E-4</v>
          </cell>
          <cell r="O18">
            <v>10</v>
          </cell>
          <cell r="P18">
            <v>3.0016804126922567E-8</v>
          </cell>
          <cell r="Q18">
            <v>3.4806121093032439E-12</v>
          </cell>
          <cell r="R18">
            <v>2.0444246704972731</v>
          </cell>
          <cell r="S18">
            <v>5.9997678128903463E-9</v>
          </cell>
          <cell r="T18">
            <v>1.1882266694796649E-8</v>
          </cell>
          <cell r="U18">
            <v>2.1432138700685268</v>
          </cell>
          <cell r="V18">
            <v>1.9988650811294849E-5</v>
          </cell>
          <cell r="W18">
            <v>3.9586611883262337E-5</v>
          </cell>
          <cell r="X18">
            <v>2.1432138706270578</v>
          </cell>
          <cell r="Y18">
            <v>6.6159545750621152E-13</v>
          </cell>
          <cell r="Z18">
            <v>8.120486113720781E-9</v>
          </cell>
          <cell r="AA18">
            <v>5.2609371328257124</v>
          </cell>
          <cell r="AB18">
            <v>1.463245737803772</v>
          </cell>
          <cell r="AC18" t="str">
            <v>B31591.5</v>
          </cell>
          <cell r="AD18">
            <v>1000</v>
          </cell>
          <cell r="AE18">
            <v>5.9997678128903462E-6</v>
          </cell>
          <cell r="AF18">
            <v>1.1882266694796649E-5</v>
          </cell>
          <cell r="AG18">
            <v>2.1432138700685268</v>
          </cell>
          <cell r="AH18">
            <v>1000000000</v>
          </cell>
          <cell r="AI18">
            <v>30.016804126922565</v>
          </cell>
          <cell r="AJ18">
            <v>3.4806121093032437E-3</v>
          </cell>
          <cell r="AK18">
            <v>2.0444246704972731</v>
          </cell>
          <cell r="AL18">
            <v>1591.5</v>
          </cell>
        </row>
        <row r="19">
          <cell r="A19" t="str">
            <v>B4</v>
          </cell>
          <cell r="B19">
            <v>1591.5</v>
          </cell>
          <cell r="C19" t="str">
            <v>4Y</v>
          </cell>
          <cell r="D19">
            <v>400667</v>
          </cell>
          <cell r="E19">
            <v>64</v>
          </cell>
          <cell r="F19">
            <v>1591.5</v>
          </cell>
          <cell r="G19">
            <v>19.72</v>
          </cell>
          <cell r="H19">
            <v>0.5</v>
          </cell>
          <cell r="I19">
            <v>10</v>
          </cell>
          <cell r="J19">
            <v>0</v>
          </cell>
          <cell r="K19">
            <v>6.9999999999999994E-5</v>
          </cell>
          <cell r="L19">
            <v>10</v>
          </cell>
          <cell r="M19">
            <v>0</v>
          </cell>
          <cell r="N19">
            <v>1E-4</v>
          </cell>
          <cell r="O19">
            <v>10</v>
          </cell>
          <cell r="P19">
            <v>4.0020305313363457E-8</v>
          </cell>
          <cell r="Q19">
            <v>4.603246320297734E-12</v>
          </cell>
          <cell r="R19">
            <v>2.044911948352083</v>
          </cell>
          <cell r="S19">
            <v>5.3997910316013119E-9</v>
          </cell>
          <cell r="T19">
            <v>1.552732073559236E-8</v>
          </cell>
          <cell r="U19">
            <v>2.1698059792372062</v>
          </cell>
          <cell r="V19">
            <v>1.3493047349825361E-5</v>
          </cell>
          <cell r="W19">
            <v>3.8799811450225548E-5</v>
          </cell>
          <cell r="X19">
            <v>2.1698059795636642</v>
          </cell>
          <cell r="Y19">
            <v>8.8167248360791119E-13</v>
          </cell>
          <cell r="Z19">
            <v>1.0821347547121329E-8</v>
          </cell>
          <cell r="AA19">
            <v>5.2210388844854148</v>
          </cell>
          <cell r="AB19">
            <v>1.4348786662639721</v>
          </cell>
          <cell r="AC19" t="str">
            <v>B41591.5</v>
          </cell>
          <cell r="AD19">
            <v>1000</v>
          </cell>
          <cell r="AE19">
            <v>5.3997910316013118E-6</v>
          </cell>
          <cell r="AF19">
            <v>1.5527320735592361E-5</v>
          </cell>
          <cell r="AG19">
            <v>2.1698059792372062</v>
          </cell>
          <cell r="AH19">
            <v>1000000000</v>
          </cell>
          <cell r="AI19">
            <v>40.020305313363458</v>
          </cell>
          <cell r="AJ19">
            <v>4.6032463202977337E-3</v>
          </cell>
          <cell r="AK19">
            <v>2.044911948352083</v>
          </cell>
          <cell r="AL19">
            <v>1591.5</v>
          </cell>
        </row>
        <row r="20">
          <cell r="A20" t="str">
            <v>B5</v>
          </cell>
          <cell r="B20">
            <v>1591.5</v>
          </cell>
          <cell r="C20" t="str">
            <v>4Y</v>
          </cell>
          <cell r="D20">
            <v>500749</v>
          </cell>
          <cell r="E20">
            <v>57</v>
          </cell>
          <cell r="F20">
            <v>1591.5</v>
          </cell>
          <cell r="G20">
            <v>19.71</v>
          </cell>
          <cell r="H20">
            <v>0.5</v>
          </cell>
          <cell r="I20">
            <v>10</v>
          </cell>
          <cell r="J20">
            <v>0</v>
          </cell>
          <cell r="K20">
            <v>6.9999999999999994E-5</v>
          </cell>
          <cell r="L20">
            <v>10</v>
          </cell>
          <cell r="M20">
            <v>0</v>
          </cell>
          <cell r="N20">
            <v>1E-4</v>
          </cell>
          <cell r="O20">
            <v>10</v>
          </cell>
          <cell r="P20">
            <v>5.0029407004337588E-8</v>
          </cell>
          <cell r="Q20">
            <v>5.772973512105515E-12</v>
          </cell>
          <cell r="R20">
            <v>2.0462559639120159</v>
          </cell>
          <cell r="S20">
            <v>4.6998181200974372E-9</v>
          </cell>
          <cell r="T20">
            <v>1.9262357814963491E-8</v>
          </cell>
          <cell r="U20">
            <v>2.1823222534219009</v>
          </cell>
          <cell r="V20">
            <v>9.3944029615979191E-6</v>
          </cell>
          <cell r="W20">
            <v>3.8503266866574453E-5</v>
          </cell>
          <cell r="X20">
            <v>2.1823222535971958</v>
          </cell>
          <cell r="Y20">
            <v>1.1018727208093421E-12</v>
          </cell>
          <cell r="Z20">
            <v>1.352372106978137E-8</v>
          </cell>
          <cell r="AA20">
            <v>5.2392380744893829</v>
          </cell>
          <cell r="AB20">
            <v>1.4243385911001265</v>
          </cell>
          <cell r="AC20" t="str">
            <v>B51591.5</v>
          </cell>
          <cell r="AD20">
            <v>1000</v>
          </cell>
          <cell r="AE20">
            <v>4.6998181200974376E-6</v>
          </cell>
          <cell r="AF20">
            <v>1.926235781496349E-5</v>
          </cell>
          <cell r="AG20">
            <v>2.1823222534219009</v>
          </cell>
          <cell r="AH20">
            <v>1000000000</v>
          </cell>
          <cell r="AI20">
            <v>50.029407004337585</v>
          </cell>
          <cell r="AJ20">
            <v>5.7729735121055149E-3</v>
          </cell>
          <cell r="AK20">
            <v>2.0462559639120159</v>
          </cell>
          <cell r="AL20">
            <v>1591.5</v>
          </cell>
        </row>
        <row r="21">
          <cell r="A21" t="str">
            <v>B6</v>
          </cell>
          <cell r="B21">
            <v>1591.5</v>
          </cell>
          <cell r="C21" t="str">
            <v>4Y</v>
          </cell>
          <cell r="D21">
            <v>600867</v>
          </cell>
          <cell r="E21">
            <v>-61</v>
          </cell>
          <cell r="F21">
            <v>1591.5</v>
          </cell>
          <cell r="G21">
            <v>19.72</v>
          </cell>
          <cell r="H21">
            <v>0.5</v>
          </cell>
          <cell r="I21">
            <v>10</v>
          </cell>
          <cell r="J21">
            <v>0</v>
          </cell>
          <cell r="K21">
            <v>6.9999999999999994E-5</v>
          </cell>
          <cell r="L21">
            <v>10</v>
          </cell>
          <cell r="M21">
            <v>0</v>
          </cell>
          <cell r="N21">
            <v>1E-4</v>
          </cell>
          <cell r="O21">
            <v>10</v>
          </cell>
          <cell r="P21">
            <v>6.00421090196545E-8</v>
          </cell>
          <cell r="Q21">
            <v>6.8891315079061949E-12</v>
          </cell>
          <cell r="R21">
            <v>2.0458177970523201</v>
          </cell>
          <cell r="S21">
            <v>-7.0997252452535756E-9</v>
          </cell>
          <cell r="T21">
            <v>2.3055925287986971E-8</v>
          </cell>
          <cell r="U21">
            <v>2.1873204008238649</v>
          </cell>
          <cell r="V21">
            <v>-1.1824943983259471E-5</v>
          </cell>
          <cell r="W21">
            <v>3.8400785327682359E-5</v>
          </cell>
          <cell r="X21">
            <v>2.1873204009759362</v>
          </cell>
          <cell r="Y21">
            <v>1.322152165146314E-12</v>
          </cell>
          <cell r="Z21">
            <v>1.6227066649822509E-8</v>
          </cell>
          <cell r="AA21">
            <v>5.2105436042180662</v>
          </cell>
          <cell r="AB21">
            <v>1.4208313668471408</v>
          </cell>
          <cell r="AC21" t="str">
            <v>B61591.5</v>
          </cell>
          <cell r="AD21">
            <v>1000</v>
          </cell>
          <cell r="AE21">
            <v>-7.0997252452535754E-6</v>
          </cell>
          <cell r="AF21">
            <v>2.3055925287986969E-5</v>
          </cell>
          <cell r="AG21">
            <v>2.1873204008238649</v>
          </cell>
          <cell r="AH21">
            <v>1000000000</v>
          </cell>
          <cell r="AI21">
            <v>60.042109019654504</v>
          </cell>
          <cell r="AJ21">
            <v>6.8891315079061951E-3</v>
          </cell>
          <cell r="AK21">
            <v>2.0458177970523201</v>
          </cell>
          <cell r="AL21">
            <v>1591.5</v>
          </cell>
        </row>
        <row r="22">
          <cell r="A22" t="str">
            <v>B7</v>
          </cell>
          <cell r="B22">
            <v>1591.5</v>
          </cell>
          <cell r="C22" t="str">
            <v>4Y</v>
          </cell>
          <cell r="D22">
            <v>700768</v>
          </cell>
          <cell r="E22">
            <v>99</v>
          </cell>
          <cell r="F22">
            <v>1591.5</v>
          </cell>
          <cell r="G22">
            <v>19.72</v>
          </cell>
          <cell r="H22">
            <v>0.5</v>
          </cell>
          <cell r="I22">
            <v>10</v>
          </cell>
          <cell r="J22">
            <v>0</v>
          </cell>
          <cell r="K22">
            <v>6.9999999999999994E-5</v>
          </cell>
          <cell r="L22">
            <v>10</v>
          </cell>
          <cell r="M22">
            <v>0</v>
          </cell>
          <cell r="N22">
            <v>1E-4</v>
          </cell>
          <cell r="O22">
            <v>10</v>
          </cell>
          <cell r="P22">
            <v>7.0033109079905145E-8</v>
          </cell>
          <cell r="Q22">
            <v>8.0310807513182292E-12</v>
          </cell>
          <cell r="R22">
            <v>2.0460104858461272</v>
          </cell>
          <cell r="S22">
            <v>8.8996555891206787E-9</v>
          </cell>
          <cell r="T22">
            <v>2.689006530193827E-8</v>
          </cell>
          <cell r="U22">
            <v>2.188028251478078</v>
          </cell>
          <cell r="V22">
            <v>1.270817777956924E-5</v>
          </cell>
          <cell r="W22">
            <v>3.8397410657151383E-5</v>
          </cell>
          <cell r="X22">
            <v>2.1880282517728071</v>
          </cell>
          <cell r="Y22">
            <v>1.541954166471828E-12</v>
          </cell>
          <cell r="Z22">
            <v>1.892455288398311E-8</v>
          </cell>
          <cell r="AA22">
            <v>5.2083783850036767</v>
          </cell>
          <cell r="AB22">
            <v>1.420908883120658</v>
          </cell>
          <cell r="AC22" t="str">
            <v>B71591.5</v>
          </cell>
          <cell r="AD22">
            <v>1000</v>
          </cell>
          <cell r="AE22">
            <v>8.8996555891206787E-6</v>
          </cell>
          <cell r="AF22">
            <v>2.689006530193827E-5</v>
          </cell>
          <cell r="AG22">
            <v>2.188028251478078</v>
          </cell>
          <cell r="AH22">
            <v>1000000000</v>
          </cell>
          <cell r="AI22">
            <v>70.033109079905145</v>
          </cell>
          <cell r="AJ22">
            <v>8.0310807513182293E-3</v>
          </cell>
          <cell r="AK22">
            <v>2.0460104858461272</v>
          </cell>
          <cell r="AL22">
            <v>1591.5</v>
          </cell>
        </row>
        <row r="23">
          <cell r="A23" t="str">
            <v>B8</v>
          </cell>
          <cell r="B23">
            <v>1591.5</v>
          </cell>
          <cell r="C23" t="str">
            <v>4Y</v>
          </cell>
          <cell r="D23">
            <v>800879</v>
          </cell>
          <cell r="E23">
            <v>189</v>
          </cell>
          <cell r="F23">
            <v>1591.5</v>
          </cell>
          <cell r="G23">
            <v>19.71</v>
          </cell>
          <cell r="H23">
            <v>0.5</v>
          </cell>
          <cell r="I23">
            <v>10</v>
          </cell>
          <cell r="J23">
            <v>0</v>
          </cell>
          <cell r="K23">
            <v>6.9999999999999994E-5</v>
          </cell>
          <cell r="L23">
            <v>10</v>
          </cell>
          <cell r="M23">
            <v>0</v>
          </cell>
          <cell r="N23">
            <v>1E-4</v>
          </cell>
          <cell r="O23">
            <v>10</v>
          </cell>
          <cell r="P23">
            <v>8.0045111032155427E-8</v>
          </cell>
          <cell r="Q23">
            <v>9.2200582747232552E-12</v>
          </cell>
          <cell r="R23">
            <v>2.0468936963099149</v>
          </cell>
          <cell r="S23">
            <v>1.7899307308456199E-8</v>
          </cell>
          <cell r="T23">
            <v>3.0781310061122138E-8</v>
          </cell>
          <cell r="U23">
            <v>2.1861300106186401</v>
          </cell>
          <cell r="V23">
            <v>2.2362219276208719E-5</v>
          </cell>
          <cell r="W23">
            <v>3.8456147680921358E-5</v>
          </cell>
          <cell r="X23">
            <v>2.1861300114192401</v>
          </cell>
          <cell r="Y23">
            <v>1.762218209421334E-12</v>
          </cell>
          <cell r="Z23">
            <v>2.162770945286682E-8</v>
          </cell>
          <cell r="AA23">
            <v>5.2320752477928822</v>
          </cell>
          <cell r="AB23">
            <v>1.4232348611952514</v>
          </cell>
          <cell r="AC23" t="str">
            <v>B81591.5</v>
          </cell>
          <cell r="AD23">
            <v>1000</v>
          </cell>
          <cell r="AE23">
            <v>1.7899307308456198E-5</v>
          </cell>
          <cell r="AF23">
            <v>3.0781310061122138E-5</v>
          </cell>
          <cell r="AG23">
            <v>2.1861300106186401</v>
          </cell>
          <cell r="AH23">
            <v>1000000000</v>
          </cell>
          <cell r="AI23">
            <v>80.045111032155432</v>
          </cell>
          <cell r="AJ23">
            <v>9.220058274723256E-3</v>
          </cell>
          <cell r="AK23">
            <v>2.0468936963099149</v>
          </cell>
          <cell r="AL23">
            <v>1591.5</v>
          </cell>
        </row>
        <row r="24">
          <cell r="A24" t="str">
            <v>B9</v>
          </cell>
          <cell r="B24">
            <v>1591.5</v>
          </cell>
          <cell r="C24" t="str">
            <v>4Y</v>
          </cell>
          <cell r="D24">
            <v>900901</v>
          </cell>
          <cell r="E24">
            <v>329</v>
          </cell>
          <cell r="F24">
            <v>1591.5</v>
          </cell>
          <cell r="G24">
            <v>19.72</v>
          </cell>
          <cell r="H24">
            <v>0.5</v>
          </cell>
          <cell r="I24">
            <v>10</v>
          </cell>
          <cell r="J24">
            <v>0</v>
          </cell>
          <cell r="K24">
            <v>6.9999999999999994E-5</v>
          </cell>
          <cell r="L24">
            <v>10</v>
          </cell>
          <cell r="M24">
            <v>0</v>
          </cell>
          <cell r="N24">
            <v>1E-4</v>
          </cell>
          <cell r="O24">
            <v>10</v>
          </cell>
          <cell r="P24">
            <v>9.004821218255822E-8</v>
          </cell>
          <cell r="Q24">
            <v>1.031990179735E-11</v>
          </cell>
          <cell r="R24">
            <v>2.0462211296171429</v>
          </cell>
          <cell r="S24">
            <v>3.1898765538533682E-8</v>
          </cell>
          <cell r="T24">
            <v>3.4722097896049003E-8</v>
          </cell>
          <cell r="U24">
            <v>2.1825847224033268</v>
          </cell>
          <cell r="V24">
            <v>3.5425196702464769E-5</v>
          </cell>
          <cell r="W24">
            <v>3.8560650461716753E-5</v>
          </cell>
          <cell r="X24">
            <v>2.1825847243416781</v>
          </cell>
          <cell r="Y24">
            <v>1.982286434730195E-12</v>
          </cell>
          <cell r="Z24">
            <v>2.4328462879891681E-8</v>
          </cell>
          <cell r="AA24">
            <v>5.2060598390537951</v>
          </cell>
          <cell r="AB24">
            <v>1.4272211963193129</v>
          </cell>
          <cell r="AC24" t="str">
            <v>B91591.5</v>
          </cell>
          <cell r="AD24">
            <v>1000</v>
          </cell>
          <cell r="AE24">
            <v>3.1898765538533679E-5</v>
          </cell>
          <cell r="AF24">
            <v>3.4722097896049005E-5</v>
          </cell>
          <cell r="AG24">
            <v>2.1825847224033268</v>
          </cell>
          <cell r="AH24">
            <v>1000000000</v>
          </cell>
          <cell r="AI24">
            <v>90.048212182558217</v>
          </cell>
          <cell r="AJ24">
            <v>1.031990179735E-2</v>
          </cell>
          <cell r="AK24">
            <v>2.0462211296171429</v>
          </cell>
          <cell r="AL24">
            <v>1591.5</v>
          </cell>
        </row>
        <row r="25">
          <cell r="A25" t="str">
            <v>B10</v>
          </cell>
          <cell r="B25">
            <v>1591.5</v>
          </cell>
          <cell r="C25" t="str">
            <v>4Y</v>
          </cell>
          <cell r="D25">
            <v>1001011</v>
          </cell>
          <cell r="E25">
            <v>514</v>
          </cell>
          <cell r="F25">
            <v>1591.5</v>
          </cell>
          <cell r="G25">
            <v>19.71</v>
          </cell>
          <cell r="H25">
            <v>0.5</v>
          </cell>
          <cell r="I25">
            <v>10</v>
          </cell>
          <cell r="J25">
            <v>0</v>
          </cell>
          <cell r="K25">
            <v>6.9999999999999994E-5</v>
          </cell>
          <cell r="L25">
            <v>10</v>
          </cell>
          <cell r="M25">
            <v>0</v>
          </cell>
          <cell r="N25">
            <v>1E-4</v>
          </cell>
          <cell r="O25">
            <v>10</v>
          </cell>
          <cell r="P25">
            <v>1.00060114125799E-7</v>
          </cell>
          <cell r="Q25">
            <v>1.15204193512222E-11</v>
          </cell>
          <cell r="R25">
            <v>2.0470400913523572</v>
          </cell>
          <cell r="S25">
            <v>5.0398049628278911E-8</v>
          </cell>
          <cell r="T25">
            <v>3.8725449925355442E-8</v>
          </cell>
          <cell r="U25">
            <v>2.177986221380384</v>
          </cell>
          <cell r="V25">
            <v>5.0369335871853413E-5</v>
          </cell>
          <cell r="W25">
            <v>3.8703386524980227E-5</v>
          </cell>
          <cell r="X25">
            <v>2.1779862250030391</v>
          </cell>
          <cell r="Y25">
            <v>2.2025482774814929E-12</v>
          </cell>
          <cell r="Z25">
            <v>2.7031592447181471E-8</v>
          </cell>
          <cell r="AA25">
            <v>5.2304957257941425</v>
          </cell>
          <cell r="AB25">
            <v>1.432599651723192</v>
          </cell>
          <cell r="AC25" t="str">
            <v>B101591.5</v>
          </cell>
          <cell r="AD25">
            <v>1000</v>
          </cell>
          <cell r="AE25">
            <v>5.0398049628278911E-5</v>
          </cell>
          <cell r="AF25">
            <v>3.8725449925355442E-5</v>
          </cell>
          <cell r="AG25">
            <v>2.177986221380384</v>
          </cell>
          <cell r="AH25">
            <v>1000000000</v>
          </cell>
          <cell r="AI25">
            <v>100.060114125799</v>
          </cell>
          <cell r="AJ25">
            <v>1.1520419351222201E-2</v>
          </cell>
          <cell r="AK25">
            <v>2.0470400913523572</v>
          </cell>
          <cell r="AL25">
            <v>1591.5</v>
          </cell>
        </row>
        <row r="26">
          <cell r="A26" t="str">
            <v>coax zero</v>
          </cell>
          <cell r="B26">
            <v>1591.5</v>
          </cell>
          <cell r="C26" t="str">
            <v>5Y</v>
          </cell>
          <cell r="D26">
            <v>0</v>
          </cell>
          <cell r="E26">
            <v>0</v>
          </cell>
          <cell r="F26">
            <v>1591.5</v>
          </cell>
          <cell r="G26">
            <v>19.84</v>
          </cell>
          <cell r="H26">
            <v>0.5</v>
          </cell>
          <cell r="I26">
            <v>10</v>
          </cell>
          <cell r="J26">
            <v>0</v>
          </cell>
          <cell r="K26">
            <v>6.9999999999999994E-5</v>
          </cell>
          <cell r="L26">
            <v>10</v>
          </cell>
          <cell r="M26">
            <v>0</v>
          </cell>
          <cell r="N26">
            <v>1E-4</v>
          </cell>
          <cell r="O26">
            <v>10</v>
          </cell>
          <cell r="P26">
            <v>0</v>
          </cell>
          <cell r="Q26">
            <v>3.2277921225849973E-14</v>
          </cell>
          <cell r="R26">
            <v>2.08946806431709</v>
          </cell>
          <cell r="S26">
            <v>0</v>
          </cell>
          <cell r="T26">
            <v>3.2273764427759331E-10</v>
          </cell>
          <cell r="U26">
            <v>2.08946806431709</v>
          </cell>
          <cell r="V26">
            <v>1.2566760917373549E-16</v>
          </cell>
          <cell r="W26">
            <v>0</v>
          </cell>
          <cell r="AA26" t="e">
            <v>#DIV/0!</v>
          </cell>
          <cell r="AB26" t="e">
            <v>#DIV/0!</v>
          </cell>
          <cell r="AC26" t="str">
            <v>coax zero1591.5</v>
          </cell>
          <cell r="AD26">
            <v>1000</v>
          </cell>
          <cell r="AE26">
            <v>0</v>
          </cell>
          <cell r="AF26">
            <v>3.2273764427759331E-7</v>
          </cell>
          <cell r="AG26">
            <v>2.08946806431709</v>
          </cell>
          <cell r="AH26">
            <v>1000000000</v>
          </cell>
          <cell r="AI26">
            <v>0</v>
          </cell>
          <cell r="AJ26">
            <v>3.2277921225849974E-5</v>
          </cell>
          <cell r="AK26">
            <v>2.08946806431709</v>
          </cell>
          <cell r="AL26">
            <v>1591.5</v>
          </cell>
        </row>
        <row r="27">
          <cell r="A27" t="str">
            <v>box_zero</v>
          </cell>
          <cell r="B27">
            <v>1591.5</v>
          </cell>
          <cell r="C27" t="str">
            <v>5Y</v>
          </cell>
          <cell r="D27">
            <v>5001</v>
          </cell>
          <cell r="E27">
            <v>123</v>
          </cell>
          <cell r="F27">
            <v>1591.5</v>
          </cell>
          <cell r="G27">
            <v>19.75</v>
          </cell>
          <cell r="H27">
            <v>0.5</v>
          </cell>
          <cell r="I27">
            <v>10</v>
          </cell>
          <cell r="J27">
            <v>0</v>
          </cell>
          <cell r="K27">
            <v>6.9999999999999994E-5</v>
          </cell>
          <cell r="L27">
            <v>10</v>
          </cell>
          <cell r="M27">
            <v>0</v>
          </cell>
          <cell r="N27">
            <v>1E-4</v>
          </cell>
          <cell r="O27">
            <v>10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3.0602246722334749E-15</v>
          </cell>
          <cell r="U27">
            <v>2.446911848791681</v>
          </cell>
          <cell r="V27">
            <v>0</v>
          </cell>
          <cell r="W27">
            <v>0</v>
          </cell>
          <cell r="X27">
            <v>0</v>
          </cell>
          <cell r="Y27">
            <v>1.225986733735949E-15</v>
          </cell>
          <cell r="Z27">
            <v>1.620341326160674E-11</v>
          </cell>
          <cell r="AA27">
            <v>0</v>
          </cell>
          <cell r="AB27">
            <v>1.8886296503246879E-4</v>
          </cell>
          <cell r="AC27" t="str">
            <v>box_zero1591.5</v>
          </cell>
          <cell r="AD27">
            <v>1000</v>
          </cell>
          <cell r="AE27">
            <v>0</v>
          </cell>
          <cell r="AF27">
            <v>3.060224672233475E-12</v>
          </cell>
          <cell r="AG27">
            <v>2.446911848791681</v>
          </cell>
          <cell r="AH27">
            <v>1000000000</v>
          </cell>
          <cell r="AI27">
            <v>0</v>
          </cell>
          <cell r="AJ27">
            <v>0</v>
          </cell>
          <cell r="AK27">
            <v>0</v>
          </cell>
          <cell r="AL27">
            <v>1591.5</v>
          </cell>
        </row>
        <row r="28">
          <cell r="A28" t="str">
            <v>C1</v>
          </cell>
          <cell r="B28">
            <v>1591.5</v>
          </cell>
          <cell r="C28" t="str">
            <v>5Y</v>
          </cell>
          <cell r="D28">
            <v>104502</v>
          </cell>
          <cell r="E28">
            <v>163</v>
          </cell>
          <cell r="F28">
            <v>1591.5</v>
          </cell>
          <cell r="G28">
            <v>19.75</v>
          </cell>
          <cell r="H28">
            <v>0.5</v>
          </cell>
          <cell r="I28">
            <v>10</v>
          </cell>
          <cell r="J28">
            <v>0</v>
          </cell>
          <cell r="K28">
            <v>6.9999999999999994E-5</v>
          </cell>
          <cell r="L28">
            <v>10</v>
          </cell>
          <cell r="M28">
            <v>0</v>
          </cell>
          <cell r="N28">
            <v>1E-4</v>
          </cell>
          <cell r="O28">
            <v>10</v>
          </cell>
          <cell r="P28">
            <v>9.9509964564418797E-10</v>
          </cell>
          <cell r="Q28">
            <v>1.2362792046686661E-13</v>
          </cell>
          <cell r="R28">
            <v>2.026370659601175</v>
          </cell>
          <cell r="S28">
            <v>3.9998452085935631E-10</v>
          </cell>
          <cell r="T28">
            <v>5.5656234157866796E-10</v>
          </cell>
          <cell r="U28">
            <v>2.0184910687790718</v>
          </cell>
          <cell r="V28">
            <v>4.0196672349375691E-5</v>
          </cell>
          <cell r="W28">
            <v>5.5932049377480558E-5</v>
          </cell>
          <cell r="X28">
            <v>2.018491070446947</v>
          </cell>
          <cell r="Y28">
            <v>2.311817893790808E-14</v>
          </cell>
          <cell r="Z28">
            <v>2.848719729208829E-10</v>
          </cell>
          <cell r="AA28">
            <v>5.3476496050537738</v>
          </cell>
          <cell r="AB28">
            <v>1.9537279707514128</v>
          </cell>
          <cell r="AC28" t="str">
            <v>C11591.5</v>
          </cell>
          <cell r="AD28">
            <v>1000</v>
          </cell>
          <cell r="AE28">
            <v>3.9998452085935632E-7</v>
          </cell>
          <cell r="AF28">
            <v>5.56562341578668E-7</v>
          </cell>
          <cell r="AG28">
            <v>2.0184910687790718</v>
          </cell>
          <cell r="AH28">
            <v>1000000000</v>
          </cell>
          <cell r="AI28">
            <v>0.99509964564418796</v>
          </cell>
          <cell r="AJ28">
            <v>1.2362792046686661E-4</v>
          </cell>
          <cell r="AK28">
            <v>2.026370659601175</v>
          </cell>
          <cell r="AL28">
            <v>1591.5</v>
          </cell>
        </row>
        <row r="29">
          <cell r="A29" t="str">
            <v>C2</v>
          </cell>
          <cell r="B29">
            <v>1591.5</v>
          </cell>
          <cell r="C29" t="str">
            <v>5Y</v>
          </cell>
          <cell r="D29">
            <v>204731</v>
          </cell>
          <cell r="E29">
            <v>157</v>
          </cell>
          <cell r="F29">
            <v>1591.5</v>
          </cell>
          <cell r="G29">
            <v>19.760000000000002</v>
          </cell>
          <cell r="H29">
            <v>0.5</v>
          </cell>
          <cell r="I29">
            <v>10</v>
          </cell>
          <cell r="J29">
            <v>0</v>
          </cell>
          <cell r="K29">
            <v>6.9999999999999994E-5</v>
          </cell>
          <cell r="L29">
            <v>10</v>
          </cell>
          <cell r="M29">
            <v>0</v>
          </cell>
          <cell r="N29">
            <v>1E-4</v>
          </cell>
          <cell r="O29">
            <v>10</v>
          </cell>
          <cell r="P29">
            <v>1.9974799471815731E-9</v>
          </cell>
          <cell r="Q29">
            <v>2.3233835872882751E-13</v>
          </cell>
          <cell r="R29">
            <v>2.0387344890652281</v>
          </cell>
          <cell r="S29">
            <v>3.399868427304527E-10</v>
          </cell>
          <cell r="T29">
            <v>8.4116017844846187E-10</v>
          </cell>
          <cell r="U29">
            <v>2.0911730998783251</v>
          </cell>
          <cell r="V29">
            <v>1.7021317434135799E-5</v>
          </cell>
          <cell r="W29">
            <v>4.2112377851494111E-5</v>
          </cell>
          <cell r="X29">
            <v>2.0911731014047739</v>
          </cell>
          <cell r="Y29">
            <v>4.5170545571730558E-14</v>
          </cell>
          <cell r="Z29">
            <v>5.5550624861750494E-10</v>
          </cell>
          <cell r="AA29">
            <v>5.1435809726910557</v>
          </cell>
          <cell r="AB29">
            <v>1.5142227122410725</v>
          </cell>
          <cell r="AC29" t="str">
            <v>C21591.5</v>
          </cell>
          <cell r="AD29">
            <v>1000</v>
          </cell>
          <cell r="AE29">
            <v>3.3998684273045273E-7</v>
          </cell>
          <cell r="AF29">
            <v>8.4116017844846187E-7</v>
          </cell>
          <cell r="AG29">
            <v>2.0911730998783251</v>
          </cell>
          <cell r="AH29">
            <v>1000000000</v>
          </cell>
          <cell r="AI29">
            <v>1.9974799471815732</v>
          </cell>
          <cell r="AJ29">
            <v>2.323383587288275E-4</v>
          </cell>
          <cell r="AK29">
            <v>2.0387344890652281</v>
          </cell>
          <cell r="AL29">
            <v>1591.5</v>
          </cell>
        </row>
        <row r="30">
          <cell r="A30" t="str">
            <v>C3</v>
          </cell>
          <cell r="B30">
            <v>1591.5</v>
          </cell>
          <cell r="C30" t="str">
            <v>5Y</v>
          </cell>
          <cell r="D30">
            <v>304202</v>
          </cell>
          <cell r="E30">
            <v>160</v>
          </cell>
          <cell r="F30">
            <v>1591.5</v>
          </cell>
          <cell r="G30">
            <v>19.760000000000002</v>
          </cell>
          <cell r="H30">
            <v>0.5</v>
          </cell>
          <cell r="I30">
            <v>10</v>
          </cell>
          <cell r="J30">
            <v>0</v>
          </cell>
          <cell r="K30">
            <v>6.9999999999999994E-5</v>
          </cell>
          <cell r="L30">
            <v>10</v>
          </cell>
          <cell r="M30">
            <v>0</v>
          </cell>
          <cell r="N30">
            <v>1E-4</v>
          </cell>
          <cell r="O30">
            <v>10</v>
          </cell>
          <cell r="P30">
            <v>2.9922795657971949E-9</v>
          </cell>
          <cell r="Q30">
            <v>3.4298921179309191E-13</v>
          </cell>
          <cell r="R30">
            <v>2.0416855675884471</v>
          </cell>
          <cell r="S30">
            <v>3.6998568179490419E-10</v>
          </cell>
          <cell r="T30">
            <v>1.182427365791617E-9</v>
          </cell>
          <cell r="U30">
            <v>2.1454687891178108</v>
          </cell>
          <cell r="V30">
            <v>1.2365060321581761E-5</v>
          </cell>
          <cell r="W30">
            <v>3.951716623412619E-5</v>
          </cell>
          <cell r="X30">
            <v>2.1454687903929739</v>
          </cell>
          <cell r="Y30">
            <v>6.705613718127423E-14</v>
          </cell>
          <cell r="Z30">
            <v>8.2409380349502231E-10</v>
          </cell>
          <cell r="AA30">
            <v>5.1149563069206048</v>
          </cell>
          <cell r="AB30">
            <v>1.4348213283207378</v>
          </cell>
          <cell r="AC30" t="str">
            <v>C31591.5</v>
          </cell>
          <cell r="AD30">
            <v>1000</v>
          </cell>
          <cell r="AE30">
            <v>3.6998568179490421E-7</v>
          </cell>
          <cell r="AF30">
            <v>1.182427365791617E-6</v>
          </cell>
          <cell r="AG30">
            <v>2.1454687891178108</v>
          </cell>
          <cell r="AH30">
            <v>1000000000</v>
          </cell>
          <cell r="AI30">
            <v>2.9922795657971948</v>
          </cell>
          <cell r="AJ30">
            <v>3.4298921179309189E-4</v>
          </cell>
          <cell r="AK30">
            <v>2.0416855675884471</v>
          </cell>
          <cell r="AL30">
            <v>1591.5</v>
          </cell>
        </row>
        <row r="31">
          <cell r="A31" t="str">
            <v>C4</v>
          </cell>
          <cell r="B31">
            <v>1591.5</v>
          </cell>
          <cell r="C31" t="str">
            <v>5Y</v>
          </cell>
          <cell r="D31">
            <v>404451</v>
          </cell>
          <cell r="E31">
            <v>146</v>
          </cell>
          <cell r="F31">
            <v>1591.5</v>
          </cell>
          <cell r="G31">
            <v>19.75</v>
          </cell>
          <cell r="H31">
            <v>0.5</v>
          </cell>
          <cell r="I31">
            <v>10</v>
          </cell>
          <cell r="J31">
            <v>0</v>
          </cell>
          <cell r="K31">
            <v>6.9999999999999994E-5</v>
          </cell>
          <cell r="L31">
            <v>10</v>
          </cell>
          <cell r="M31">
            <v>0</v>
          </cell>
          <cell r="N31">
            <v>1E-4</v>
          </cell>
          <cell r="O31">
            <v>10</v>
          </cell>
          <cell r="P31">
            <v>3.9948598853536236E-9</v>
          </cell>
          <cell r="Q31">
            <v>4.5704888998026373E-13</v>
          </cell>
          <cell r="R31">
            <v>2.043394603514574</v>
          </cell>
          <cell r="S31">
            <v>2.299910994941299E-10</v>
          </cell>
          <cell r="T31">
            <v>1.544533375906858E-9</v>
          </cell>
          <cell r="U31">
            <v>2.1754446503618841</v>
          </cell>
          <cell r="V31">
            <v>5.7573544370390752E-6</v>
          </cell>
          <cell r="W31">
            <v>3.8664218319809579E-5</v>
          </cell>
          <cell r="X31">
            <v>2.1754446508880312</v>
          </cell>
          <cell r="Y31">
            <v>8.9112904211515677E-14</v>
          </cell>
          <cell r="Z31">
            <v>1.094782082379483E-9</v>
          </cell>
          <cell r="AA31">
            <v>5.1288743647656956</v>
          </cell>
          <cell r="AB31">
            <v>1.4108135315384878</v>
          </cell>
          <cell r="AC31" t="str">
            <v>C41591.5</v>
          </cell>
          <cell r="AD31">
            <v>1000</v>
          </cell>
          <cell r="AE31">
            <v>2.299910994941299E-7</v>
          </cell>
          <cell r="AF31">
            <v>1.5445333759068581E-6</v>
          </cell>
          <cell r="AG31">
            <v>2.1754446503618841</v>
          </cell>
          <cell r="AH31">
            <v>1000000000</v>
          </cell>
          <cell r="AI31">
            <v>3.9948598853536237</v>
          </cell>
          <cell r="AJ31">
            <v>4.5704888998026374E-4</v>
          </cell>
          <cell r="AK31">
            <v>2.043394603514574</v>
          </cell>
          <cell r="AL31">
            <v>1591.5</v>
          </cell>
        </row>
        <row r="32">
          <cell r="A32" t="str">
            <v>C5</v>
          </cell>
          <cell r="B32">
            <v>1591.5</v>
          </cell>
          <cell r="C32" t="str">
            <v>5Y</v>
          </cell>
          <cell r="D32">
            <v>504786</v>
          </cell>
          <cell r="E32">
            <v>116</v>
          </cell>
          <cell r="F32">
            <v>1591.5</v>
          </cell>
          <cell r="G32">
            <v>19.75</v>
          </cell>
          <cell r="H32">
            <v>0.5</v>
          </cell>
          <cell r="I32">
            <v>10</v>
          </cell>
          <cell r="J32">
            <v>0</v>
          </cell>
          <cell r="K32">
            <v>6.9999999999999994E-5</v>
          </cell>
          <cell r="L32">
            <v>10</v>
          </cell>
          <cell r="M32">
            <v>0</v>
          </cell>
          <cell r="N32">
            <v>1E-4</v>
          </cell>
          <cell r="O32">
            <v>10</v>
          </cell>
          <cell r="P32">
            <v>4.9983002823919412E-9</v>
          </cell>
          <cell r="Q32">
            <v>5.699884414197902E-13</v>
          </cell>
          <cell r="R32">
            <v>2.0438624917684858</v>
          </cell>
          <cell r="S32">
            <v>-6.9997291150387469E-11</v>
          </cell>
          <cell r="T32">
            <v>1.9138887585401261E-9</v>
          </cell>
          <cell r="U32">
            <v>2.1922229724607951</v>
          </cell>
          <cell r="V32">
            <v>-1.400465383517246E-6</v>
          </cell>
          <cell r="W32">
            <v>3.829198116572226E-5</v>
          </cell>
          <cell r="X32">
            <v>2.192222972359978</v>
          </cell>
          <cell r="Y32">
            <v>1.1118859294635869E-13</v>
          </cell>
          <cell r="Z32">
            <v>1.3657025749716531E-9</v>
          </cell>
          <cell r="AA32">
            <v>5.1263212018050517</v>
          </cell>
          <cell r="AB32">
            <v>1.401394998892677</v>
          </cell>
          <cell r="AC32" t="str">
            <v>C51591.5</v>
          </cell>
          <cell r="AD32">
            <v>1000</v>
          </cell>
          <cell r="AE32">
            <v>-6.9997291150387469E-8</v>
          </cell>
          <cell r="AF32">
            <v>1.9138887585401259E-6</v>
          </cell>
          <cell r="AG32">
            <v>2.1922229724607951</v>
          </cell>
          <cell r="AH32">
            <v>1000000000</v>
          </cell>
          <cell r="AI32">
            <v>4.9983002823919414</v>
          </cell>
          <cell r="AJ32">
            <v>5.6998844141979016E-4</v>
          </cell>
          <cell r="AK32">
            <v>2.0438624917684858</v>
          </cell>
          <cell r="AL32">
            <v>1591.5</v>
          </cell>
        </row>
        <row r="33">
          <cell r="A33" t="str">
            <v>C6</v>
          </cell>
          <cell r="B33">
            <v>1591.5</v>
          </cell>
          <cell r="C33" t="str">
            <v>5Y</v>
          </cell>
          <cell r="D33">
            <v>604205</v>
          </cell>
          <cell r="E33">
            <v>67</v>
          </cell>
          <cell r="F33">
            <v>1591.5</v>
          </cell>
          <cell r="G33">
            <v>19.75</v>
          </cell>
          <cell r="H33">
            <v>0.5</v>
          </cell>
          <cell r="I33">
            <v>10</v>
          </cell>
          <cell r="J33">
            <v>0</v>
          </cell>
          <cell r="K33">
            <v>6.9999999999999994E-5</v>
          </cell>
          <cell r="L33">
            <v>10</v>
          </cell>
          <cell r="M33">
            <v>0</v>
          </cell>
          <cell r="N33">
            <v>1E-4</v>
          </cell>
          <cell r="O33">
            <v>10</v>
          </cell>
          <cell r="P33">
            <v>5.9925798541580487E-9</v>
          </cell>
          <cell r="Q33">
            <v>6.8201721326008383E-13</v>
          </cell>
          <cell r="R33">
            <v>2.0441019246197518</v>
          </cell>
          <cell r="S33">
            <v>-5.5997832920309923E-10</v>
          </cell>
          <cell r="T33">
            <v>2.283061244996019E-9</v>
          </cell>
          <cell r="U33">
            <v>2.2021688365475329</v>
          </cell>
          <cell r="V33">
            <v>-9.3448186821338453E-6</v>
          </cell>
          <cell r="W33">
            <v>3.8099319685464992E-5</v>
          </cell>
          <cell r="X33">
            <v>2.2021688360822038</v>
          </cell>
          <cell r="Y33">
            <v>1.33062743525213E-13</v>
          </cell>
          <cell r="Z33">
            <v>1.6341497215607881E-9</v>
          </cell>
          <cell r="AA33">
            <v>5.1255309727689013</v>
          </cell>
          <cell r="AB33">
            <v>1.3970942899989915</v>
          </cell>
          <cell r="AC33" t="str">
            <v>C61591.5</v>
          </cell>
          <cell r="AD33">
            <v>1000</v>
          </cell>
          <cell r="AE33">
            <v>-5.5997832920309922E-7</v>
          </cell>
          <cell r="AF33">
            <v>2.2830612449960191E-6</v>
          </cell>
          <cell r="AG33">
            <v>2.2021688365475329</v>
          </cell>
          <cell r="AH33">
            <v>1000000000</v>
          </cell>
          <cell r="AI33">
            <v>5.9925798541580484</v>
          </cell>
          <cell r="AJ33">
            <v>6.8201721326008379E-4</v>
          </cell>
          <cell r="AK33">
            <v>2.0441019246197518</v>
          </cell>
          <cell r="AL33">
            <v>1591.5</v>
          </cell>
        </row>
        <row r="34">
          <cell r="A34" t="str">
            <v>C7</v>
          </cell>
          <cell r="B34">
            <v>1591.5</v>
          </cell>
          <cell r="C34" t="str">
            <v>5Y</v>
          </cell>
          <cell r="D34">
            <v>704439</v>
          </cell>
          <cell r="E34">
            <v>137</v>
          </cell>
          <cell r="F34">
            <v>1591.5</v>
          </cell>
          <cell r="G34">
            <v>19.760000000000002</v>
          </cell>
          <cell r="H34">
            <v>0.5</v>
          </cell>
          <cell r="I34">
            <v>10</v>
          </cell>
          <cell r="J34">
            <v>0</v>
          </cell>
          <cell r="K34">
            <v>6.9999999999999994E-5</v>
          </cell>
          <cell r="L34">
            <v>10</v>
          </cell>
          <cell r="M34">
            <v>0</v>
          </cell>
          <cell r="N34">
            <v>1E-4</v>
          </cell>
          <cell r="O34">
            <v>10</v>
          </cell>
          <cell r="P34">
            <v>6.9950101602001948E-9</v>
          </cell>
          <cell r="Q34">
            <v>7.9164228435395461E-13</v>
          </cell>
          <cell r="R34">
            <v>2.0435845915965101</v>
          </cell>
          <cell r="S34">
            <v>1.3999458230077429E-10</v>
          </cell>
          <cell r="T34">
            <v>2.6570024760588439E-9</v>
          </cell>
          <cell r="U34">
            <v>2.2085461590323261</v>
          </cell>
          <cell r="V34">
            <v>2.001411395152003E-6</v>
          </cell>
          <cell r="W34">
            <v>3.7985434470821377E-5</v>
          </cell>
          <cell r="X34">
            <v>2.208546159157009</v>
          </cell>
          <cell r="Y34">
            <v>1.5511621025814019E-13</v>
          </cell>
          <cell r="Z34">
            <v>1.904797498054371E-9</v>
          </cell>
          <cell r="AA34">
            <v>5.1035432276002943</v>
          </cell>
          <cell r="AB34">
            <v>1.3949002341575953</v>
          </cell>
          <cell r="AC34" t="str">
            <v>C71591.5</v>
          </cell>
          <cell r="AD34">
            <v>1000</v>
          </cell>
          <cell r="AE34">
            <v>1.399945823007743E-7</v>
          </cell>
          <cell r="AF34">
            <v>2.657002476058844E-6</v>
          </cell>
          <cell r="AG34">
            <v>2.2085461590323261</v>
          </cell>
          <cell r="AH34">
            <v>1000000000</v>
          </cell>
          <cell r="AI34">
            <v>6.9950101602001951</v>
          </cell>
          <cell r="AJ34">
            <v>7.9164228435395462E-4</v>
          </cell>
          <cell r="AK34">
            <v>2.0435845915965101</v>
          </cell>
          <cell r="AL34">
            <v>1591.5</v>
          </cell>
        </row>
        <row r="35">
          <cell r="A35" t="str">
            <v>C8</v>
          </cell>
          <cell r="B35">
            <v>1591.5</v>
          </cell>
          <cell r="C35" t="str">
            <v>5Y</v>
          </cell>
          <cell r="D35">
            <v>803838</v>
          </cell>
          <cell r="E35">
            <v>238</v>
          </cell>
          <cell r="F35">
            <v>1591.5</v>
          </cell>
          <cell r="G35">
            <v>19.760000000000002</v>
          </cell>
          <cell r="H35">
            <v>0.5</v>
          </cell>
          <cell r="I35">
            <v>10</v>
          </cell>
          <cell r="J35">
            <v>0</v>
          </cell>
          <cell r="K35">
            <v>6.9999999999999994E-5</v>
          </cell>
          <cell r="L35">
            <v>10</v>
          </cell>
          <cell r="M35">
            <v>0</v>
          </cell>
          <cell r="N35">
            <v>1E-4</v>
          </cell>
          <cell r="O35">
            <v>10</v>
          </cell>
          <cell r="P35">
            <v>7.9890897139472595E-9</v>
          </cell>
          <cell r="Q35">
            <v>9.0328195437323895E-13</v>
          </cell>
          <cell r="R35">
            <v>2.043667734322129</v>
          </cell>
          <cell r="S35">
            <v>1.149955497470649E-9</v>
          </cell>
          <cell r="T35">
            <v>3.028876850559554E-9</v>
          </cell>
          <cell r="U35">
            <v>2.2127708182143562</v>
          </cell>
          <cell r="V35">
            <v>1.4394521221946769E-5</v>
          </cell>
          <cell r="W35">
            <v>3.7913842915989301E-5</v>
          </cell>
          <cell r="X35">
            <v>2.2127708193622229</v>
          </cell>
          <cell r="Y35">
            <v>1.7698596044057559E-13</v>
          </cell>
          <cell r="Z35">
            <v>2.173190641455667E-9</v>
          </cell>
          <cell r="AA35">
            <v>5.1036927003965538</v>
          </cell>
          <cell r="AB35">
            <v>1.3937465000910934</v>
          </cell>
          <cell r="AC35" t="str">
            <v>C81591.5</v>
          </cell>
          <cell r="AD35">
            <v>1000</v>
          </cell>
          <cell r="AE35">
            <v>1.149955497470649E-6</v>
          </cell>
          <cell r="AF35">
            <v>3.0288768505595538E-6</v>
          </cell>
          <cell r="AG35">
            <v>2.2127708182143562</v>
          </cell>
          <cell r="AH35">
            <v>1000000000</v>
          </cell>
          <cell r="AI35">
            <v>7.9890897139472594</v>
          </cell>
          <cell r="AJ35">
            <v>9.0328195437323899E-4</v>
          </cell>
          <cell r="AK35">
            <v>2.043667734322129</v>
          </cell>
          <cell r="AL35">
            <v>1591.5</v>
          </cell>
        </row>
        <row r="36">
          <cell r="A36" t="str">
            <v>C9</v>
          </cell>
          <cell r="B36">
            <v>1591.5</v>
          </cell>
          <cell r="C36" t="str">
            <v>5Y</v>
          </cell>
          <cell r="D36">
            <v>904057</v>
          </cell>
          <cell r="E36">
            <v>329</v>
          </cell>
          <cell r="F36">
            <v>1591.5</v>
          </cell>
          <cell r="G36">
            <v>19.78</v>
          </cell>
          <cell r="H36">
            <v>0.5</v>
          </cell>
          <cell r="I36">
            <v>10</v>
          </cell>
          <cell r="J36">
            <v>0</v>
          </cell>
          <cell r="K36">
            <v>6.9999999999999994E-5</v>
          </cell>
          <cell r="L36">
            <v>10</v>
          </cell>
          <cell r="M36">
            <v>0</v>
          </cell>
          <cell r="N36">
            <v>1E-4</v>
          </cell>
          <cell r="O36">
            <v>10</v>
          </cell>
          <cell r="P36">
            <v>8.9913700064751199E-9</v>
          </cell>
          <cell r="Q36">
            <v>1.007664110550956E-12</v>
          </cell>
          <cell r="R36">
            <v>2.0424978224834049</v>
          </cell>
          <cell r="S36">
            <v>2.0599202824256849E-9</v>
          </cell>
          <cell r="T36">
            <v>3.4045157787099001E-9</v>
          </cell>
          <cell r="U36">
            <v>2.2157301605774999</v>
          </cell>
          <cell r="V36">
            <v>2.2910682806734452E-5</v>
          </cell>
          <cell r="W36">
            <v>3.7865436712557743E-5</v>
          </cell>
          <cell r="X36">
            <v>2.2157301627214752</v>
          </cell>
          <cell r="Y36">
            <v>1.990361268761886E-13</v>
          </cell>
          <cell r="Z36">
            <v>2.4437979155583689E-9</v>
          </cell>
          <cell r="AA36">
            <v>5.0627196497738245</v>
          </cell>
          <cell r="AB36">
            <v>1.3931249212691232</v>
          </cell>
          <cell r="AC36" t="str">
            <v>C91591.5</v>
          </cell>
          <cell r="AD36">
            <v>1000</v>
          </cell>
          <cell r="AE36">
            <v>2.0599202824256849E-6</v>
          </cell>
          <cell r="AF36">
            <v>3.4045157787099E-6</v>
          </cell>
          <cell r="AG36">
            <v>2.2157301605774999</v>
          </cell>
          <cell r="AH36">
            <v>1000000000</v>
          </cell>
          <cell r="AI36">
            <v>8.9913700064751207</v>
          </cell>
          <cell r="AJ36">
            <v>1.0076641105509561E-3</v>
          </cell>
          <cell r="AK36">
            <v>2.0424978224834049</v>
          </cell>
          <cell r="AL36">
            <v>1591.5</v>
          </cell>
        </row>
        <row r="37">
          <cell r="A37" t="str">
            <v>C10</v>
          </cell>
          <cell r="B37">
            <v>1591.5</v>
          </cell>
          <cell r="C37" t="str">
            <v>5Y</v>
          </cell>
          <cell r="D37">
            <v>1003463</v>
          </cell>
          <cell r="E37">
            <v>493</v>
          </cell>
          <cell r="F37">
            <v>1591.5</v>
          </cell>
          <cell r="G37">
            <v>19.86</v>
          </cell>
          <cell r="H37">
            <v>0.5</v>
          </cell>
          <cell r="I37">
            <v>10</v>
          </cell>
          <cell r="J37">
            <v>0</v>
          </cell>
          <cell r="K37">
            <v>6.9999999999999994E-5</v>
          </cell>
          <cell r="L37">
            <v>10</v>
          </cell>
          <cell r="M37">
            <v>0</v>
          </cell>
          <cell r="N37">
            <v>1E-4</v>
          </cell>
          <cell r="O37">
            <v>10</v>
          </cell>
          <cell r="P37">
            <v>9.9855195665288511E-9</v>
          </cell>
          <cell r="Q37">
            <v>1.0896109491564369E-12</v>
          </cell>
          <cell r="R37">
            <v>2.038755549119657</v>
          </cell>
          <cell r="S37">
            <v>3.6998568179490462E-9</v>
          </cell>
          <cell r="T37">
            <v>3.7775954300011353E-9</v>
          </cell>
          <cell r="U37">
            <v>2.2178315217790932</v>
          </cell>
          <cell r="V37">
            <v>3.7053372219249102E-5</v>
          </cell>
          <cell r="W37">
            <v>3.7831909818105252E-5</v>
          </cell>
          <cell r="X37">
            <v>2.2178315265685939</v>
          </cell>
          <cell r="Y37">
            <v>2.209074171973707E-13</v>
          </cell>
          <cell r="Z37">
            <v>2.712209960075409E-9</v>
          </cell>
          <cell r="AA37">
            <v>4.9324326135365535</v>
          </cell>
          <cell r="AB37">
            <v>1.3928108389868552</v>
          </cell>
          <cell r="AC37" t="str">
            <v>C101591.5</v>
          </cell>
          <cell r="AD37">
            <v>1000</v>
          </cell>
          <cell r="AE37">
            <v>3.6998568179490461E-6</v>
          </cell>
          <cell r="AF37">
            <v>3.7775954300011352E-6</v>
          </cell>
          <cell r="AG37">
            <v>2.2178315217790932</v>
          </cell>
          <cell r="AH37">
            <v>1000000000</v>
          </cell>
          <cell r="AI37">
            <v>9.9855195665288505</v>
          </cell>
          <cell r="AJ37">
            <v>1.089610949156437E-3</v>
          </cell>
          <cell r="AK37">
            <v>2.038755549119657</v>
          </cell>
          <cell r="AL37">
            <v>1591.5</v>
          </cell>
        </row>
        <row r="38">
          <cell r="A38" t="str">
            <v>coax zero</v>
          </cell>
          <cell r="B38">
            <v>1591.5</v>
          </cell>
          <cell r="C38" t="str">
            <v>5Y</v>
          </cell>
          <cell r="D38">
            <v>0</v>
          </cell>
          <cell r="E38">
            <v>0</v>
          </cell>
          <cell r="F38">
            <v>1591.5</v>
          </cell>
          <cell r="G38">
            <v>19.84</v>
          </cell>
          <cell r="H38">
            <v>0.5</v>
          </cell>
          <cell r="I38">
            <v>10</v>
          </cell>
          <cell r="J38">
            <v>0</v>
          </cell>
          <cell r="K38">
            <v>6.9999999999999994E-5</v>
          </cell>
          <cell r="L38">
            <v>10</v>
          </cell>
          <cell r="M38">
            <v>0</v>
          </cell>
          <cell r="N38">
            <v>1E-4</v>
          </cell>
          <cell r="O38">
            <v>10</v>
          </cell>
          <cell r="P38">
            <v>0</v>
          </cell>
          <cell r="Q38">
            <v>3.2277921225849973E-14</v>
          </cell>
          <cell r="R38">
            <v>2.08946806431709</v>
          </cell>
          <cell r="S38">
            <v>0</v>
          </cell>
          <cell r="T38">
            <v>3.2273764427759331E-10</v>
          </cell>
          <cell r="U38">
            <v>2.08946806431709</v>
          </cell>
          <cell r="V38">
            <v>1.2566760917373549E-16</v>
          </cell>
          <cell r="W38">
            <v>0</v>
          </cell>
          <cell r="AA38" t="e">
            <v>#DIV/0!</v>
          </cell>
          <cell r="AB38" t="e">
            <v>#DIV/0!</v>
          </cell>
          <cell r="AC38" t="str">
            <v>coax zero1591.5</v>
          </cell>
          <cell r="AD38">
            <v>1000</v>
          </cell>
          <cell r="AE38">
            <v>0</v>
          </cell>
          <cell r="AF38">
            <v>3.2273764427759331E-7</v>
          </cell>
          <cell r="AG38">
            <v>2.08946806431709</v>
          </cell>
          <cell r="AH38">
            <v>1000000000000</v>
          </cell>
          <cell r="AI38">
            <v>0</v>
          </cell>
          <cell r="AJ38">
            <v>3.2277921225849972E-2</v>
          </cell>
          <cell r="AK38">
            <v>2.08946806431709</v>
          </cell>
          <cell r="AL38">
            <v>1591.5</v>
          </cell>
        </row>
        <row r="39">
          <cell r="A39" t="str">
            <v>main_zero</v>
          </cell>
          <cell r="B39">
            <v>1591.5</v>
          </cell>
          <cell r="C39" t="str">
            <v>6Y</v>
          </cell>
          <cell r="D39">
            <v>50024</v>
          </cell>
          <cell r="E39">
            <v>1095</v>
          </cell>
          <cell r="F39">
            <v>1591.5</v>
          </cell>
          <cell r="G39">
            <v>19.670000000000002</v>
          </cell>
          <cell r="H39">
            <v>0.5</v>
          </cell>
          <cell r="I39">
            <v>10</v>
          </cell>
          <cell r="J39">
            <v>0</v>
          </cell>
          <cell r="K39">
            <v>6.9999999999999994E-5</v>
          </cell>
          <cell r="L39">
            <v>10</v>
          </cell>
          <cell r="M39">
            <v>0</v>
          </cell>
          <cell r="N39">
            <v>1E-4</v>
          </cell>
          <cell r="O39">
            <v>10</v>
          </cell>
          <cell r="P39">
            <v>4.9143522789431212E-11</v>
          </cell>
          <cell r="Q39">
            <v>1.5423434907529409E-12</v>
          </cell>
          <cell r="R39">
            <v>2.5705264285340821</v>
          </cell>
          <cell r="S39">
            <v>1.0800262442111519E-9</v>
          </cell>
          <cell r="T39">
            <v>4.7012919176658029E-11</v>
          </cell>
          <cell r="U39">
            <v>2.011488060706661</v>
          </cell>
          <cell r="V39">
            <v>2.1977663134311151E-3</v>
          </cell>
          <cell r="W39">
            <v>1.1020777541487211E-4</v>
          </cell>
          <cell r="X39">
            <v>2.0181675079277692</v>
          </cell>
          <cell r="Y39">
            <v>1.2263641015297909E-15</v>
          </cell>
          <cell r="Z39">
            <v>1.6208044449780479E-11</v>
          </cell>
          <cell r="AA39">
            <v>1257.6554457432267</v>
          </cell>
          <cell r="AB39">
            <v>2.9005916982967537</v>
          </cell>
          <cell r="AC39" t="str">
            <v>main_zero1591.5</v>
          </cell>
          <cell r="AD39">
            <v>1000</v>
          </cell>
          <cell r="AE39">
            <v>1.0800262442111519E-6</v>
          </cell>
          <cell r="AF39">
            <v>4.7012919176658028E-8</v>
          </cell>
          <cell r="AG39">
            <v>2.011488060706661</v>
          </cell>
          <cell r="AH39">
            <v>1000000000000</v>
          </cell>
          <cell r="AI39">
            <v>49.143522789431209</v>
          </cell>
          <cell r="AJ39">
            <v>1.542343490752941</v>
          </cell>
          <cell r="AK39">
            <v>2.5705264285340821</v>
          </cell>
          <cell r="AL39">
            <v>1591.5</v>
          </cell>
        </row>
        <row r="40">
          <cell r="A40" t="str">
            <v>D1</v>
          </cell>
          <cell r="B40">
            <v>1591.5</v>
          </cell>
          <cell r="C40" t="str">
            <v>6Y</v>
          </cell>
          <cell r="D40">
            <v>146641</v>
          </cell>
          <cell r="E40">
            <v>1150</v>
          </cell>
          <cell r="F40">
            <v>1591.5</v>
          </cell>
          <cell r="G40">
            <v>19.72</v>
          </cell>
          <cell r="H40">
            <v>0.5</v>
          </cell>
          <cell r="I40">
            <v>10</v>
          </cell>
          <cell r="J40">
            <v>0</v>
          </cell>
          <cell r="K40">
            <v>6.9999999999999994E-5</v>
          </cell>
          <cell r="L40">
            <v>10</v>
          </cell>
          <cell r="M40">
            <v>0</v>
          </cell>
          <cell r="N40">
            <v>1E-4</v>
          </cell>
          <cell r="O40">
            <v>10</v>
          </cell>
          <cell r="P40">
            <v>9.6631792196077704E-11</v>
          </cell>
          <cell r="Q40">
            <v>1.6686378239978371E-14</v>
          </cell>
          <cell r="R40">
            <v>2.0391009284297841</v>
          </cell>
          <cell r="S40">
            <v>5.5001336510753119E-11</v>
          </cell>
          <cell r="T40">
            <v>5.5026876297270853E-11</v>
          </cell>
          <cell r="U40">
            <v>2.0171004625881719</v>
          </cell>
          <cell r="V40">
            <v>5.6920236668737848E-5</v>
          </cell>
          <cell r="W40">
            <v>5.6946660542239117E-5</v>
          </cell>
          <cell r="X40">
            <v>2.0171004955311349</v>
          </cell>
          <cell r="Y40">
            <v>3.352263529843501E-15</v>
          </cell>
          <cell r="Z40">
            <v>4.2297818011912499E-11</v>
          </cell>
          <cell r="AA40">
            <v>4.9776451318424142</v>
          </cell>
          <cell r="AB40">
            <v>1.300938887244099</v>
          </cell>
          <cell r="AC40" t="str">
            <v>D11591.5</v>
          </cell>
          <cell r="AD40">
            <v>1000</v>
          </cell>
          <cell r="AE40">
            <v>5.5001336510753117E-8</v>
          </cell>
          <cell r="AF40">
            <v>5.5026876297270852E-8</v>
          </cell>
          <cell r="AG40">
            <v>2.0171004625881719</v>
          </cell>
          <cell r="AH40">
            <v>1000000000000</v>
          </cell>
          <cell r="AI40">
            <v>96.631792196077697</v>
          </cell>
          <cell r="AJ40">
            <v>1.6686378239978372E-2</v>
          </cell>
          <cell r="AK40">
            <v>2.0391009284297841</v>
          </cell>
          <cell r="AL40">
            <v>1591.5</v>
          </cell>
        </row>
        <row r="41">
          <cell r="A41" t="str">
            <v>D2</v>
          </cell>
          <cell r="B41">
            <v>1591.5</v>
          </cell>
          <cell r="C41" t="str">
            <v>6Y</v>
          </cell>
          <cell r="D41">
            <v>245729</v>
          </cell>
          <cell r="E41">
            <v>1138</v>
          </cell>
          <cell r="F41">
            <v>1591.5</v>
          </cell>
          <cell r="G41">
            <v>19.73</v>
          </cell>
          <cell r="H41">
            <v>0.5</v>
          </cell>
          <cell r="I41">
            <v>10</v>
          </cell>
          <cell r="J41">
            <v>0</v>
          </cell>
          <cell r="K41">
            <v>6.9999999999999994E-5</v>
          </cell>
          <cell r="L41">
            <v>10</v>
          </cell>
          <cell r="M41">
            <v>0</v>
          </cell>
          <cell r="N41">
            <v>1E-4</v>
          </cell>
          <cell r="O41">
            <v>10</v>
          </cell>
          <cell r="P41">
            <v>1.9573496270566671E-10</v>
          </cell>
          <cell r="Q41">
            <v>2.7317999129987419E-14</v>
          </cell>
          <cell r="R41">
            <v>2.047482982003682</v>
          </cell>
          <cell r="S41">
            <v>4.3001044908407082E-11</v>
          </cell>
          <cell r="T41">
            <v>8.2815655583053245E-11</v>
          </cell>
          <cell r="U41">
            <v>2.088319158918944</v>
          </cell>
          <cell r="V41">
            <v>2.1969698155861538E-5</v>
          </cell>
          <cell r="W41">
            <v>4.2311411436935623E-5</v>
          </cell>
          <cell r="X41">
            <v>2.088319180523273</v>
          </cell>
          <cell r="Y41">
            <v>5.5325332810544572E-15</v>
          </cell>
          <cell r="Z41">
            <v>6.9054842994312481E-11</v>
          </cell>
          <cell r="AA41">
            <v>4.937701725814259</v>
          </cell>
          <cell r="AB41">
            <v>1.1992736786017186</v>
          </cell>
          <cell r="AC41" t="str">
            <v>D21591.5</v>
          </cell>
          <cell r="AD41">
            <v>1000</v>
          </cell>
          <cell r="AE41">
            <v>4.3001044908407078E-8</v>
          </cell>
          <cell r="AF41">
            <v>8.2815655583053248E-8</v>
          </cell>
          <cell r="AG41">
            <v>2.088319158918944</v>
          </cell>
          <cell r="AH41">
            <v>1000000000000</v>
          </cell>
          <cell r="AI41">
            <v>195.7349627056667</v>
          </cell>
          <cell r="AJ41">
            <v>2.7317999129987419E-2</v>
          </cell>
          <cell r="AK41">
            <v>2.047482982003682</v>
          </cell>
          <cell r="AL41">
            <v>1591.5</v>
          </cell>
        </row>
        <row r="42">
          <cell r="A42" t="str">
            <v>D3</v>
          </cell>
          <cell r="B42">
            <v>1591.5</v>
          </cell>
          <cell r="C42" t="str">
            <v>6Y</v>
          </cell>
          <cell r="D42">
            <v>342214</v>
          </cell>
          <cell r="E42">
            <v>1170</v>
          </cell>
          <cell r="F42">
            <v>1591.5</v>
          </cell>
          <cell r="G42">
            <v>19.739999999999998</v>
          </cell>
          <cell r="H42">
            <v>0.5</v>
          </cell>
          <cell r="I42">
            <v>10</v>
          </cell>
          <cell r="J42">
            <v>0</v>
          </cell>
          <cell r="K42">
            <v>6.9999999999999994E-5</v>
          </cell>
          <cell r="L42">
            <v>10</v>
          </cell>
          <cell r="M42">
            <v>0</v>
          </cell>
          <cell r="N42">
            <v>1E-4</v>
          </cell>
          <cell r="O42">
            <v>10</v>
          </cell>
          <cell r="P42">
            <v>2.9223473469236221E-10</v>
          </cell>
          <cell r="Q42">
            <v>3.789112183972134E-14</v>
          </cell>
          <cell r="R42">
            <v>2.04827494430794</v>
          </cell>
          <cell r="S42">
            <v>7.5001822514663277E-11</v>
          </cell>
          <cell r="T42">
            <v>1.157615915440642E-10</v>
          </cell>
          <cell r="U42">
            <v>2.142625417849084</v>
          </cell>
          <cell r="V42">
            <v>2.566572111961755E-5</v>
          </cell>
          <cell r="W42">
            <v>3.9613766235884842E-5</v>
          </cell>
          <cell r="X42">
            <v>2.1426254444280639</v>
          </cell>
          <cell r="Y42">
            <v>7.655528264761758E-15</v>
          </cell>
          <cell r="Z42">
            <v>9.5108972207000807E-11</v>
          </cell>
          <cell r="AA42">
            <v>4.9495110630227055</v>
          </cell>
          <cell r="AB42">
            <v>1.2171469090435947</v>
          </cell>
          <cell r="AC42" t="str">
            <v>D31591.5</v>
          </cell>
          <cell r="AD42">
            <v>1000</v>
          </cell>
          <cell r="AE42">
            <v>7.5001822514663282E-8</v>
          </cell>
          <cell r="AF42">
            <v>1.1576159154406419E-7</v>
          </cell>
          <cell r="AG42">
            <v>2.142625417849084</v>
          </cell>
          <cell r="AH42">
            <v>1000000000000</v>
          </cell>
          <cell r="AI42">
            <v>292.23473469236222</v>
          </cell>
          <cell r="AJ42">
            <v>3.7891121839721341E-2</v>
          </cell>
          <cell r="AK42">
            <v>2.04827494430794</v>
          </cell>
          <cell r="AL42">
            <v>1591.5</v>
          </cell>
        </row>
        <row r="43">
          <cell r="A43" t="str">
            <v>D4</v>
          </cell>
          <cell r="B43">
            <v>1591.5</v>
          </cell>
          <cell r="C43" t="str">
            <v>6Y</v>
          </cell>
          <cell r="D43">
            <v>442013</v>
          </cell>
          <cell r="E43">
            <v>1123</v>
          </cell>
          <cell r="F43">
            <v>1591.5</v>
          </cell>
          <cell r="G43">
            <v>19.739999999999998</v>
          </cell>
          <cell r="H43">
            <v>0.5</v>
          </cell>
          <cell r="I43">
            <v>10</v>
          </cell>
          <cell r="J43">
            <v>0</v>
          </cell>
          <cell r="K43">
            <v>6.9999999999999994E-5</v>
          </cell>
          <cell r="L43">
            <v>10</v>
          </cell>
          <cell r="M43">
            <v>0</v>
          </cell>
          <cell r="N43">
            <v>1E-4</v>
          </cell>
          <cell r="O43">
            <v>10</v>
          </cell>
          <cell r="P43">
            <v>3.9204901405703262E-10</v>
          </cell>
          <cell r="Q43">
            <v>4.9075301665357553E-14</v>
          </cell>
          <cell r="R43">
            <v>2.0484668144377398</v>
          </cell>
          <cell r="S43">
            <v>2.8000680405474461E-11</v>
          </cell>
          <cell r="T43">
            <v>1.517316037028433E-10</v>
          </cell>
          <cell r="U43">
            <v>2.1738385616962388</v>
          </cell>
          <cell r="V43">
            <v>7.1423595223454657E-6</v>
          </cell>
          <cell r="W43">
            <v>3.8703404511581348E-5</v>
          </cell>
          <cell r="X43">
            <v>2.173838568255253</v>
          </cell>
          <cell r="Y43">
            <v>9.8514424107845073E-15</v>
          </cell>
          <cell r="Z43">
            <v>1.220579906170861E-10</v>
          </cell>
          <cell r="AA43">
            <v>4.9815346442703818</v>
          </cell>
          <cell r="AB43">
            <v>1.2431107782107251</v>
          </cell>
          <cell r="AC43" t="str">
            <v>D41591.5</v>
          </cell>
          <cell r="AD43">
            <v>1000</v>
          </cell>
          <cell r="AE43">
            <v>2.8000680405474461E-8</v>
          </cell>
          <cell r="AF43">
            <v>1.5173160370284331E-7</v>
          </cell>
          <cell r="AG43">
            <v>2.1738385616962388</v>
          </cell>
          <cell r="AH43">
            <v>1000000000000</v>
          </cell>
          <cell r="AI43">
            <v>392.04901405703265</v>
          </cell>
          <cell r="AJ43">
            <v>4.9075301665357556E-2</v>
          </cell>
          <cell r="AK43">
            <v>2.0484668144377398</v>
          </cell>
          <cell r="AL43">
            <v>1591.5</v>
          </cell>
        </row>
        <row r="44">
          <cell r="A44" t="str">
            <v>D5</v>
          </cell>
          <cell r="B44">
            <v>1591.5</v>
          </cell>
          <cell r="C44" t="str">
            <v>6Y</v>
          </cell>
          <cell r="D44">
            <v>538500</v>
          </cell>
          <cell r="E44">
            <v>1140</v>
          </cell>
          <cell r="F44">
            <v>1591.5</v>
          </cell>
          <cell r="G44">
            <v>19.739999999999998</v>
          </cell>
          <cell r="H44">
            <v>0.5</v>
          </cell>
          <cell r="I44">
            <v>10</v>
          </cell>
          <cell r="J44">
            <v>0</v>
          </cell>
          <cell r="K44">
            <v>6.9999999999999994E-5</v>
          </cell>
          <cell r="L44">
            <v>10</v>
          </cell>
          <cell r="M44">
            <v>0</v>
          </cell>
          <cell r="N44">
            <v>1E-4</v>
          </cell>
          <cell r="O44">
            <v>10</v>
          </cell>
          <cell r="P44">
            <v>4.8855078634993086E-10</v>
          </cell>
          <cell r="Q44">
            <v>5.9937001568168622E-14</v>
          </cell>
          <cell r="R44">
            <v>2.0483102141884881</v>
          </cell>
          <cell r="S44">
            <v>4.5001093508798049E-11</v>
          </cell>
          <cell r="T44">
            <v>1.8720748090422981E-10</v>
          </cell>
          <cell r="U44">
            <v>2.1908528911668168</v>
          </cell>
          <cell r="V44">
            <v>9.2114253972859246E-6</v>
          </cell>
          <cell r="W44">
            <v>3.8320129651074198E-5</v>
          </cell>
          <cell r="X44">
            <v>2.1908528985493989</v>
          </cell>
          <cell r="Y44">
            <v>1.197448140122827E-14</v>
          </cell>
          <cell r="Z44">
            <v>1.4811265989567511E-10</v>
          </cell>
          <cell r="AA44">
            <v>5.0053943515266264</v>
          </cell>
          <cell r="AB44">
            <v>1.2639532706798433</v>
          </cell>
          <cell r="AC44" t="str">
            <v>D51591.5</v>
          </cell>
          <cell r="AD44">
            <v>1000</v>
          </cell>
          <cell r="AE44">
            <v>4.5001093508798047E-8</v>
          </cell>
          <cell r="AF44">
            <v>1.8720748090422981E-7</v>
          </cell>
          <cell r="AG44">
            <v>2.1908528911668168</v>
          </cell>
          <cell r="AH44">
            <v>1000000000000</v>
          </cell>
          <cell r="AI44">
            <v>488.55078634993083</v>
          </cell>
          <cell r="AJ44">
            <v>5.993700156816862E-2</v>
          </cell>
          <cell r="AK44">
            <v>2.0483102141884881</v>
          </cell>
          <cell r="AL44">
            <v>1591.5</v>
          </cell>
        </row>
        <row r="45">
          <cell r="A45" t="str">
            <v>D6</v>
          </cell>
          <cell r="B45">
            <v>1591.5</v>
          </cell>
          <cell r="C45" t="str">
            <v>6Y</v>
          </cell>
          <cell r="D45">
            <v>641458</v>
          </cell>
          <cell r="E45">
            <v>1058</v>
          </cell>
          <cell r="F45">
            <v>1591.5</v>
          </cell>
          <cell r="G45">
            <v>19.73</v>
          </cell>
          <cell r="H45">
            <v>0.5</v>
          </cell>
          <cell r="I45">
            <v>10</v>
          </cell>
          <cell r="J45">
            <v>0</v>
          </cell>
          <cell r="K45">
            <v>6.9999999999999994E-5</v>
          </cell>
          <cell r="L45">
            <v>10</v>
          </cell>
          <cell r="M45">
            <v>0</v>
          </cell>
          <cell r="N45">
            <v>1E-4</v>
          </cell>
          <cell r="O45">
            <v>10</v>
          </cell>
          <cell r="P45">
            <v>5.9152454936186195E-10</v>
          </cell>
          <cell r="Q45">
            <v>7.1894496201180138E-14</v>
          </cell>
          <cell r="R45">
            <v>2.048827644427055</v>
          </cell>
          <cell r="S45">
            <v>-3.7000899107233953E-11</v>
          </cell>
          <cell r="T45">
            <v>2.2541058055927511E-10</v>
          </cell>
          <cell r="U45">
            <v>2.2017081912083798</v>
          </cell>
          <cell r="V45">
            <v>-6.2553698523885897E-6</v>
          </cell>
          <cell r="W45">
            <v>3.810789972491809E-5</v>
          </cell>
          <cell r="X45">
            <v>2.2017081869938182</v>
          </cell>
          <cell r="Y45">
            <v>1.4239904187490751E-14</v>
          </cell>
          <cell r="Z45">
            <v>1.7591471239585609E-10</v>
          </cell>
          <cell r="AA45">
            <v>5.0488047710557558</v>
          </cell>
          <cell r="AB45">
            <v>1.2813628689113836</v>
          </cell>
          <cell r="AC45" t="str">
            <v>D61591.5</v>
          </cell>
          <cell r="AD45">
            <v>1000</v>
          </cell>
          <cell r="AE45">
            <v>-3.7000899107233953E-8</v>
          </cell>
          <cell r="AF45">
            <v>2.2541058055927512E-7</v>
          </cell>
          <cell r="AG45">
            <v>2.2017081912083798</v>
          </cell>
          <cell r="AH45">
            <v>1000000000000</v>
          </cell>
          <cell r="AI45">
            <v>591.524549361862</v>
          </cell>
          <cell r="AJ45">
            <v>7.1894496201180144E-2</v>
          </cell>
          <cell r="AK45">
            <v>2.048827644427055</v>
          </cell>
          <cell r="AL45">
            <v>1591.5</v>
          </cell>
        </row>
        <row r="46">
          <cell r="A46" t="str">
            <v>D7</v>
          </cell>
          <cell r="B46">
            <v>1591.5</v>
          </cell>
          <cell r="C46" t="str">
            <v>6Y</v>
          </cell>
          <cell r="D46">
            <v>740537</v>
          </cell>
          <cell r="E46">
            <v>1164</v>
          </cell>
          <cell r="F46">
            <v>1591.5</v>
          </cell>
          <cell r="G46">
            <v>19.739999999999998</v>
          </cell>
          <cell r="H46">
            <v>0.5</v>
          </cell>
          <cell r="I46">
            <v>10</v>
          </cell>
          <cell r="J46">
            <v>0</v>
          </cell>
          <cell r="K46">
            <v>6.9999999999999994E-5</v>
          </cell>
          <cell r="L46">
            <v>10</v>
          </cell>
          <cell r="M46">
            <v>0</v>
          </cell>
          <cell r="N46">
            <v>1E-4</v>
          </cell>
          <cell r="O46">
            <v>10</v>
          </cell>
          <cell r="P46">
            <v>6.9061871849353849E-10</v>
          </cell>
          <cell r="Q46">
            <v>8.2751581484316205E-14</v>
          </cell>
          <cell r="R46">
            <v>2.047826546831252</v>
          </cell>
          <cell r="S46">
            <v>6.9001676713490356E-11</v>
          </cell>
          <cell r="T46">
            <v>2.6235546390226792E-10</v>
          </cell>
          <cell r="U46">
            <v>2.2083070225203492</v>
          </cell>
          <cell r="V46">
            <v>9.9915942055048683E-6</v>
          </cell>
          <cell r="W46">
            <v>3.7989646786424838E-5</v>
          </cell>
          <cell r="X46">
            <v>2.208307028610939</v>
          </cell>
          <cell r="Y46">
            <v>1.6419975908387641E-14</v>
          </cell>
          <cell r="Z46">
            <v>2.0266930708170309E-10</v>
          </cell>
          <cell r="AA46">
            <v>5.0396895796932988</v>
          </cell>
          <cell r="AB46">
            <v>1.2945002264033165</v>
          </cell>
          <cell r="AC46" t="str">
            <v>D71591.5</v>
          </cell>
          <cell r="AD46">
            <v>1000</v>
          </cell>
          <cell r="AE46">
            <v>6.9001676713490356E-8</v>
          </cell>
          <cell r="AF46">
            <v>2.6235546390226789E-7</v>
          </cell>
          <cell r="AG46">
            <v>2.2083070225203492</v>
          </cell>
          <cell r="AH46">
            <v>1000000000000</v>
          </cell>
          <cell r="AI46">
            <v>690.61871849353849</v>
          </cell>
          <cell r="AJ46">
            <v>8.2751581484316203E-2</v>
          </cell>
          <cell r="AK46">
            <v>2.047826546831252</v>
          </cell>
          <cell r="AL46">
            <v>1591.5</v>
          </cell>
        </row>
        <row r="47">
          <cell r="A47" t="str">
            <v>D8</v>
          </cell>
          <cell r="B47">
            <v>1591.5</v>
          </cell>
          <cell r="C47" t="str">
            <v>6Y</v>
          </cell>
          <cell r="D47">
            <v>837056</v>
          </cell>
          <cell r="E47">
            <v>1308</v>
          </cell>
          <cell r="F47">
            <v>1591.5</v>
          </cell>
          <cell r="G47">
            <v>19.739999999999998</v>
          </cell>
          <cell r="H47">
            <v>0.5</v>
          </cell>
          <cell r="I47">
            <v>10</v>
          </cell>
          <cell r="J47">
            <v>0</v>
          </cell>
          <cell r="K47">
            <v>6.9999999999999994E-5</v>
          </cell>
          <cell r="L47">
            <v>10</v>
          </cell>
          <cell r="M47">
            <v>0</v>
          </cell>
          <cell r="N47">
            <v>1E-4</v>
          </cell>
          <cell r="O47">
            <v>10</v>
          </cell>
          <cell r="P47">
            <v>7.8715249568568099E-10</v>
          </cell>
          <cell r="Q47">
            <v>9.3668542627683626E-14</v>
          </cell>
          <cell r="R47">
            <v>2.0476153959437711</v>
          </cell>
          <cell r="S47">
            <v>2.1300517594164399E-10</v>
          </cell>
          <cell r="T47">
            <v>2.9844691413695278E-10</v>
          </cell>
          <cell r="U47">
            <v>2.2126492702716432</v>
          </cell>
          <cell r="V47">
            <v>2.706105778823811E-5</v>
          </cell>
          <cell r="W47">
            <v>3.7915929069507327E-5</v>
          </cell>
          <cell r="X47">
            <v>2.212649285651958</v>
          </cell>
          <cell r="Y47">
            <v>1.8543719006614771E-14</v>
          </cell>
          <cell r="Z47">
            <v>2.2873261741470271E-10</v>
          </cell>
          <cell r="AA47">
            <v>5.0512274584332797</v>
          </cell>
          <cell r="AB47">
            <v>1.3047851133354316</v>
          </cell>
          <cell r="AC47" t="str">
            <v>D81591.5</v>
          </cell>
          <cell r="AD47">
            <v>1000</v>
          </cell>
          <cell r="AE47">
            <v>2.1300517594164398E-7</v>
          </cell>
          <cell r="AF47">
            <v>2.9844691413695279E-7</v>
          </cell>
          <cell r="AG47">
            <v>2.2126492702716432</v>
          </cell>
          <cell r="AH47">
            <v>1000000000000</v>
          </cell>
          <cell r="AI47">
            <v>787.15249568568095</v>
          </cell>
          <cell r="AJ47">
            <v>9.3668542627683621E-2</v>
          </cell>
          <cell r="AK47">
            <v>2.0476153959437711</v>
          </cell>
          <cell r="AL47">
            <v>1591.5</v>
          </cell>
        </row>
        <row r="48">
          <cell r="A48" t="str">
            <v>D9</v>
          </cell>
          <cell r="B48">
            <v>1591.5</v>
          </cell>
          <cell r="C48" t="str">
            <v>6Y</v>
          </cell>
          <cell r="D48">
            <v>936847</v>
          </cell>
          <cell r="E48">
            <v>1426</v>
          </cell>
          <cell r="F48">
            <v>1591.5</v>
          </cell>
          <cell r="G48">
            <v>19.739999999999998</v>
          </cell>
          <cell r="H48">
            <v>0.5</v>
          </cell>
          <cell r="I48">
            <v>10</v>
          </cell>
          <cell r="J48">
            <v>0</v>
          </cell>
          <cell r="K48">
            <v>6.9999999999999994E-5</v>
          </cell>
          <cell r="L48">
            <v>10</v>
          </cell>
          <cell r="M48">
            <v>0</v>
          </cell>
          <cell r="N48">
            <v>1E-4</v>
          </cell>
          <cell r="O48">
            <v>10</v>
          </cell>
          <cell r="P48">
            <v>8.8695877382554025E-10</v>
          </cell>
          <cell r="Q48">
            <v>1.049624921408368E-13</v>
          </cell>
          <cell r="R48">
            <v>2.0474216145547048</v>
          </cell>
          <cell r="S48">
            <v>3.3100804336471408E-10</v>
          </cell>
          <cell r="T48">
            <v>3.3582950465765971E-10</v>
          </cell>
          <cell r="U48">
            <v>2.2158102910788302</v>
          </cell>
          <cell r="V48">
            <v>3.7320598659176108E-5</v>
          </cell>
          <cell r="W48">
            <v>3.7864210026772072E-5</v>
          </cell>
          <cell r="X48">
            <v>2.215810310843318</v>
          </cell>
          <cell r="Y48">
            <v>2.0739457125691671E-14</v>
          </cell>
          <cell r="Z48">
            <v>2.5567947556118541E-10</v>
          </cell>
          <cell r="AA48">
            <v>5.0610048037762345</v>
          </cell>
          <cell r="AB48">
            <v>1.3134785415237367</v>
          </cell>
          <cell r="AC48" t="str">
            <v>D91591.5</v>
          </cell>
          <cell r="AD48">
            <v>1000</v>
          </cell>
          <cell r="AE48">
            <v>3.3100804336471406E-7</v>
          </cell>
          <cell r="AF48">
            <v>3.3582950465765968E-7</v>
          </cell>
          <cell r="AG48">
            <v>2.2158102910788302</v>
          </cell>
          <cell r="AH48">
            <v>1000000000000</v>
          </cell>
          <cell r="AI48">
            <v>886.95877382554022</v>
          </cell>
          <cell r="AJ48">
            <v>0.10496249214083679</v>
          </cell>
          <cell r="AK48">
            <v>2.0474216145547048</v>
          </cell>
          <cell r="AL48">
            <v>1591.5</v>
          </cell>
        </row>
        <row r="49">
          <cell r="A49" t="str">
            <v>D10</v>
          </cell>
          <cell r="B49">
            <v>1591.5</v>
          </cell>
          <cell r="C49" t="str">
            <v>6Y</v>
          </cell>
          <cell r="D49">
            <v>1033147</v>
          </cell>
          <cell r="E49">
            <v>1534</v>
          </cell>
          <cell r="F49">
            <v>1591.5</v>
          </cell>
          <cell r="G49">
            <v>19.739999999999998</v>
          </cell>
          <cell r="H49">
            <v>0.5</v>
          </cell>
          <cell r="I49">
            <v>10</v>
          </cell>
          <cell r="J49">
            <v>0</v>
          </cell>
          <cell r="K49">
            <v>6.9999999999999994E-5</v>
          </cell>
          <cell r="L49">
            <v>10</v>
          </cell>
          <cell r="M49">
            <v>0</v>
          </cell>
          <cell r="N49">
            <v>1E-4</v>
          </cell>
          <cell r="O49">
            <v>10</v>
          </cell>
          <cell r="P49">
            <v>9.8327351748848033E-10</v>
          </cell>
          <cell r="Q49">
            <v>1.158660995123804E-13</v>
          </cell>
          <cell r="R49">
            <v>2.0472570264382348</v>
          </cell>
          <cell r="S49">
            <v>4.3901066778582941E-10</v>
          </cell>
          <cell r="T49">
            <v>3.7194897989882867E-10</v>
          </cell>
          <cell r="U49">
            <v>2.2180327572150169</v>
          </cell>
          <cell r="V49">
            <v>4.4649255304170151E-5</v>
          </cell>
          <cell r="W49">
            <v>3.782879565991914E-5</v>
          </cell>
          <cell r="X49">
            <v>2.2180327794683219</v>
          </cell>
          <cell r="Y49">
            <v>2.2858381486276361E-14</v>
          </cell>
          <cell r="Z49">
            <v>2.8168364867806237E-10</v>
          </cell>
          <cell r="AA49">
            <v>5.0688671716299645</v>
          </cell>
          <cell r="AB49">
            <v>1.3204493112908056</v>
          </cell>
          <cell r="AC49" t="str">
            <v>D101591.5</v>
          </cell>
          <cell r="AD49">
            <v>1000</v>
          </cell>
          <cell r="AE49">
            <v>4.3901066778582941E-7</v>
          </cell>
          <cell r="AF49">
            <v>3.7194897989882869E-7</v>
          </cell>
          <cell r="AG49">
            <v>2.2180327572150169</v>
          </cell>
          <cell r="AH49">
            <v>1000000000000</v>
          </cell>
          <cell r="AI49">
            <v>983.27351748848037</v>
          </cell>
          <cell r="AJ49">
            <v>0.1158660995123804</v>
          </cell>
          <cell r="AK49">
            <v>2.0472570264382348</v>
          </cell>
          <cell r="AL49">
            <v>1591.5</v>
          </cell>
        </row>
        <row r="50">
          <cell r="A50" t="str">
            <v>coax zero</v>
          </cell>
          <cell r="B50">
            <v>1591.5</v>
          </cell>
          <cell r="C50" t="str">
            <v>6Y</v>
          </cell>
          <cell r="D50">
            <v>0</v>
          </cell>
          <cell r="E50">
            <v>17</v>
          </cell>
          <cell r="F50">
            <v>1591.4</v>
          </cell>
          <cell r="G50">
            <v>19.84</v>
          </cell>
          <cell r="H50">
            <v>0.5</v>
          </cell>
          <cell r="I50">
            <v>10</v>
          </cell>
          <cell r="J50">
            <v>0</v>
          </cell>
          <cell r="K50">
            <v>6.9999999999999994E-5</v>
          </cell>
          <cell r="L50">
            <v>10</v>
          </cell>
          <cell r="M50">
            <v>0</v>
          </cell>
          <cell r="N50">
            <v>1E-4</v>
          </cell>
          <cell r="O50">
            <v>10</v>
          </cell>
          <cell r="P50">
            <v>0</v>
          </cell>
          <cell r="Q50">
            <v>3.2280825676722471E-15</v>
          </cell>
          <cell r="R50">
            <v>2.089469961393533</v>
          </cell>
          <cell r="S50">
            <v>1.7000413103323691E-11</v>
          </cell>
          <cell r="T50">
            <v>3.2276668503679878E-11</v>
          </cell>
          <cell r="U50">
            <v>2.089469961414669</v>
          </cell>
          <cell r="V50">
            <v>1.25675505843911E-16</v>
          </cell>
          <cell r="W50">
            <v>0</v>
          </cell>
          <cell r="AA50" t="e">
            <v>#DIV/0!</v>
          </cell>
          <cell r="AB50" t="e">
            <v>#DIV/0!</v>
          </cell>
          <cell r="AC50" t="str">
            <v>coax zero1591.5</v>
          </cell>
          <cell r="AD50">
            <v>1000</v>
          </cell>
          <cell r="AE50">
            <v>1.7000413103323692E-8</v>
          </cell>
          <cell r="AF50">
            <v>3.2276668503679875E-8</v>
          </cell>
          <cell r="AG50">
            <v>2.089469961414669</v>
          </cell>
          <cell r="AH50">
            <v>1000000000000</v>
          </cell>
          <cell r="AI50">
            <v>0</v>
          </cell>
          <cell r="AJ50">
            <v>3.2280825676722471E-3</v>
          </cell>
          <cell r="AK50">
            <v>2.089469961393533</v>
          </cell>
          <cell r="AL50">
            <v>1591.5</v>
          </cell>
        </row>
        <row r="51">
          <cell r="A51" t="str">
            <v>GR1000A</v>
          </cell>
          <cell r="B51">
            <v>1591.5</v>
          </cell>
          <cell r="C51" t="str">
            <v>6Y</v>
          </cell>
          <cell r="D51">
            <v>999924</v>
          </cell>
          <cell r="E51">
            <v>-113</v>
          </cell>
          <cell r="F51">
            <v>1591.4</v>
          </cell>
          <cell r="G51">
            <v>19.62</v>
          </cell>
          <cell r="H51">
            <v>0.5</v>
          </cell>
          <cell r="I51">
            <v>10</v>
          </cell>
          <cell r="J51">
            <v>0</v>
          </cell>
          <cell r="K51">
            <v>6.9999999999999994E-5</v>
          </cell>
          <cell r="L51">
            <v>10</v>
          </cell>
          <cell r="M51">
            <v>0</v>
          </cell>
          <cell r="N51">
            <v>1E-4</v>
          </cell>
          <cell r="O51">
            <v>10</v>
          </cell>
          <cell r="P51">
            <v>1.000077089744774E-9</v>
          </cell>
          <cell r="Q51">
            <v>1.2079441635341089E-13</v>
          </cell>
          <cell r="R51">
            <v>2.0551028982569659</v>
          </cell>
          <cell r="S51">
            <v>-1.130027459220928E-10</v>
          </cell>
          <cell r="T51">
            <v>3.774683668217422E-10</v>
          </cell>
          <cell r="U51">
            <v>2.22318025227802</v>
          </cell>
          <cell r="V51">
            <v>2.212737148022893E-14</v>
          </cell>
          <cell r="W51">
            <v>2.7269520841508562E-10</v>
          </cell>
          <cell r="AA51" t="e">
            <v>#DIV/0!</v>
          </cell>
          <cell r="AB51" t="e">
            <v>#DIV/0!</v>
          </cell>
          <cell r="AC51" t="str">
            <v>GR1000A1591.5</v>
          </cell>
          <cell r="AD51">
            <v>1000</v>
          </cell>
          <cell r="AE51">
            <v>-1.130027459220928E-7</v>
          </cell>
          <cell r="AF51">
            <v>3.7746836682174219E-7</v>
          </cell>
          <cell r="AG51">
            <v>2.22318025227802</v>
          </cell>
          <cell r="AH51">
            <v>1000000000000</v>
          </cell>
          <cell r="AI51">
            <v>1000.0770897447741</v>
          </cell>
          <cell r="AJ51">
            <v>0.1207944163534109</v>
          </cell>
          <cell r="AK51">
            <v>2.0551028982569659</v>
          </cell>
          <cell r="AL51">
            <v>1591.5</v>
          </cell>
        </row>
        <row r="52">
          <cell r="A52" t="str">
            <v>GR1000B</v>
          </cell>
          <cell r="B52">
            <v>1591.5</v>
          </cell>
          <cell r="C52" t="str">
            <v>6Y</v>
          </cell>
          <cell r="D52">
            <v>999907</v>
          </cell>
          <cell r="E52">
            <v>-83</v>
          </cell>
          <cell r="F52">
            <v>1591.4</v>
          </cell>
          <cell r="G52">
            <v>19.62</v>
          </cell>
          <cell r="H52">
            <v>0.5</v>
          </cell>
          <cell r="I52">
            <v>10</v>
          </cell>
          <cell r="J52">
            <v>0</v>
          </cell>
          <cell r="K52">
            <v>6.9999999999999994E-5</v>
          </cell>
          <cell r="L52">
            <v>10</v>
          </cell>
          <cell r="M52">
            <v>0</v>
          </cell>
          <cell r="N52">
            <v>1E-4</v>
          </cell>
          <cell r="O52">
            <v>10</v>
          </cell>
          <cell r="P52">
            <v>1.00006008714205E-9</v>
          </cell>
          <cell r="Q52">
            <v>1.2079236383609519E-13</v>
          </cell>
          <cell r="R52">
            <v>2.055102893583844</v>
          </cell>
          <cell r="S52">
            <v>-8.3002016916227444E-11</v>
          </cell>
          <cell r="T52">
            <v>3.7746197421630982E-10</v>
          </cell>
          <cell r="U52">
            <v>2.223180087262616</v>
          </cell>
          <cell r="V52">
            <v>2.2126997422969021E-14</v>
          </cell>
          <cell r="W52">
            <v>2.7269061814337232E-10</v>
          </cell>
          <cell r="AA52" t="e">
            <v>#DIV/0!</v>
          </cell>
          <cell r="AB52" t="e">
            <v>#DIV/0!</v>
          </cell>
          <cell r="AC52" t="str">
            <v>GR1000B1591.5</v>
          </cell>
          <cell r="AD52">
            <v>1000</v>
          </cell>
          <cell r="AE52">
            <v>-8.3002016916227449E-8</v>
          </cell>
          <cell r="AF52">
            <v>3.7746197421630983E-7</v>
          </cell>
          <cell r="AG52">
            <v>2.223180087262616</v>
          </cell>
          <cell r="AH52">
            <v>1000000000000</v>
          </cell>
          <cell r="AI52">
            <v>1000.06008714205</v>
          </cell>
          <cell r="AJ52">
            <v>0.12079236383609519</v>
          </cell>
          <cell r="AK52">
            <v>2.055102893583844</v>
          </cell>
          <cell r="AL52">
            <v>1591.5</v>
          </cell>
        </row>
        <row r="53">
          <cell r="A53" t="str">
            <v>E1</v>
          </cell>
          <cell r="B53">
            <v>1591.5</v>
          </cell>
          <cell r="C53" t="str">
            <v>6Y</v>
          </cell>
          <cell r="D53">
            <v>60487</v>
          </cell>
          <cell r="E53">
            <v>1341</v>
          </cell>
          <cell r="F53">
            <v>1591.7</v>
          </cell>
          <cell r="G53">
            <v>19.62</v>
          </cell>
          <cell r="H53">
            <v>0.5</v>
          </cell>
          <cell r="I53">
            <v>10</v>
          </cell>
          <cell r="J53">
            <v>0</v>
          </cell>
          <cell r="K53">
            <v>6.9999999999999994E-5</v>
          </cell>
          <cell r="L53">
            <v>10</v>
          </cell>
          <cell r="M53">
            <v>0</v>
          </cell>
          <cell r="N53">
            <v>1E-4</v>
          </cell>
          <cell r="O53">
            <v>10</v>
          </cell>
          <cell r="P53">
            <v>1.046460189974395E-11</v>
          </cell>
          <cell r="Q53">
            <v>1.285280419110367E-12</v>
          </cell>
          <cell r="R53">
            <v>2.5704573942557332</v>
          </cell>
          <cell r="S53">
            <v>2.4600597784809563E-10</v>
          </cell>
          <cell r="T53">
            <v>4.4313182611364462E-11</v>
          </cell>
          <cell r="U53">
            <v>2.0218869382643549</v>
          </cell>
          <cell r="V53">
            <v>2.3509123518041328E-3</v>
          </cell>
          <cell r="W53">
            <v>4.804886736350484E-4</v>
          </cell>
          <cell r="X53">
            <v>2.0217101920671858</v>
          </cell>
          <cell r="Y53">
            <v>1.4565695529604999E-15</v>
          </cell>
          <cell r="Z53">
            <v>1.9035791090866979E-11</v>
          </cell>
          <cell r="AA53">
            <v>882.40236554307683</v>
          </cell>
          <cell r="AB53">
            <v>2.3278876301928482</v>
          </cell>
          <cell r="AC53" t="str">
            <v>E11591.5</v>
          </cell>
          <cell r="AD53">
            <v>1000</v>
          </cell>
          <cell r="AE53">
            <v>2.4600597784809564E-7</v>
          </cell>
          <cell r="AF53">
            <v>4.4313182611364459E-8</v>
          </cell>
          <cell r="AG53">
            <v>2.0218869382643549</v>
          </cell>
          <cell r="AH53">
            <v>1000000000000</v>
          </cell>
          <cell r="AI53">
            <v>10.464601899743949</v>
          </cell>
          <cell r="AJ53">
            <v>1.2852804191103671</v>
          </cell>
          <cell r="AK53">
            <v>2.5704573942557332</v>
          </cell>
          <cell r="AL53">
            <v>1591.5</v>
          </cell>
        </row>
        <row r="54">
          <cell r="A54" t="str">
            <v>E2</v>
          </cell>
          <cell r="B54">
            <v>1591.5</v>
          </cell>
          <cell r="C54" t="str">
            <v>6Y</v>
          </cell>
          <cell r="D54">
            <v>71300</v>
          </cell>
          <cell r="E54">
            <v>1391</v>
          </cell>
          <cell r="F54">
            <v>1591.7</v>
          </cell>
          <cell r="G54">
            <v>19.61</v>
          </cell>
          <cell r="H54">
            <v>0.5</v>
          </cell>
          <cell r="I54">
            <v>10</v>
          </cell>
          <cell r="J54">
            <v>0</v>
          </cell>
          <cell r="K54">
            <v>6.9999999999999994E-5</v>
          </cell>
          <cell r="L54">
            <v>10</v>
          </cell>
          <cell r="M54">
            <v>0</v>
          </cell>
          <cell r="N54">
            <v>1E-4</v>
          </cell>
          <cell r="O54">
            <v>10</v>
          </cell>
          <cell r="P54">
            <v>2.1279257384971069E-11</v>
          </cell>
          <cell r="Q54">
            <v>1.285278265356133E-12</v>
          </cell>
          <cell r="R54">
            <v>2.5704318515995861</v>
          </cell>
          <cell r="S54">
            <v>2.9600719285787142E-10</v>
          </cell>
          <cell r="T54">
            <v>4.471191281729928E-11</v>
          </cell>
          <cell r="U54">
            <v>2.0195219161193321</v>
          </cell>
          <cell r="V54">
            <v>1.3911029942762141E-3</v>
          </cell>
          <cell r="W54">
            <v>2.1954872454871819E-4</v>
          </cell>
          <cell r="X54">
            <v>2.0130793907467308</v>
          </cell>
          <cell r="Y54">
            <v>1.6944919736354959E-15</v>
          </cell>
          <cell r="Z54">
            <v>2.1956024315412301E-11</v>
          </cell>
          <cell r="AA54">
            <v>758.50360187814658</v>
          </cell>
          <cell r="AB54">
            <v>2.0364302833237984</v>
          </cell>
          <cell r="AC54" t="str">
            <v>E21591.5</v>
          </cell>
          <cell r="AD54">
            <v>1000</v>
          </cell>
          <cell r="AE54">
            <v>2.9600719285787142E-7</v>
          </cell>
          <cell r="AF54">
            <v>4.471191281729928E-8</v>
          </cell>
          <cell r="AG54">
            <v>2.0195219161193321</v>
          </cell>
          <cell r="AH54">
            <v>1000000000000</v>
          </cell>
          <cell r="AI54">
            <v>21.279257384971068</v>
          </cell>
          <cell r="AJ54">
            <v>1.285278265356133</v>
          </cell>
          <cell r="AK54">
            <v>2.5704318515995861</v>
          </cell>
          <cell r="AL54">
            <v>1591.5</v>
          </cell>
        </row>
        <row r="55">
          <cell r="A55" t="str">
            <v>E3</v>
          </cell>
          <cell r="B55">
            <v>1591.5</v>
          </cell>
          <cell r="C55" t="str">
            <v>6Y</v>
          </cell>
          <cell r="D55">
            <v>81517</v>
          </cell>
          <cell r="E55">
            <v>1332</v>
          </cell>
          <cell r="F55">
            <v>1591.7</v>
          </cell>
          <cell r="G55">
            <v>19.600000000000001</v>
          </cell>
          <cell r="H55">
            <v>0.5</v>
          </cell>
          <cell r="I55">
            <v>10</v>
          </cell>
          <cell r="J55">
            <v>0</v>
          </cell>
          <cell r="K55">
            <v>6.9999999999999994E-5</v>
          </cell>
          <cell r="L55">
            <v>10</v>
          </cell>
          <cell r="M55">
            <v>0</v>
          </cell>
          <cell r="N55">
            <v>1E-4</v>
          </cell>
          <cell r="O55">
            <v>10</v>
          </cell>
          <cell r="P55">
            <v>3.149782162177543E-11</v>
          </cell>
          <cell r="Q55">
            <v>1.2852757739010681E-12</v>
          </cell>
          <cell r="R55">
            <v>2.570402297343509</v>
          </cell>
          <cell r="S55">
            <v>2.3700575914633629E-10</v>
          </cell>
          <cell r="T55">
            <v>4.5341723756163423E-11</v>
          </cell>
          <cell r="U55">
            <v>2.0164684199673562</v>
          </cell>
          <cell r="V55">
            <v>7.524746416808101E-4</v>
          </cell>
          <cell r="W55">
            <v>1.457587743583932E-4</v>
          </cell>
          <cell r="X55">
            <v>2.013723530987257</v>
          </cell>
          <cell r="Y55">
            <v>1.919300386845192E-15</v>
          </cell>
          <cell r="Z55">
            <v>2.4715297676660759E-11</v>
          </cell>
          <cell r="AA55">
            <v>669.65847696915853</v>
          </cell>
          <cell r="AB55">
            <v>1.8345611025749726</v>
          </cell>
          <cell r="AC55" t="str">
            <v>E31591.5</v>
          </cell>
          <cell r="AD55">
            <v>1000</v>
          </cell>
          <cell r="AE55">
            <v>2.3700575914633629E-7</v>
          </cell>
          <cell r="AF55">
            <v>4.5341723756163422E-8</v>
          </cell>
          <cell r="AG55">
            <v>2.0164684199673562</v>
          </cell>
          <cell r="AH55">
            <v>1000000000000</v>
          </cell>
          <cell r="AI55">
            <v>31.497821621775429</v>
          </cell>
          <cell r="AJ55">
            <v>1.2852757739010681</v>
          </cell>
          <cell r="AK55">
            <v>2.570402297343509</v>
          </cell>
          <cell r="AL55">
            <v>1591.5</v>
          </cell>
        </row>
        <row r="56">
          <cell r="A56" t="str">
            <v>E4</v>
          </cell>
          <cell r="B56">
            <v>1591.5</v>
          </cell>
          <cell r="C56" t="str">
            <v>6Y</v>
          </cell>
          <cell r="D56">
            <v>91813</v>
          </cell>
          <cell r="E56">
            <v>1324</v>
          </cell>
          <cell r="F56">
            <v>1591.7</v>
          </cell>
          <cell r="G56">
            <v>19.600000000000001</v>
          </cell>
          <cell r="H56">
            <v>0.5</v>
          </cell>
          <cell r="I56">
            <v>10</v>
          </cell>
          <cell r="J56">
            <v>0</v>
          </cell>
          <cell r="K56">
            <v>6.9999999999999994E-5</v>
          </cell>
          <cell r="L56">
            <v>10</v>
          </cell>
          <cell r="M56">
            <v>0</v>
          </cell>
          <cell r="N56">
            <v>1E-4</v>
          </cell>
          <cell r="O56">
            <v>10</v>
          </cell>
          <cell r="P56">
            <v>4.1795397953588841E-11</v>
          </cell>
          <cell r="Q56">
            <v>1.2852729789996951E-12</v>
          </cell>
          <cell r="R56">
            <v>2.570369135191243</v>
          </cell>
          <cell r="S56">
            <v>2.290055647447718E-10</v>
          </cell>
          <cell r="T56">
            <v>4.6228163126021843E-11</v>
          </cell>
          <cell r="U56">
            <v>2.0133391103383902</v>
          </cell>
          <cell r="V56">
            <v>5.4793754508044375E-4</v>
          </cell>
          <cell r="W56">
            <v>1.113147908596344E-4</v>
          </cell>
          <cell r="X56">
            <v>2.0119115405372661</v>
          </cell>
          <cell r="Y56">
            <v>2.1458470661450869E-15</v>
          </cell>
          <cell r="Z56">
            <v>2.7495906321802592E-11</v>
          </cell>
          <cell r="AA56">
            <v>598.95833178299483</v>
          </cell>
          <cell r="AB56">
            <v>1.6812743899031146</v>
          </cell>
          <cell r="AC56" t="str">
            <v>E41591.5</v>
          </cell>
          <cell r="AD56">
            <v>1000</v>
          </cell>
          <cell r="AE56">
            <v>2.2900556474477181E-7</v>
          </cell>
          <cell r="AF56">
            <v>4.6228163126021844E-8</v>
          </cell>
          <cell r="AG56">
            <v>2.0133391103383902</v>
          </cell>
          <cell r="AH56">
            <v>1000000000000</v>
          </cell>
          <cell r="AI56">
            <v>41.795397953588839</v>
          </cell>
          <cell r="AJ56">
            <v>1.2852729789996951</v>
          </cell>
          <cell r="AK56">
            <v>2.570369135191243</v>
          </cell>
          <cell r="AL56">
            <v>1591.5</v>
          </cell>
        </row>
        <row r="57">
          <cell r="A57" t="str">
            <v>E5</v>
          </cell>
          <cell r="B57">
            <v>1591.5</v>
          </cell>
          <cell r="C57" t="str">
            <v>6Y</v>
          </cell>
          <cell r="D57">
            <v>101710</v>
          </cell>
          <cell r="E57">
            <v>1334</v>
          </cell>
          <cell r="F57">
            <v>1591.7</v>
          </cell>
          <cell r="G57">
            <v>19.61</v>
          </cell>
          <cell r="H57">
            <v>0.5</v>
          </cell>
          <cell r="I57">
            <v>10</v>
          </cell>
          <cell r="J57">
            <v>0</v>
          </cell>
          <cell r="K57">
            <v>6.9999999999999994E-5</v>
          </cell>
          <cell r="L57">
            <v>10</v>
          </cell>
          <cell r="M57">
            <v>0</v>
          </cell>
          <cell r="N57">
            <v>1E-4</v>
          </cell>
          <cell r="O57">
            <v>10</v>
          </cell>
          <cell r="P57">
            <v>5.1693913197951418E-11</v>
          </cell>
          <cell r="Q57">
            <v>1.2852701346203241E-12</v>
          </cell>
          <cell r="R57">
            <v>2.5703353770280231</v>
          </cell>
          <cell r="S57">
            <v>2.3900580774672711E-10</v>
          </cell>
          <cell r="T57">
            <v>4.7318846395758112E-11</v>
          </cell>
          <cell r="U57">
            <v>2.0109578737558089</v>
          </cell>
          <cell r="V57">
            <v>4.6236242590305882E-4</v>
          </cell>
          <cell r="W57">
            <v>9.1936686029938053E-5</v>
          </cell>
          <cell r="X57">
            <v>2.010009213002633</v>
          </cell>
          <cell r="Y57">
            <v>2.363614401521064E-15</v>
          </cell>
          <cell r="Z57">
            <v>3.0168758279938623E-11</v>
          </cell>
          <cell r="AA57">
            <v>543.7731864356598</v>
          </cell>
          <cell r="AB57">
            <v>1.5684717931272569</v>
          </cell>
          <cell r="AC57" t="str">
            <v>E51591.5</v>
          </cell>
          <cell r="AD57">
            <v>1000</v>
          </cell>
          <cell r="AE57">
            <v>2.390058077467271E-7</v>
          </cell>
          <cell r="AF57">
            <v>4.7318846395758111E-8</v>
          </cell>
          <cell r="AG57">
            <v>2.0109578737558089</v>
          </cell>
          <cell r="AH57">
            <v>1000000000000</v>
          </cell>
          <cell r="AI57">
            <v>51.693913197951417</v>
          </cell>
          <cell r="AJ57">
            <v>1.2852701346203241</v>
          </cell>
          <cell r="AK57">
            <v>2.5703353770280231</v>
          </cell>
          <cell r="AL57">
            <v>1591.5</v>
          </cell>
        </row>
        <row r="58">
          <cell r="A58" t="str">
            <v>E6</v>
          </cell>
          <cell r="B58">
            <v>1591.5</v>
          </cell>
          <cell r="C58" t="str">
            <v>6Y</v>
          </cell>
          <cell r="D58">
            <v>111557</v>
          </cell>
          <cell r="E58">
            <v>1338</v>
          </cell>
          <cell r="F58">
            <v>1591.7</v>
          </cell>
          <cell r="G58">
            <v>19.61</v>
          </cell>
          <cell r="H58">
            <v>0.5</v>
          </cell>
          <cell r="I58">
            <v>10</v>
          </cell>
          <cell r="J58">
            <v>0</v>
          </cell>
          <cell r="K58">
            <v>6.9999999999999994E-5</v>
          </cell>
          <cell r="L58">
            <v>10</v>
          </cell>
          <cell r="M58">
            <v>0</v>
          </cell>
          <cell r="N58">
            <v>1E-4</v>
          </cell>
          <cell r="O58">
            <v>10</v>
          </cell>
          <cell r="P58">
            <v>6.1542420787244981E-11</v>
          </cell>
          <cell r="Q58">
            <v>1.2852667833227609E-12</v>
          </cell>
          <cell r="R58">
            <v>2.5702955907214529</v>
          </cell>
          <cell r="S58">
            <v>2.4300590494750922E-10</v>
          </cell>
          <cell r="T58">
            <v>4.8632973574831429E-11</v>
          </cell>
          <cell r="U58">
            <v>2.0097064615466511</v>
          </cell>
          <cell r="V58">
            <v>3.9487145523164869E-4</v>
          </cell>
          <cell r="W58">
            <v>7.9262838776365056E-5</v>
          </cell>
          <cell r="X58">
            <v>2.0090567827854309</v>
          </cell>
          <cell r="Y58">
            <v>2.5802815684855219E-15</v>
          </cell>
          <cell r="Z58">
            <v>3.2828106893838352E-11</v>
          </cell>
          <cell r="AA58">
            <v>498.11105850635488</v>
          </cell>
          <cell r="AB58">
            <v>1.4814431344489001</v>
          </cell>
          <cell r="AC58" t="str">
            <v>E61591.5</v>
          </cell>
          <cell r="AD58">
            <v>1000</v>
          </cell>
          <cell r="AE58">
            <v>2.4300590494750923E-7</v>
          </cell>
          <cell r="AF58">
            <v>4.8632973574831429E-8</v>
          </cell>
          <cell r="AG58">
            <v>2.0097064615466511</v>
          </cell>
          <cell r="AH58">
            <v>1000000000000</v>
          </cell>
          <cell r="AI58">
            <v>61.542420787244978</v>
          </cell>
          <cell r="AJ58">
            <v>1.2852667833227609</v>
          </cell>
          <cell r="AK58">
            <v>2.5702955907214529</v>
          </cell>
          <cell r="AL58">
            <v>1591.5</v>
          </cell>
        </row>
        <row r="59">
          <cell r="A59" t="str">
            <v>E7</v>
          </cell>
          <cell r="B59">
            <v>1591.5</v>
          </cell>
          <cell r="C59" t="str">
            <v>6Y</v>
          </cell>
          <cell r="D59">
            <v>120990</v>
          </cell>
          <cell r="E59">
            <v>1319</v>
          </cell>
          <cell r="F59">
            <v>1591.7</v>
          </cell>
          <cell r="G59">
            <v>19.61</v>
          </cell>
          <cell r="H59">
            <v>0.5</v>
          </cell>
          <cell r="I59">
            <v>10</v>
          </cell>
          <cell r="J59">
            <v>0</v>
          </cell>
          <cell r="K59">
            <v>6.9999999999999994E-5</v>
          </cell>
          <cell r="L59">
            <v>10</v>
          </cell>
          <cell r="M59">
            <v>0</v>
          </cell>
          <cell r="N59">
            <v>1E-4</v>
          </cell>
          <cell r="O59">
            <v>10</v>
          </cell>
          <cell r="P59">
            <v>7.0976864992567061E-11</v>
          </cell>
          <cell r="Q59">
            <v>1.285263243956929E-12</v>
          </cell>
          <cell r="R59">
            <v>2.5702535578952199</v>
          </cell>
          <cell r="S59">
            <v>2.2400544324379471E-10</v>
          </cell>
          <cell r="T59">
            <v>5.009957200385247E-11</v>
          </cell>
          <cell r="U59">
            <v>2.009835703383513</v>
          </cell>
          <cell r="V59">
            <v>3.1561326458356552E-4</v>
          </cell>
          <cell r="W59">
            <v>7.0715186197403758E-5</v>
          </cell>
          <cell r="X59">
            <v>2.0094366893371389</v>
          </cell>
          <cell r="Y59">
            <v>2.787839341002608E-15</v>
          </cell>
          <cell r="Z59">
            <v>3.5375647817461388E-11</v>
          </cell>
          <cell r="AA59">
            <v>461.02486074204757</v>
          </cell>
          <cell r="AB59">
            <v>1.4162163831561938</v>
          </cell>
          <cell r="AC59" t="str">
            <v>E71591.5</v>
          </cell>
          <cell r="AD59">
            <v>1000</v>
          </cell>
          <cell r="AE59">
            <v>2.2400544324379471E-7</v>
          </cell>
          <cell r="AF59">
            <v>5.0099572003852472E-8</v>
          </cell>
          <cell r="AG59">
            <v>2.009835703383513</v>
          </cell>
          <cell r="AH59">
            <v>1000000000000</v>
          </cell>
          <cell r="AI59">
            <v>70.976864992567059</v>
          </cell>
          <cell r="AJ59">
            <v>1.2852632439569289</v>
          </cell>
          <cell r="AK59">
            <v>2.5702535578952199</v>
          </cell>
          <cell r="AL59">
            <v>1591.5</v>
          </cell>
        </row>
        <row r="60">
          <cell r="A60" t="str">
            <v>E8</v>
          </cell>
          <cell r="B60">
            <v>1591.5</v>
          </cell>
          <cell r="C60" t="str">
            <v>6Y</v>
          </cell>
          <cell r="D60">
            <v>130672</v>
          </cell>
          <cell r="E60">
            <v>1315</v>
          </cell>
          <cell r="F60">
            <v>1591.7</v>
          </cell>
          <cell r="G60">
            <v>19.61</v>
          </cell>
          <cell r="H60">
            <v>0.5</v>
          </cell>
          <cell r="I60">
            <v>10</v>
          </cell>
          <cell r="J60">
            <v>0</v>
          </cell>
          <cell r="K60">
            <v>6.9999999999999994E-5</v>
          </cell>
          <cell r="L60">
            <v>10</v>
          </cell>
          <cell r="M60">
            <v>0</v>
          </cell>
          <cell r="N60">
            <v>1E-4</v>
          </cell>
          <cell r="O60">
            <v>10</v>
          </cell>
          <cell r="P60">
            <v>8.0660347320132878E-11</v>
          </cell>
          <cell r="Q60">
            <v>1.2852592768661711E-12</v>
          </cell>
          <cell r="R60">
            <v>2.5702064286468151</v>
          </cell>
          <cell r="S60">
            <v>2.200053460430125E-10</v>
          </cell>
          <cell r="T60">
            <v>5.1806493433290987E-11</v>
          </cell>
          <cell r="U60">
            <v>2.0114256871811729</v>
          </cell>
          <cell r="V60">
            <v>2.7276373902506909E-4</v>
          </cell>
          <cell r="W60">
            <v>6.4310601096928552E-5</v>
          </cell>
          <cell r="X60">
            <v>2.0111350674154349</v>
          </cell>
          <cell r="Y60">
            <v>3.000875952209055E-15</v>
          </cell>
          <cell r="Z60">
            <v>3.799043539538129E-11</v>
          </cell>
          <cell r="AA60">
            <v>428.29470372477226</v>
          </cell>
          <cell r="AB60">
            <v>1.3636720109711982</v>
          </cell>
          <cell r="AC60" t="str">
            <v>E81591.5</v>
          </cell>
          <cell r="AD60">
            <v>1000</v>
          </cell>
          <cell r="AE60">
            <v>2.2000534604301249E-7</v>
          </cell>
          <cell r="AF60">
            <v>5.1806493433290985E-8</v>
          </cell>
          <cell r="AG60">
            <v>2.0114256871811729</v>
          </cell>
          <cell r="AH60">
            <v>1000000000000</v>
          </cell>
          <cell r="AI60">
            <v>80.660347320132871</v>
          </cell>
          <cell r="AJ60">
            <v>1.285259276866171</v>
          </cell>
          <cell r="AK60">
            <v>2.5702064286468151</v>
          </cell>
          <cell r="AL60">
            <v>1591.5</v>
          </cell>
        </row>
        <row r="61">
          <cell r="A61" t="str">
            <v>E9</v>
          </cell>
          <cell r="B61">
            <v>1591.5</v>
          </cell>
          <cell r="C61" t="str">
            <v>6Y</v>
          </cell>
          <cell r="D61">
            <v>140694</v>
          </cell>
          <cell r="E61">
            <v>1310</v>
          </cell>
          <cell r="F61">
            <v>1591.7</v>
          </cell>
          <cell r="G61">
            <v>19.61</v>
          </cell>
          <cell r="H61">
            <v>0.5</v>
          </cell>
          <cell r="I61">
            <v>10</v>
          </cell>
          <cell r="J61">
            <v>0</v>
          </cell>
          <cell r="K61">
            <v>6.9999999999999994E-5</v>
          </cell>
          <cell r="L61">
            <v>10</v>
          </cell>
          <cell r="M61">
            <v>0</v>
          </cell>
          <cell r="N61">
            <v>1E-4</v>
          </cell>
          <cell r="O61">
            <v>10</v>
          </cell>
          <cell r="P61">
            <v>9.068388170216802E-11</v>
          </cell>
          <cell r="Q61">
            <v>1.28525481431002E-12</v>
          </cell>
          <cell r="R61">
            <v>2.5701533919530211</v>
          </cell>
          <cell r="S61">
            <v>2.1500522454203499E-10</v>
          </cell>
          <cell r="T61">
            <v>5.3775173236054398E-11</v>
          </cell>
          <cell r="U61">
            <v>2.0145815733264691</v>
          </cell>
          <cell r="V61">
            <v>2.3710046198262239E-4</v>
          </cell>
          <cell r="W61">
            <v>5.9353420289222247E-5</v>
          </cell>
          <cell r="X61">
            <v>2.01436302638117</v>
          </cell>
          <cell r="Y61">
            <v>3.2213937086138292E-15</v>
          </cell>
          <cell r="Z61">
            <v>4.0697045714108111E-11</v>
          </cell>
          <cell r="AA61">
            <v>398.9747701044177</v>
          </cell>
          <cell r="AB61">
            <v>1.3213532405722659</v>
          </cell>
          <cell r="AC61" t="str">
            <v>E91591.5</v>
          </cell>
          <cell r="AD61">
            <v>1000</v>
          </cell>
          <cell r="AE61">
            <v>2.15005224542035E-7</v>
          </cell>
          <cell r="AF61">
            <v>5.37751732360544E-8</v>
          </cell>
          <cell r="AG61">
            <v>2.0145815733264691</v>
          </cell>
          <cell r="AH61">
            <v>1000000000000</v>
          </cell>
          <cell r="AI61">
            <v>90.683881702168023</v>
          </cell>
          <cell r="AJ61">
            <v>1.28525481431002</v>
          </cell>
          <cell r="AK61">
            <v>2.5701533919530211</v>
          </cell>
          <cell r="AL61">
            <v>1591.5</v>
          </cell>
        </row>
        <row r="62">
          <cell r="A62" t="str">
            <v>E10</v>
          </cell>
          <cell r="B62">
            <v>1591.5</v>
          </cell>
          <cell r="C62" t="str">
            <v>6Y</v>
          </cell>
          <cell r="D62">
            <v>150067</v>
          </cell>
          <cell r="E62">
            <v>1304</v>
          </cell>
          <cell r="F62">
            <v>1591.7</v>
          </cell>
          <cell r="G62">
            <v>19.62</v>
          </cell>
          <cell r="H62">
            <v>0.5</v>
          </cell>
          <cell r="I62">
            <v>10</v>
          </cell>
          <cell r="J62">
            <v>0</v>
          </cell>
          <cell r="K62">
            <v>6.9999999999999994E-5</v>
          </cell>
          <cell r="L62">
            <v>10</v>
          </cell>
          <cell r="M62">
            <v>0</v>
          </cell>
          <cell r="N62">
            <v>1E-4</v>
          </cell>
          <cell r="O62">
            <v>10</v>
          </cell>
          <cell r="P62">
            <v>1.0005831672140729E-10</v>
          </cell>
          <cell r="Q62">
            <v>1.285250754844017E-12</v>
          </cell>
          <cell r="R62">
            <v>2.5701051269996422</v>
          </cell>
          <cell r="S62">
            <v>2.0900507874086181E-10</v>
          </cell>
          <cell r="T62">
            <v>5.5788264453583547E-11</v>
          </cell>
          <cell r="U62">
            <v>2.0187813945313331</v>
          </cell>
          <cell r="V62">
            <v>2.088897526428544E-4</v>
          </cell>
          <cell r="W62">
            <v>5.5792527065498732E-5</v>
          </cell>
          <cell r="X62">
            <v>2.0186099969285141</v>
          </cell>
          <cell r="Y62">
            <v>3.4276312790370929E-15</v>
          </cell>
          <cell r="Z62">
            <v>4.3228382624647577E-11</v>
          </cell>
          <cell r="AA62">
            <v>374.96762347351313</v>
          </cell>
          <cell r="AB62">
            <v>1.29054711433443</v>
          </cell>
          <cell r="AC62" t="str">
            <v>E101591.5</v>
          </cell>
          <cell r="AD62">
            <v>1000</v>
          </cell>
          <cell r="AE62">
            <v>2.0900507874086182E-7</v>
          </cell>
          <cell r="AF62">
            <v>5.5788264453583544E-8</v>
          </cell>
          <cell r="AG62">
            <v>2.0187813945313331</v>
          </cell>
          <cell r="AH62">
            <v>1000000000000</v>
          </cell>
          <cell r="AI62">
            <v>100.05831672140729</v>
          </cell>
          <cell r="AJ62">
            <v>1.2852507548440169</v>
          </cell>
          <cell r="AK62">
            <v>2.5701051269996422</v>
          </cell>
          <cell r="AL62">
            <v>1591.5</v>
          </cell>
        </row>
        <row r="63">
          <cell r="A63" t="str">
            <v>CuZero</v>
          </cell>
          <cell r="B63">
            <v>1591.5</v>
          </cell>
          <cell r="C63" t="str">
            <v>6Y</v>
          </cell>
          <cell r="D63">
            <v>888</v>
          </cell>
          <cell r="E63">
            <v>15</v>
          </cell>
          <cell r="F63">
            <v>1591.6</v>
          </cell>
          <cell r="G63">
            <v>19.75</v>
          </cell>
          <cell r="H63">
            <v>0.5</v>
          </cell>
          <cell r="I63">
            <v>10</v>
          </cell>
          <cell r="J63">
            <v>0</v>
          </cell>
          <cell r="K63">
            <v>6.9999999999999994E-5</v>
          </cell>
          <cell r="L63">
            <v>10</v>
          </cell>
          <cell r="M63">
            <v>0</v>
          </cell>
          <cell r="N63">
            <v>1E-4</v>
          </cell>
          <cell r="O63">
            <v>10</v>
          </cell>
          <cell r="P63">
            <v>8.8813595402586509E-13</v>
          </cell>
          <cell r="Q63">
            <v>3.2291070681138662E-15</v>
          </cell>
          <cell r="R63">
            <v>2.0891891266900289</v>
          </cell>
          <cell r="S63">
            <v>1.5000364502932669E-11</v>
          </cell>
          <cell r="T63">
            <v>3.2276050794953228E-11</v>
          </cell>
          <cell r="U63">
            <v>2.0894401422468989</v>
          </cell>
          <cell r="V63">
            <v>1.4519870448442229E-16</v>
          </cell>
          <cell r="W63">
            <v>2.9398901151903411E-12</v>
          </cell>
          <cell r="AA63" t="e">
            <v>#DIV/0!</v>
          </cell>
          <cell r="AB63" t="e">
            <v>#DIV/0!</v>
          </cell>
          <cell r="AC63" t="str">
            <v>CuZero1591.5</v>
          </cell>
          <cell r="AD63">
            <v>1000</v>
          </cell>
          <cell r="AE63">
            <v>1.500036450293267E-8</v>
          </cell>
          <cell r="AF63">
            <v>3.2276050794953226E-8</v>
          </cell>
          <cell r="AG63">
            <v>2.0894401422468989</v>
          </cell>
          <cell r="AH63">
            <v>1000000000000</v>
          </cell>
          <cell r="AI63">
            <v>0.88813595402586509</v>
          </cell>
          <cell r="AJ63">
            <v>3.2291070681138663E-3</v>
          </cell>
          <cell r="AK63">
            <v>2.0891891266900289</v>
          </cell>
          <cell r="AL63">
            <v>1591.5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pyUBreadings"/>
      <sheetName val="pyUBresults"/>
      <sheetName val="AH27000A"/>
      <sheetName val="pyReport"/>
      <sheetName val="HP history"/>
      <sheetName val="ExcelCommentary"/>
      <sheetName val="Room Conditions"/>
      <sheetName val="Results"/>
      <sheetName val="Universal Bridge"/>
      <sheetName val="Uncertainty"/>
      <sheetName val="Report"/>
      <sheetName val="Conditions"/>
      <sheetName val="RoomLogger"/>
      <sheetName val="MuirheadHistory"/>
      <sheetName val="AH2700Results"/>
      <sheetName val="Range7"/>
      <sheetName val="GRhistory"/>
    </sheetNames>
    <sheetDataSet>
      <sheetData sheetId="0"/>
      <sheetData sheetId="1"/>
      <sheetData sheetId="2"/>
      <sheetData sheetId="3"/>
      <sheetData sheetId="4">
        <row r="4">
          <cell r="E4">
            <v>999.8688614432499</v>
          </cell>
          <cell r="F4">
            <v>4.8907277087306668E-2</v>
          </cell>
          <cell r="G4">
            <v>2.041587877643805</v>
          </cell>
          <cell r="H4">
            <v>0</v>
          </cell>
          <cell r="I4">
            <v>3.7829438524117305E-2</v>
          </cell>
          <cell r="J4">
            <v>2.218368375808891</v>
          </cell>
        </row>
        <row r="5">
          <cell r="E5">
            <v>100.000288942483</v>
          </cell>
          <cell r="F5">
            <v>4.8913974062626056E-3</v>
          </cell>
          <cell r="G5">
            <v>2.041588201834267</v>
          </cell>
          <cell r="H5">
            <v>4.2999531220445859E-4</v>
          </cell>
          <cell r="I5">
            <v>3.7819360074707847E-2</v>
          </cell>
          <cell r="J5">
            <v>2.218359412869658</v>
          </cell>
        </row>
        <row r="6">
          <cell r="E6">
            <v>9.9987288124871458</v>
          </cell>
          <cell r="F6">
            <v>6.4595565951650806E-4</v>
          </cell>
          <cell r="G6">
            <v>1.9968883616096651</v>
          </cell>
          <cell r="H6">
            <v>-1.9472128150785583E-3</v>
          </cell>
          <cell r="I6">
            <v>5.5768599492208207E-2</v>
          </cell>
          <cell r="J6">
            <v>2.0187492845943709</v>
          </cell>
        </row>
        <row r="7">
          <cell r="E7">
            <v>0.99986288061978246</v>
          </cell>
          <cell r="F7">
            <v>4.4518488097795053E-4</v>
          </cell>
          <cell r="G7">
            <v>2.0205982573840648</v>
          </cell>
          <cell r="H7">
            <v>-1.4040292700863457E-2</v>
          </cell>
          <cell r="I7">
            <v>0.44300406389633651</v>
          </cell>
          <cell r="J7">
            <v>2.021965147590723</v>
          </cell>
        </row>
        <row r="12">
          <cell r="E12">
            <v>0.99992128170980321</v>
          </cell>
          <cell r="F12">
            <v>4.590068210131768E-5</v>
          </cell>
          <cell r="G12">
            <v>2.0239427291867189</v>
          </cell>
          <cell r="H12">
            <v>0.1717513717035469</v>
          </cell>
          <cell r="I12">
            <v>3.7835933733186937E-2</v>
          </cell>
          <cell r="J12">
            <v>2.2183785082220808</v>
          </cell>
        </row>
        <row r="13">
          <cell r="E13">
            <v>0.1000039290594413</v>
          </cell>
          <cell r="F13">
            <v>4.5906087527501537E-6</v>
          </cell>
          <cell r="G13">
            <v>2.023942805998185</v>
          </cell>
          <cell r="H13">
            <v>4.1293294401709549E-2</v>
          </cell>
          <cell r="I13">
            <v>3.7827035414106099E-2</v>
          </cell>
          <cell r="J13">
            <v>2.2183700638724111</v>
          </cell>
        </row>
        <row r="14">
          <cell r="E14">
            <v>1.0001002951873049E-2</v>
          </cell>
          <cell r="F14">
            <v>4.5908856031900874E-7</v>
          </cell>
          <cell r="G14">
            <v>2.0239428886830959</v>
          </cell>
          <cell r="H14">
            <v>4.959110273473219E-2</v>
          </cell>
          <cell r="I14">
            <v>3.7825390691860701E-2</v>
          </cell>
          <cell r="J14">
            <v>2.2183688620089681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pyUBreadings"/>
      <sheetName val="pyUBresults"/>
      <sheetName val="pyReport"/>
      <sheetName val="Results"/>
      <sheetName val="Universal Bridge"/>
      <sheetName val="Uncertainty"/>
      <sheetName val="Report"/>
      <sheetName val="Range7"/>
      <sheetName val="HP History"/>
      <sheetName val="AH2700_check"/>
      <sheetName val="RoomLogg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D8">
            <v>999.79444293385575</v>
          </cell>
          <cell r="E8">
            <v>5.0847041452844258E-2</v>
          </cell>
          <cell r="F8">
            <v>2.1617190787570473</v>
          </cell>
          <cell r="G8">
            <v>-1.8113472553878095E-3</v>
          </cell>
        </row>
        <row r="9">
          <cell r="D9">
            <v>99.994855108658371</v>
          </cell>
          <cell r="E9">
            <v>5.0857439775214754E-3</v>
          </cell>
          <cell r="F9">
            <v>2.1617198857142985</v>
          </cell>
          <cell r="G9">
            <v>0.10866181066691974</v>
          </cell>
        </row>
        <row r="10">
          <cell r="D10">
            <v>9.9971953057649294</v>
          </cell>
          <cell r="E10">
            <v>5.9905445665134728E-4</v>
          </cell>
          <cell r="F10">
            <v>2.1066296139117031</v>
          </cell>
          <cell r="G10">
            <v>0.1021178912271023</v>
          </cell>
        </row>
        <row r="11">
          <cell r="D11">
            <v>0.99988954580232448</v>
          </cell>
          <cell r="E11">
            <v>4.1579058305861336E-4</v>
          </cell>
          <cell r="F11">
            <v>2.5532362675585478</v>
          </cell>
          <cell r="G11">
            <v>0.11607746456575932</v>
          </cell>
        </row>
        <row r="25">
          <cell r="D25">
            <v>999.82744737198152</v>
          </cell>
          <cell r="G25">
            <v>2.8984232585345382E-4</v>
          </cell>
        </row>
        <row r="26">
          <cell r="D26">
            <v>100.00215576247349</v>
          </cell>
          <cell r="G26">
            <v>4.0501108048644557E-4</v>
          </cell>
        </row>
        <row r="27">
          <cell r="D27">
            <v>9.9980953863722739</v>
          </cell>
          <cell r="G27">
            <v>-1.5382483875996688E-3</v>
          </cell>
        </row>
        <row r="28">
          <cell r="D28">
            <v>0.99988954580232448</v>
          </cell>
          <cell r="G28">
            <v>-9.7509912484205902E-3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opLeftCell="A10" workbookViewId="0">
      <selection activeCell="A26" sqref="A26"/>
    </sheetView>
  </sheetViews>
  <sheetFormatPr defaultRowHeight="12.75"/>
  <sheetData>
    <row r="1" spans="1:1">
      <c r="A1" s="246" t="s">
        <v>331</v>
      </c>
    </row>
    <row r="2" spans="1:1">
      <c r="A2" t="s">
        <v>206</v>
      </c>
    </row>
    <row r="3" spans="1:1">
      <c r="A3" t="s">
        <v>208</v>
      </c>
    </row>
    <row r="4" spans="1:1">
      <c r="A4" t="s">
        <v>207</v>
      </c>
    </row>
    <row r="5" spans="1:1">
      <c r="A5" t="s">
        <v>232</v>
      </c>
    </row>
    <row r="6" spans="1:1">
      <c r="A6" t="s">
        <v>250</v>
      </c>
    </row>
    <row r="7" spans="1:1">
      <c r="A7" t="s">
        <v>306</v>
      </c>
    </row>
    <row r="8" spans="1:1">
      <c r="A8" t="s">
        <v>323</v>
      </c>
    </row>
    <row r="9" spans="1:1">
      <c r="A9" t="s">
        <v>324</v>
      </c>
    </row>
    <row r="11" spans="1:1">
      <c r="A11" s="246" t="s">
        <v>332</v>
      </c>
    </row>
    <row r="12" spans="1:1">
      <c r="A12" s="246" t="s">
        <v>330</v>
      </c>
    </row>
    <row r="13" spans="1:1">
      <c r="A13" s="246" t="s">
        <v>334</v>
      </c>
    </row>
    <row r="14" spans="1:1">
      <c r="A14" s="246" t="s">
        <v>337</v>
      </c>
    </row>
    <row r="15" spans="1:1">
      <c r="A15" s="246" t="s">
        <v>375</v>
      </c>
    </row>
    <row r="16" spans="1:1">
      <c r="A16" s="246" t="s">
        <v>383</v>
      </c>
    </row>
    <row r="17" spans="1:1">
      <c r="A17" s="246" t="s">
        <v>410</v>
      </c>
    </row>
    <row r="18" spans="1:1">
      <c r="A18" s="246" t="s">
        <v>411</v>
      </c>
    </row>
    <row r="22" spans="1:1">
      <c r="A22" s="246"/>
    </row>
    <row r="23" spans="1:1">
      <c r="A23" s="246" t="s">
        <v>476</v>
      </c>
    </row>
    <row r="24" spans="1:1">
      <c r="A24" s="246" t="s">
        <v>477</v>
      </c>
    </row>
    <row r="25" spans="1:1">
      <c r="A25" s="246" t="s">
        <v>337</v>
      </c>
    </row>
    <row r="26" spans="1:1">
      <c r="A26" s="246" t="s">
        <v>375</v>
      </c>
    </row>
    <row r="27" spans="1:1">
      <c r="A27" s="246" t="s">
        <v>383</v>
      </c>
    </row>
    <row r="28" spans="1:1">
      <c r="A28" s="246" t="s">
        <v>410</v>
      </c>
    </row>
    <row r="29" spans="1:1">
      <c r="A29" s="246" t="s">
        <v>411</v>
      </c>
    </row>
  </sheetData>
  <phoneticPr fontId="2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2356-415F-47AC-98D0-14F9525E7142}">
  <sheetPr>
    <tabColor theme="3" tint="0.39997558519241921"/>
  </sheetPr>
  <dimension ref="A1:R24"/>
  <sheetViews>
    <sheetView topLeftCell="H4" workbookViewId="0">
      <selection activeCell="D23" sqref="D23"/>
    </sheetView>
  </sheetViews>
  <sheetFormatPr defaultRowHeight="12.75"/>
  <cols>
    <col min="1" max="1" width="23.85546875" customWidth="1"/>
    <col min="2" max="2" width="20.85546875" customWidth="1"/>
    <col min="4" max="4" width="11.85546875" customWidth="1"/>
    <col min="5" max="5" width="1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85" t="s">
        <v>412</v>
      </c>
    </row>
    <row r="2" spans="1:18">
      <c r="A2" s="3"/>
      <c r="C2" s="3"/>
      <c r="E2" s="3"/>
      <c r="G2" s="3"/>
      <c r="I2" s="3"/>
      <c r="K2" s="3"/>
      <c r="M2" s="3"/>
      <c r="O2" s="3"/>
      <c r="Q2" s="3"/>
    </row>
    <row r="3" spans="1:18">
      <c r="A3" s="270" t="s">
        <v>413</v>
      </c>
      <c r="B3" s="271" t="s">
        <v>471</v>
      </c>
      <c r="C3" s="271"/>
      <c r="D3" s="92"/>
      <c r="E3" s="30" t="s">
        <v>185</v>
      </c>
      <c r="F3" s="271" t="s">
        <v>472</v>
      </c>
      <c r="G3" s="92"/>
      <c r="K3" s="246" t="s">
        <v>414</v>
      </c>
    </row>
    <row r="4" spans="1:18">
      <c r="A4" s="103" t="s">
        <v>46</v>
      </c>
      <c r="B4" s="272">
        <v>44218</v>
      </c>
      <c r="C4" s="271"/>
      <c r="D4" s="92"/>
      <c r="E4" s="30" t="s">
        <v>186</v>
      </c>
      <c r="F4" s="273" t="s">
        <v>473</v>
      </c>
      <c r="G4" s="92" t="s">
        <v>474</v>
      </c>
      <c r="K4" t="s">
        <v>415</v>
      </c>
    </row>
    <row r="5" spans="1:18">
      <c r="A5" s="253"/>
      <c r="B5" s="272"/>
      <c r="C5" s="271"/>
      <c r="D5" s="92"/>
      <c r="E5" s="30" t="s">
        <v>187</v>
      </c>
      <c r="F5" s="271" t="s">
        <v>475</v>
      </c>
      <c r="G5" s="92"/>
      <c r="K5" t="s">
        <v>416</v>
      </c>
    </row>
    <row r="6" spans="1:18" ht="13.5" thickBot="1">
      <c r="A6" s="80"/>
      <c r="D6" s="246" t="s">
        <v>417</v>
      </c>
      <c r="H6" s="246" t="s">
        <v>418</v>
      </c>
      <c r="Q6" s="2"/>
    </row>
    <row r="7" spans="1:18" ht="13.5" thickTop="1">
      <c r="A7" s="274" t="s">
        <v>233</v>
      </c>
      <c r="B7" s="275" t="s">
        <v>419</v>
      </c>
      <c r="C7" s="71" t="s">
        <v>33</v>
      </c>
      <c r="D7" s="90" t="s">
        <v>420</v>
      </c>
      <c r="E7" s="90" t="s">
        <v>421</v>
      </c>
      <c r="F7" s="106" t="s">
        <v>169</v>
      </c>
      <c r="G7" s="276" t="s">
        <v>422</v>
      </c>
      <c r="H7" s="277" t="s">
        <v>423</v>
      </c>
      <c r="I7" s="277" t="s">
        <v>424</v>
      </c>
      <c r="J7" s="277" t="s">
        <v>425</v>
      </c>
      <c r="K7" s="277" t="s">
        <v>423</v>
      </c>
      <c r="L7" s="277" t="s">
        <v>424</v>
      </c>
      <c r="M7" s="277" t="s">
        <v>426</v>
      </c>
      <c r="N7" s="277" t="s">
        <v>423</v>
      </c>
      <c r="O7" s="277" t="s">
        <v>424</v>
      </c>
      <c r="P7" s="277" t="s">
        <v>427</v>
      </c>
      <c r="Q7" s="277" t="s">
        <v>423</v>
      </c>
      <c r="R7" s="277" t="s">
        <v>424</v>
      </c>
    </row>
    <row r="8" spans="1:18">
      <c r="A8" s="68"/>
      <c r="B8" s="70" t="s">
        <v>170</v>
      </c>
      <c r="C8" s="71"/>
      <c r="D8" s="90"/>
      <c r="E8" s="90"/>
      <c r="F8" s="278" t="s">
        <v>170</v>
      </c>
      <c r="G8" s="279" t="s">
        <v>428</v>
      </c>
      <c r="H8" s="277"/>
      <c r="I8" s="277"/>
      <c r="J8" s="277"/>
      <c r="K8" s="280"/>
      <c r="L8" s="280"/>
      <c r="M8" s="277"/>
      <c r="N8" s="280"/>
      <c r="O8" s="280"/>
      <c r="P8" s="277"/>
      <c r="Q8" s="280"/>
      <c r="R8" s="280"/>
    </row>
    <row r="9" spans="1:18">
      <c r="A9" s="298" t="s">
        <v>429</v>
      </c>
      <c r="B9" s="70">
        <v>1591.5</v>
      </c>
      <c r="C9" s="71" t="s">
        <v>38</v>
      </c>
      <c r="D9" s="287">
        <v>-1</v>
      </c>
      <c r="E9" s="286">
        <v>10</v>
      </c>
      <c r="F9" s="281">
        <v>1594.12</v>
      </c>
      <c r="G9" s="276">
        <v>19.649999999999999</v>
      </c>
      <c r="H9" s="277">
        <v>0.2</v>
      </c>
      <c r="I9" s="280">
        <v>10</v>
      </c>
      <c r="J9" s="280">
        <v>0</v>
      </c>
      <c r="K9" s="282">
        <v>0</v>
      </c>
      <c r="L9" s="283">
        <v>10</v>
      </c>
      <c r="M9" s="280">
        <v>0</v>
      </c>
      <c r="N9" s="282">
        <v>0</v>
      </c>
      <c r="O9" s="283">
        <v>10</v>
      </c>
      <c r="P9" s="277"/>
      <c r="Q9" s="280"/>
      <c r="R9" s="280"/>
    </row>
    <row r="10" spans="1:18">
      <c r="A10" s="285" t="s">
        <v>234</v>
      </c>
      <c r="B10" s="70">
        <v>1591.5</v>
      </c>
      <c r="C10" s="254" t="s">
        <v>38</v>
      </c>
      <c r="D10" s="316">
        <v>999817</v>
      </c>
      <c r="E10" s="286">
        <v>1640</v>
      </c>
      <c r="F10" s="281">
        <v>1593.2</v>
      </c>
      <c r="G10" s="276">
        <v>20.04</v>
      </c>
      <c r="H10" s="277">
        <v>0.2</v>
      </c>
      <c r="I10" s="280">
        <v>10</v>
      </c>
      <c r="J10" s="280">
        <v>0</v>
      </c>
      <c r="K10" s="282">
        <v>2.7500000000000001E-5</v>
      </c>
      <c r="L10" s="283">
        <v>10</v>
      </c>
      <c r="M10" s="280">
        <v>0</v>
      </c>
      <c r="N10" s="282">
        <v>0</v>
      </c>
      <c r="O10" s="283">
        <v>10</v>
      </c>
      <c r="P10" s="280"/>
      <c r="Q10" s="280"/>
      <c r="R10" s="283"/>
    </row>
    <row r="11" spans="1:18">
      <c r="A11" s="298" t="s">
        <v>429</v>
      </c>
      <c r="B11" s="70">
        <v>1591.5</v>
      </c>
      <c r="C11" s="254" t="s">
        <v>95</v>
      </c>
      <c r="D11" s="287">
        <v>-1</v>
      </c>
      <c r="E11" s="286">
        <v>0</v>
      </c>
      <c r="F11" s="281">
        <v>1592.78</v>
      </c>
      <c r="G11" s="276">
        <v>20.079999999999998</v>
      </c>
      <c r="H11" s="277">
        <v>0.2</v>
      </c>
      <c r="I11" s="280">
        <v>10</v>
      </c>
      <c r="J11" s="280">
        <v>0</v>
      </c>
      <c r="K11" s="282">
        <v>0</v>
      </c>
      <c r="L11" s="283">
        <v>10</v>
      </c>
      <c r="M11" s="280">
        <v>0</v>
      </c>
      <c r="N11" s="282">
        <v>0</v>
      </c>
      <c r="O11" s="283">
        <v>10</v>
      </c>
      <c r="P11" s="280"/>
      <c r="Q11" s="282"/>
      <c r="R11" s="283"/>
    </row>
    <row r="12" spans="1:18">
      <c r="A12" s="285" t="s">
        <v>235</v>
      </c>
      <c r="B12" s="70">
        <v>1591.5</v>
      </c>
      <c r="C12" s="254" t="s">
        <v>95</v>
      </c>
      <c r="D12" s="287">
        <v>999944</v>
      </c>
      <c r="E12" s="286">
        <v>396</v>
      </c>
      <c r="F12" s="281">
        <v>1591.89</v>
      </c>
      <c r="G12" s="276">
        <v>20.11</v>
      </c>
      <c r="H12" s="277">
        <v>0.2</v>
      </c>
      <c r="I12" s="280">
        <v>10</v>
      </c>
      <c r="J12" s="280">
        <v>0</v>
      </c>
      <c r="K12" s="282">
        <v>2.7500000000000001E-5</v>
      </c>
      <c r="L12" s="283">
        <v>10</v>
      </c>
      <c r="M12" s="280">
        <v>0</v>
      </c>
      <c r="N12" s="282">
        <v>0</v>
      </c>
      <c r="O12" s="283">
        <v>10</v>
      </c>
      <c r="P12" s="280"/>
      <c r="Q12" s="282"/>
      <c r="R12" s="283"/>
    </row>
    <row r="13" spans="1:18">
      <c r="A13" s="298" t="s">
        <v>429</v>
      </c>
      <c r="B13" s="70">
        <v>1591.5</v>
      </c>
      <c r="C13" s="254" t="s">
        <v>42</v>
      </c>
      <c r="D13" s="287">
        <v>-1</v>
      </c>
      <c r="E13" s="286">
        <v>4</v>
      </c>
      <c r="F13" s="281">
        <v>1592.17</v>
      </c>
      <c r="G13" s="276">
        <v>20.47</v>
      </c>
      <c r="H13" s="277">
        <v>0.2</v>
      </c>
      <c r="I13" s="280">
        <v>10</v>
      </c>
      <c r="J13" s="280">
        <v>0</v>
      </c>
      <c r="K13" s="282">
        <v>0</v>
      </c>
      <c r="L13" s="283">
        <v>10</v>
      </c>
      <c r="M13" s="280">
        <v>0</v>
      </c>
      <c r="N13" s="282">
        <v>0</v>
      </c>
      <c r="O13" s="283">
        <v>10</v>
      </c>
      <c r="P13" s="280"/>
      <c r="Q13" s="282"/>
      <c r="R13" s="283"/>
    </row>
    <row r="14" spans="1:18">
      <c r="A14" s="285" t="s">
        <v>236</v>
      </c>
      <c r="B14" s="70">
        <v>1591.5</v>
      </c>
      <c r="C14" s="254" t="s">
        <v>42</v>
      </c>
      <c r="D14" s="287">
        <v>1000003</v>
      </c>
      <c r="E14" s="286">
        <v>479</v>
      </c>
      <c r="F14" s="281">
        <v>1592.19</v>
      </c>
      <c r="G14" s="276">
        <v>20.21</v>
      </c>
      <c r="H14" s="277">
        <v>0.2</v>
      </c>
      <c r="I14" s="280">
        <v>10</v>
      </c>
      <c r="J14" s="280">
        <v>0</v>
      </c>
      <c r="K14" s="282">
        <v>2.7500000000000001E-5</v>
      </c>
      <c r="L14" s="283">
        <v>10</v>
      </c>
      <c r="M14" s="280">
        <v>0</v>
      </c>
      <c r="N14" s="282">
        <v>0</v>
      </c>
      <c r="O14" s="283">
        <v>10</v>
      </c>
      <c r="P14" s="280"/>
      <c r="Q14" s="282"/>
      <c r="R14" s="283"/>
    </row>
    <row r="15" spans="1:18">
      <c r="A15" s="298" t="s">
        <v>429</v>
      </c>
      <c r="B15" s="70">
        <v>1591.5</v>
      </c>
      <c r="C15" s="254" t="s">
        <v>37</v>
      </c>
      <c r="D15" s="287">
        <v>0</v>
      </c>
      <c r="E15" s="286">
        <v>12</v>
      </c>
      <c r="F15" s="281">
        <v>1592.13</v>
      </c>
      <c r="G15" s="276">
        <v>20.61</v>
      </c>
      <c r="H15" s="277">
        <v>0.2</v>
      </c>
      <c r="I15" s="280">
        <v>10</v>
      </c>
      <c r="J15" s="280">
        <v>0</v>
      </c>
      <c r="K15" s="282">
        <v>0</v>
      </c>
      <c r="L15" s="283">
        <v>10</v>
      </c>
      <c r="M15" s="280">
        <v>0</v>
      </c>
      <c r="N15" s="282">
        <v>0</v>
      </c>
      <c r="O15" s="283">
        <v>10</v>
      </c>
      <c r="P15" s="280"/>
      <c r="Q15" s="282"/>
      <c r="R15" s="283"/>
    </row>
    <row r="16" spans="1:18">
      <c r="A16" s="285" t="s">
        <v>241</v>
      </c>
      <c r="B16" s="70">
        <v>1591.5</v>
      </c>
      <c r="C16" s="254" t="s">
        <v>37</v>
      </c>
      <c r="D16" s="287">
        <v>999707</v>
      </c>
      <c r="E16" s="286">
        <v>-218</v>
      </c>
      <c r="F16" s="281">
        <v>1592.07</v>
      </c>
      <c r="G16" s="276">
        <v>20.190000000000001</v>
      </c>
      <c r="H16" s="277">
        <v>0.2</v>
      </c>
      <c r="I16" s="280">
        <v>10</v>
      </c>
      <c r="J16" s="280">
        <v>0</v>
      </c>
      <c r="K16" s="282">
        <v>9.0000000000000002E-6</v>
      </c>
      <c r="L16" s="283">
        <v>10</v>
      </c>
      <c r="M16" s="280">
        <v>0</v>
      </c>
      <c r="N16" s="282">
        <v>0</v>
      </c>
      <c r="O16" s="283">
        <v>10</v>
      </c>
      <c r="P16" s="280"/>
      <c r="Q16" s="280"/>
      <c r="R16" s="283"/>
    </row>
    <row r="17" spans="1:18">
      <c r="A17" s="285" t="s">
        <v>36</v>
      </c>
      <c r="B17" s="70">
        <v>1591.5</v>
      </c>
      <c r="C17" s="254" t="s">
        <v>37</v>
      </c>
      <c r="D17" s="287">
        <v>999876</v>
      </c>
      <c r="E17" s="286">
        <v>-158</v>
      </c>
      <c r="F17" s="281">
        <v>1591.9</v>
      </c>
      <c r="G17" s="276">
        <v>20.8</v>
      </c>
      <c r="H17" s="277">
        <v>0.2</v>
      </c>
      <c r="I17" s="280">
        <v>10</v>
      </c>
      <c r="J17" s="280">
        <v>0</v>
      </c>
      <c r="K17" s="282">
        <v>9.9999999999999995E-7</v>
      </c>
      <c r="L17" s="283">
        <v>10</v>
      </c>
      <c r="M17" s="280">
        <v>0</v>
      </c>
      <c r="N17" s="282">
        <v>0</v>
      </c>
      <c r="O17" s="283">
        <v>10</v>
      </c>
      <c r="P17" s="280"/>
      <c r="Q17" s="282"/>
      <c r="R17" s="283"/>
    </row>
    <row r="18" spans="1:18">
      <c r="A18" s="285" t="s">
        <v>173</v>
      </c>
      <c r="B18" s="70">
        <v>1591.5</v>
      </c>
      <c r="C18" s="254" t="s">
        <v>37</v>
      </c>
      <c r="D18" s="287">
        <v>999859</v>
      </c>
      <c r="E18" s="286">
        <v>-138</v>
      </c>
      <c r="F18" s="281">
        <v>1591.86</v>
      </c>
      <c r="G18" s="276">
        <v>20.8</v>
      </c>
      <c r="H18" s="277">
        <v>0.2</v>
      </c>
      <c r="I18" s="280">
        <v>10</v>
      </c>
      <c r="J18" s="280">
        <v>0</v>
      </c>
      <c r="K18" s="282">
        <v>9.9999999999999995E-7</v>
      </c>
      <c r="L18" s="283">
        <v>10</v>
      </c>
      <c r="M18" s="280">
        <v>0</v>
      </c>
      <c r="N18" s="282">
        <v>0</v>
      </c>
      <c r="O18" s="283">
        <v>10</v>
      </c>
      <c r="P18" s="280"/>
      <c r="Q18" s="282"/>
      <c r="R18" s="283"/>
    </row>
    <row r="19" spans="1:18">
      <c r="A19" s="298" t="s">
        <v>429</v>
      </c>
      <c r="B19" s="70">
        <v>1591.5</v>
      </c>
      <c r="C19" s="254" t="s">
        <v>44</v>
      </c>
      <c r="D19" s="287">
        <v>5</v>
      </c>
      <c r="E19" s="286">
        <v>30</v>
      </c>
      <c r="F19" s="281">
        <v>1595.3</v>
      </c>
      <c r="G19" s="276">
        <v>19.899999999999999</v>
      </c>
      <c r="H19" s="277">
        <v>0.2</v>
      </c>
      <c r="I19" s="280">
        <v>10</v>
      </c>
      <c r="J19" s="280">
        <v>0</v>
      </c>
      <c r="K19" s="282">
        <v>0</v>
      </c>
      <c r="L19" s="283">
        <v>10</v>
      </c>
      <c r="M19" s="280">
        <v>0</v>
      </c>
      <c r="N19" s="282">
        <v>0</v>
      </c>
      <c r="O19" s="283">
        <v>10</v>
      </c>
      <c r="P19" s="280"/>
      <c r="Q19" s="282"/>
      <c r="R19" s="283"/>
    </row>
    <row r="20" spans="1:18">
      <c r="A20" s="285" t="s">
        <v>243</v>
      </c>
      <c r="B20" s="284">
        <v>1591.5</v>
      </c>
      <c r="C20" s="254" t="s">
        <v>44</v>
      </c>
      <c r="D20" s="287">
        <v>999917</v>
      </c>
      <c r="E20" s="286">
        <v>2270</v>
      </c>
      <c r="F20" s="281">
        <v>1595.12</v>
      </c>
      <c r="G20" s="276">
        <v>20.02</v>
      </c>
      <c r="H20" s="277">
        <v>0.2</v>
      </c>
      <c r="I20" s="280">
        <v>10</v>
      </c>
      <c r="J20" s="280">
        <v>0</v>
      </c>
      <c r="K20" s="282">
        <v>9.0000000000000002E-6</v>
      </c>
      <c r="L20" s="283">
        <v>10</v>
      </c>
      <c r="M20" s="280">
        <v>0</v>
      </c>
      <c r="N20" s="282">
        <v>0</v>
      </c>
      <c r="O20" s="283">
        <v>10</v>
      </c>
      <c r="P20" s="280"/>
      <c r="Q20" s="282"/>
      <c r="R20" s="283"/>
    </row>
    <row r="21" spans="1:18">
      <c r="A21" s="298" t="s">
        <v>244</v>
      </c>
      <c r="B21" s="70">
        <v>1591.5</v>
      </c>
      <c r="C21" s="254" t="s">
        <v>44</v>
      </c>
      <c r="D21" s="287">
        <v>99984</v>
      </c>
      <c r="E21" s="286">
        <v>240</v>
      </c>
      <c r="F21" s="281">
        <v>1592.93</v>
      </c>
      <c r="G21" s="276">
        <v>20</v>
      </c>
      <c r="H21" s="277">
        <v>0.2</v>
      </c>
      <c r="I21" s="280">
        <v>10</v>
      </c>
      <c r="J21" s="280">
        <v>0</v>
      </c>
      <c r="K21" s="282">
        <v>9.0000000000000002E-6</v>
      </c>
      <c r="L21" s="283">
        <v>10</v>
      </c>
      <c r="M21" s="280">
        <v>0</v>
      </c>
      <c r="N21" s="282">
        <v>0</v>
      </c>
      <c r="O21" s="283">
        <v>10</v>
      </c>
      <c r="P21" s="280"/>
      <c r="Q21" s="282"/>
      <c r="R21" s="283"/>
    </row>
    <row r="22" spans="1:18">
      <c r="A22" s="285" t="s">
        <v>246</v>
      </c>
      <c r="B22" s="70">
        <v>1591.5</v>
      </c>
      <c r="C22" s="254" t="s">
        <v>44</v>
      </c>
      <c r="D22" s="287">
        <v>10003</v>
      </c>
      <c r="E22" s="286">
        <v>50</v>
      </c>
      <c r="F22" s="281">
        <v>1594.62</v>
      </c>
      <c r="G22" s="276">
        <v>19.96</v>
      </c>
      <c r="H22" s="277">
        <v>0.2</v>
      </c>
      <c r="I22" s="280">
        <v>10</v>
      </c>
      <c r="J22" s="280">
        <v>0</v>
      </c>
      <c r="K22" s="282">
        <v>1.2E-5</v>
      </c>
      <c r="L22" s="283">
        <v>10</v>
      </c>
      <c r="M22" s="280">
        <v>0</v>
      </c>
      <c r="N22" s="282">
        <v>0</v>
      </c>
      <c r="O22" s="283">
        <v>10</v>
      </c>
      <c r="P22" s="280"/>
      <c r="Q22" s="282"/>
      <c r="R22" s="283"/>
    </row>
    <row r="23" spans="1:18">
      <c r="A23" s="285" t="s">
        <v>248</v>
      </c>
      <c r="B23" s="70">
        <v>1591.5</v>
      </c>
      <c r="C23" s="254" t="s">
        <v>44</v>
      </c>
      <c r="D23" s="287">
        <v>99992</v>
      </c>
      <c r="E23" s="286">
        <v>225</v>
      </c>
      <c r="F23" s="281">
        <v>1594.5</v>
      </c>
      <c r="G23" s="276">
        <v>20.6</v>
      </c>
      <c r="H23" s="277">
        <v>0.2</v>
      </c>
      <c r="I23" s="280">
        <v>10</v>
      </c>
      <c r="J23" s="280">
        <v>0</v>
      </c>
      <c r="K23" s="282">
        <v>9.9999999999999995E-7</v>
      </c>
      <c r="L23" s="283">
        <v>10</v>
      </c>
      <c r="M23" s="280">
        <v>0</v>
      </c>
      <c r="N23" s="282">
        <v>0</v>
      </c>
      <c r="O23" s="283">
        <v>10</v>
      </c>
      <c r="P23" s="280"/>
      <c r="Q23" s="280"/>
      <c r="R23" s="283"/>
    </row>
    <row r="24" spans="1:18">
      <c r="A24" s="285" t="s">
        <v>249</v>
      </c>
      <c r="B24" s="70">
        <v>1591.5</v>
      </c>
      <c r="C24" s="254" t="s">
        <v>44</v>
      </c>
      <c r="D24" s="287">
        <v>999873</v>
      </c>
      <c r="E24" s="286">
        <v>2265</v>
      </c>
      <c r="F24" s="281">
        <v>1593.06</v>
      </c>
      <c r="G24" s="276">
        <v>20.8</v>
      </c>
      <c r="H24" s="277">
        <v>0.2</v>
      </c>
      <c r="I24" s="280">
        <v>10</v>
      </c>
      <c r="J24" s="280">
        <v>0</v>
      </c>
      <c r="K24" s="282">
        <v>9.9999999999999995E-7</v>
      </c>
      <c r="L24" s="283">
        <v>10</v>
      </c>
      <c r="M24" s="280">
        <v>0</v>
      </c>
      <c r="N24" s="282">
        <v>0</v>
      </c>
      <c r="O24" s="283">
        <v>10</v>
      </c>
      <c r="P24" s="280"/>
      <c r="Q24" s="282"/>
      <c r="R24" s="28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2418-1868-4AB6-9906-9CB07A0DCEA7}">
  <sheetPr>
    <tabColor theme="4" tint="0.39997558519241921"/>
  </sheetPr>
  <dimension ref="A1:AO17"/>
  <sheetViews>
    <sheetView workbookViewId="0">
      <pane xSplit="3" ySplit="1" topLeftCell="AJ2" activePane="bottomRight" state="frozen"/>
      <selection pane="topRight" activeCell="D1" sqref="D1"/>
      <selection pane="bottomLeft" activeCell="A2" sqref="A2"/>
      <selection pane="bottomRight" activeCell="AR19" sqref="AR19"/>
    </sheetView>
  </sheetViews>
  <sheetFormatPr defaultRowHeight="12.75"/>
  <cols>
    <col min="27" max="27" width="11.28515625" customWidth="1"/>
    <col min="29" max="29" width="15" customWidth="1"/>
    <col min="35" max="35" width="10.28515625" customWidth="1"/>
    <col min="36" max="36" width="11.28515625" customWidth="1"/>
  </cols>
  <sheetData>
    <row r="1" spans="1:41">
      <c r="A1" s="288" t="s">
        <v>233</v>
      </c>
      <c r="B1" s="288" t="s">
        <v>16</v>
      </c>
      <c r="C1" s="288" t="s">
        <v>33</v>
      </c>
      <c r="D1" s="288" t="s">
        <v>430</v>
      </c>
      <c r="E1" s="288" t="s">
        <v>431</v>
      </c>
      <c r="F1" s="288" t="s">
        <v>432</v>
      </c>
      <c r="G1" s="288" t="s">
        <v>349</v>
      </c>
      <c r="H1" s="288" t="s">
        <v>433</v>
      </c>
      <c r="I1" s="288" t="s">
        <v>434</v>
      </c>
      <c r="J1" s="288" t="s">
        <v>435</v>
      </c>
      <c r="K1" s="288" t="s">
        <v>436</v>
      </c>
      <c r="L1" s="288" t="s">
        <v>437</v>
      </c>
      <c r="M1" s="288" t="s">
        <v>438</v>
      </c>
      <c r="N1" s="288" t="s">
        <v>439</v>
      </c>
      <c r="O1" s="288" t="s">
        <v>440</v>
      </c>
      <c r="P1" s="288" t="s">
        <v>441</v>
      </c>
      <c r="Q1" s="288" t="s">
        <v>442</v>
      </c>
      <c r="R1" s="288" t="s">
        <v>443</v>
      </c>
      <c r="S1" s="288" t="s">
        <v>444</v>
      </c>
      <c r="T1" s="288" t="s">
        <v>445</v>
      </c>
      <c r="U1" s="288" t="s">
        <v>446</v>
      </c>
      <c r="V1" s="288" t="s">
        <v>447</v>
      </c>
      <c r="W1" s="288" t="s">
        <v>448</v>
      </c>
      <c r="X1" s="288" t="s">
        <v>449</v>
      </c>
      <c r="Y1" s="288" t="s">
        <v>450</v>
      </c>
      <c r="Z1" s="288" t="s">
        <v>451</v>
      </c>
      <c r="AA1" s="288" t="s">
        <v>452</v>
      </c>
      <c r="AB1" s="288" t="s">
        <v>453</v>
      </c>
      <c r="AC1" s="288" t="s">
        <v>454</v>
      </c>
      <c r="AD1" s="288" t="s">
        <v>455</v>
      </c>
      <c r="AE1" s="288" t="s">
        <v>163</v>
      </c>
      <c r="AF1" s="288" t="s">
        <v>456</v>
      </c>
      <c r="AG1" s="288" t="s">
        <v>17</v>
      </c>
      <c r="AH1" s="288" t="s">
        <v>457</v>
      </c>
      <c r="AI1" s="288" t="s">
        <v>0</v>
      </c>
      <c r="AJ1" s="288" t="s">
        <v>203</v>
      </c>
      <c r="AK1" s="288" t="s">
        <v>17</v>
      </c>
      <c r="AL1" s="288" t="s">
        <v>458</v>
      </c>
      <c r="AM1" s="288" t="s">
        <v>447</v>
      </c>
      <c r="AN1" s="288" t="s">
        <v>448</v>
      </c>
      <c r="AO1" s="288" t="s">
        <v>449</v>
      </c>
    </row>
    <row r="2" spans="1:41">
      <c r="A2" t="s">
        <v>429</v>
      </c>
      <c r="B2">
        <v>1591.5</v>
      </c>
      <c r="C2" t="s">
        <v>38</v>
      </c>
      <c r="D2">
        <v>-1</v>
      </c>
      <c r="E2">
        <v>10</v>
      </c>
      <c r="F2">
        <v>1594.12</v>
      </c>
      <c r="G2">
        <v>19.649999999999999</v>
      </c>
      <c r="H2">
        <v>0.2</v>
      </c>
      <c r="I2">
        <v>10</v>
      </c>
      <c r="J2">
        <v>0</v>
      </c>
      <c r="K2">
        <v>0</v>
      </c>
      <c r="L2">
        <v>10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1.034588057504798E-16</v>
      </c>
      <c r="Z2">
        <v>2.4338969545428721E-12</v>
      </c>
      <c r="AA2" s="289">
        <f t="shared" ref="AA2:AA17" si="0">Q2/Y2</f>
        <v>0</v>
      </c>
      <c r="AB2" s="289">
        <f t="shared" ref="AB2:AB17" si="1">T2/Z2</f>
        <v>0</v>
      </c>
      <c r="AC2" s="290" t="str">
        <f>A2&amp;B2</f>
        <v>coax zero1591.5</v>
      </c>
      <c r="AD2" s="291">
        <v>1000</v>
      </c>
      <c r="AE2" s="292">
        <f>AD2*S2</f>
        <v>0</v>
      </c>
      <c r="AF2" s="293">
        <f>AD2*T2</f>
        <v>0</v>
      </c>
      <c r="AG2" s="289">
        <f>U2</f>
        <v>0</v>
      </c>
      <c r="AH2" s="291">
        <v>1000000</v>
      </c>
      <c r="AI2" s="294">
        <f>AH2*P2</f>
        <v>0</v>
      </c>
      <c r="AJ2" s="295">
        <f>AH2*Q2</f>
        <v>0</v>
      </c>
      <c r="AK2" s="296">
        <f>R2</f>
        <v>0</v>
      </c>
      <c r="AL2" s="296">
        <f>B2</f>
        <v>1591.5</v>
      </c>
      <c r="AM2" s="310">
        <f>V2</f>
        <v>0</v>
      </c>
      <c r="AN2" s="310">
        <f t="shared" ref="AN2:AO2" si="2">W2</f>
        <v>0</v>
      </c>
      <c r="AO2" s="310">
        <f t="shared" si="2"/>
        <v>0</v>
      </c>
    </row>
    <row r="3" spans="1:41">
      <c r="A3" t="s">
        <v>234</v>
      </c>
      <c r="B3">
        <v>1591.5</v>
      </c>
      <c r="C3" t="s">
        <v>38</v>
      </c>
      <c r="D3">
        <v>999817</v>
      </c>
      <c r="E3">
        <v>1640</v>
      </c>
      <c r="F3">
        <v>1593.2</v>
      </c>
      <c r="G3">
        <v>20.04</v>
      </c>
      <c r="H3">
        <v>0.2</v>
      </c>
      <c r="I3">
        <v>10</v>
      </c>
      <c r="J3">
        <v>0</v>
      </c>
      <c r="K3">
        <v>2.7500000000000001E-5</v>
      </c>
      <c r="L3">
        <v>10</v>
      </c>
      <c r="M3">
        <v>0</v>
      </c>
      <c r="N3">
        <v>0</v>
      </c>
      <c r="O3">
        <v>10</v>
      </c>
      <c r="P3">
        <v>9.9992087580392571E-7</v>
      </c>
      <c r="Q3">
        <v>4.5164550530917041E-11</v>
      </c>
      <c r="R3">
        <v>2.023240151271259</v>
      </c>
      <c r="S3">
        <v>1.629936922501878E-6</v>
      </c>
      <c r="T3">
        <v>3.7899461244221428E-7</v>
      </c>
      <c r="U3">
        <v>2.2184144594809529</v>
      </c>
      <c r="V3">
        <v>0.1630116514466714</v>
      </c>
      <c r="W3">
        <v>3.7903637507439983E-2</v>
      </c>
      <c r="X3">
        <v>2.2184144569907001</v>
      </c>
      <c r="Y3">
        <v>2.199836279894013E-11</v>
      </c>
      <c r="Z3">
        <v>2.702610592513617E-7</v>
      </c>
      <c r="AA3" s="289">
        <f t="shared" si="0"/>
        <v>2.0530869021349645</v>
      </c>
      <c r="AB3" s="289">
        <f t="shared" si="1"/>
        <v>1.4023278584493475</v>
      </c>
      <c r="AC3" s="290" t="str">
        <f t="shared" ref="AC3:AC17" si="3">A3&amp;B3</f>
        <v>1 microF1591.5</v>
      </c>
      <c r="AD3" s="291">
        <v>1000</v>
      </c>
      <c r="AE3" s="292">
        <f t="shared" ref="AE3:AE17" si="4">AD3*S3</f>
        <v>1.6299369225018781E-3</v>
      </c>
      <c r="AF3" s="293">
        <f t="shared" ref="AF3:AF17" si="5">AD3*T3</f>
        <v>3.789946124422143E-4</v>
      </c>
      <c r="AG3" s="289">
        <f t="shared" ref="AG3:AG17" si="6">U3</f>
        <v>2.2184144594809529</v>
      </c>
      <c r="AH3" s="291">
        <v>1000000</v>
      </c>
      <c r="AI3" s="294">
        <f t="shared" ref="AI3:AI17" si="7">AH3*P3</f>
        <v>0.99992087580392575</v>
      </c>
      <c r="AJ3" s="295">
        <f t="shared" ref="AJ3:AJ17" si="8">AH3*Q3</f>
        <v>4.5164550530917041E-5</v>
      </c>
      <c r="AK3" s="296">
        <f t="shared" ref="AK3:AK17" si="9">R3</f>
        <v>2.023240151271259</v>
      </c>
      <c r="AL3" s="296">
        <f t="shared" ref="AL3:AL17" si="10">B3</f>
        <v>1591.5</v>
      </c>
      <c r="AM3" s="310">
        <f t="shared" ref="AM3:AM17" si="11">V3</f>
        <v>0.1630116514466714</v>
      </c>
      <c r="AN3" s="310">
        <f t="shared" ref="AN3:AN17" si="12">W3</f>
        <v>3.7903637507439983E-2</v>
      </c>
      <c r="AO3" s="310">
        <f t="shared" ref="AO3:AO17" si="13">X3</f>
        <v>2.2184144569907001</v>
      </c>
    </row>
    <row r="4" spans="1:41">
      <c r="A4" t="s">
        <v>429</v>
      </c>
      <c r="B4">
        <v>1591.5</v>
      </c>
      <c r="C4" t="s">
        <v>95</v>
      </c>
      <c r="D4">
        <v>-1</v>
      </c>
      <c r="E4">
        <v>0</v>
      </c>
      <c r="F4">
        <v>1592.78</v>
      </c>
      <c r="G4">
        <v>20.079999999999998</v>
      </c>
      <c r="H4">
        <v>0.2</v>
      </c>
      <c r="I4">
        <v>10</v>
      </c>
      <c r="J4">
        <v>0</v>
      </c>
      <c r="K4">
        <v>0</v>
      </c>
      <c r="L4">
        <v>10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1.2336639300193911E-16</v>
      </c>
      <c r="Z4">
        <v>2.67506395485076E-12</v>
      </c>
      <c r="AA4" s="289">
        <f t="shared" si="0"/>
        <v>0</v>
      </c>
      <c r="AB4" s="289">
        <f t="shared" si="1"/>
        <v>0</v>
      </c>
      <c r="AC4" s="290" t="str">
        <f t="shared" si="3"/>
        <v>coax zero1591.5</v>
      </c>
      <c r="AD4" s="291">
        <v>1000</v>
      </c>
      <c r="AE4" s="292">
        <f t="shared" si="4"/>
        <v>0</v>
      </c>
      <c r="AF4" s="293">
        <f t="shared" si="5"/>
        <v>0</v>
      </c>
      <c r="AG4" s="289">
        <f t="shared" si="6"/>
        <v>0</v>
      </c>
      <c r="AH4" s="291">
        <v>1000000</v>
      </c>
      <c r="AI4" s="294">
        <f t="shared" si="7"/>
        <v>0</v>
      </c>
      <c r="AJ4" s="292">
        <f t="shared" si="8"/>
        <v>0</v>
      </c>
      <c r="AK4" s="296">
        <f t="shared" si="9"/>
        <v>0</v>
      </c>
      <c r="AL4" s="296">
        <f t="shared" si="10"/>
        <v>1591.5</v>
      </c>
      <c r="AM4" s="310">
        <f t="shared" si="11"/>
        <v>0</v>
      </c>
      <c r="AN4" s="310">
        <f t="shared" si="12"/>
        <v>0</v>
      </c>
      <c r="AO4" s="310">
        <f t="shared" si="13"/>
        <v>0</v>
      </c>
    </row>
    <row r="5" spans="1:41">
      <c r="A5" t="s">
        <v>235</v>
      </c>
      <c r="B5">
        <v>1591.5</v>
      </c>
      <c r="C5" t="s">
        <v>95</v>
      </c>
      <c r="D5">
        <v>999944</v>
      </c>
      <c r="E5">
        <v>396</v>
      </c>
      <c r="F5">
        <v>1591.89</v>
      </c>
      <c r="G5">
        <v>20.11</v>
      </c>
      <c r="H5">
        <v>0.2</v>
      </c>
      <c r="I5">
        <v>10</v>
      </c>
      <c r="J5">
        <v>0</v>
      </c>
      <c r="K5">
        <v>2.7500000000000001E-5</v>
      </c>
      <c r="L5">
        <v>10</v>
      </c>
      <c r="M5">
        <v>0</v>
      </c>
      <c r="N5">
        <v>0</v>
      </c>
      <c r="O5">
        <v>10</v>
      </c>
      <c r="P5">
        <v>1.000047888871531E-7</v>
      </c>
      <c r="Q5">
        <v>4.5523485433491489E-12</v>
      </c>
      <c r="R5">
        <v>2.0230041139396908</v>
      </c>
      <c r="S5">
        <v>3.9598467565076281E-8</v>
      </c>
      <c r="T5">
        <v>3.7842520749437582E-8</v>
      </c>
      <c r="U5">
        <v>2.2183792787743291</v>
      </c>
      <c r="V5">
        <v>3.9597801152120367E-2</v>
      </c>
      <c r="W5">
        <v>3.7841883910195599E-2</v>
      </c>
      <c r="X5">
        <v>2.2183792786021779</v>
      </c>
      <c r="Y5">
        <v>2.2002287921126389E-12</v>
      </c>
      <c r="Z5">
        <v>2.7009744463764931E-8</v>
      </c>
      <c r="AA5" s="289">
        <f t="shared" si="0"/>
        <v>2.069034165750566</v>
      </c>
      <c r="AB5" s="289">
        <f t="shared" si="1"/>
        <v>1.4010691882037396</v>
      </c>
      <c r="AC5" s="290" t="str">
        <f t="shared" si="3"/>
        <v>0.1 microF1591.5</v>
      </c>
      <c r="AD5" s="291">
        <v>1000</v>
      </c>
      <c r="AE5" s="292">
        <f t="shared" si="4"/>
        <v>3.9598467565076279E-5</v>
      </c>
      <c r="AF5" s="293">
        <f t="shared" si="5"/>
        <v>3.7842520749437584E-5</v>
      </c>
      <c r="AG5" s="289">
        <f t="shared" si="6"/>
        <v>2.2183792787743291</v>
      </c>
      <c r="AH5" s="291">
        <v>1000000</v>
      </c>
      <c r="AI5" s="294">
        <f t="shared" si="7"/>
        <v>0.1000047888871531</v>
      </c>
      <c r="AJ5" s="292">
        <f t="shared" si="8"/>
        <v>4.5523485433491487E-6</v>
      </c>
      <c r="AK5" s="296">
        <f t="shared" si="9"/>
        <v>2.0230041139396908</v>
      </c>
      <c r="AL5" s="296">
        <f t="shared" si="10"/>
        <v>1591.5</v>
      </c>
      <c r="AM5" s="310">
        <f t="shared" si="11"/>
        <v>3.9597801152120367E-2</v>
      </c>
      <c r="AN5" s="310">
        <f t="shared" si="12"/>
        <v>3.7841883910195599E-2</v>
      </c>
      <c r="AO5" s="310">
        <f t="shared" si="13"/>
        <v>2.2183792786021779</v>
      </c>
    </row>
    <row r="6" spans="1:41">
      <c r="A6" t="s">
        <v>429</v>
      </c>
      <c r="B6">
        <v>1591.5</v>
      </c>
      <c r="C6" t="s">
        <v>42</v>
      </c>
      <c r="D6">
        <v>-1</v>
      </c>
      <c r="E6">
        <v>4</v>
      </c>
      <c r="F6">
        <v>1592.17</v>
      </c>
      <c r="G6">
        <v>20.47</v>
      </c>
      <c r="H6">
        <v>0.2</v>
      </c>
      <c r="I6">
        <v>10</v>
      </c>
      <c r="J6">
        <v>0</v>
      </c>
      <c r="K6">
        <v>0</v>
      </c>
      <c r="L6">
        <v>10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1.2539470443380499E-16</v>
      </c>
      <c r="Z6">
        <v>2.6983514399494722E-12</v>
      </c>
      <c r="AA6" s="289">
        <f t="shared" si="0"/>
        <v>0</v>
      </c>
      <c r="AB6" s="289">
        <f t="shared" si="1"/>
        <v>0</v>
      </c>
      <c r="AC6" s="290" t="str">
        <f t="shared" si="3"/>
        <v>coax zero1591.5</v>
      </c>
      <c r="AD6" s="291">
        <v>1000</v>
      </c>
      <c r="AE6" s="292">
        <f t="shared" si="4"/>
        <v>0</v>
      </c>
      <c r="AF6" s="293">
        <f t="shared" si="5"/>
        <v>0</v>
      </c>
      <c r="AG6" s="289">
        <f t="shared" si="6"/>
        <v>0</v>
      </c>
      <c r="AH6" s="291">
        <v>1000000</v>
      </c>
      <c r="AI6" s="294">
        <f t="shared" si="7"/>
        <v>0</v>
      </c>
      <c r="AJ6" s="292">
        <f t="shared" si="8"/>
        <v>0</v>
      </c>
      <c r="AK6" s="296">
        <f t="shared" si="9"/>
        <v>0</v>
      </c>
      <c r="AL6" s="296">
        <f t="shared" si="10"/>
        <v>1591.5</v>
      </c>
      <c r="AM6" s="310">
        <f t="shared" si="11"/>
        <v>0</v>
      </c>
      <c r="AN6" s="310">
        <f t="shared" si="12"/>
        <v>0</v>
      </c>
      <c r="AO6" s="310">
        <f t="shared" si="13"/>
        <v>0</v>
      </c>
    </row>
    <row r="7" spans="1:41">
      <c r="A7" t="s">
        <v>236</v>
      </c>
      <c r="B7">
        <v>1591.5</v>
      </c>
      <c r="C7" t="s">
        <v>42</v>
      </c>
      <c r="D7">
        <v>1000003</v>
      </c>
      <c r="E7">
        <v>479</v>
      </c>
      <c r="F7">
        <v>1592.19</v>
      </c>
      <c r="G7">
        <v>20.21</v>
      </c>
      <c r="H7">
        <v>0.2</v>
      </c>
      <c r="I7">
        <v>10</v>
      </c>
      <c r="J7">
        <v>0</v>
      </c>
      <c r="K7">
        <v>2.7500000000000001E-5</v>
      </c>
      <c r="L7">
        <v>10</v>
      </c>
      <c r="M7">
        <v>0</v>
      </c>
      <c r="N7">
        <v>0</v>
      </c>
      <c r="O7">
        <v>10</v>
      </c>
      <c r="P7">
        <v>1.0001068949423081E-8</v>
      </c>
      <c r="Q7">
        <v>4.6598751917876774E-13</v>
      </c>
      <c r="R7">
        <v>2.0228883855098321</v>
      </c>
      <c r="S7">
        <v>4.749816185204857E-9</v>
      </c>
      <c r="T7">
        <v>3.7858901334368163E-9</v>
      </c>
      <c r="U7">
        <v>2.2183867613432668</v>
      </c>
      <c r="V7">
        <v>4.7494560149007832E-2</v>
      </c>
      <c r="W7">
        <v>3.7856030593628583E-2</v>
      </c>
      <c r="X7">
        <v>2.2183867609870682</v>
      </c>
      <c r="Y7">
        <v>2.2014891001385551E-13</v>
      </c>
      <c r="Z7">
        <v>2.7040738176864989E-9</v>
      </c>
      <c r="AA7" s="289">
        <f t="shared" si="0"/>
        <v>2.11669237494494</v>
      </c>
      <c r="AB7" s="289">
        <f t="shared" si="1"/>
        <v>1.4000690767665054</v>
      </c>
      <c r="AC7" s="290" t="str">
        <f t="shared" si="3"/>
        <v>0.01 microF1591.5</v>
      </c>
      <c r="AD7" s="291">
        <v>1000</v>
      </c>
      <c r="AE7" s="292">
        <f t="shared" si="4"/>
        <v>4.749816185204857E-6</v>
      </c>
      <c r="AF7" s="293">
        <f t="shared" si="5"/>
        <v>3.7858901334368163E-6</v>
      </c>
      <c r="AG7" s="289">
        <f t="shared" si="6"/>
        <v>2.2183867613432668</v>
      </c>
      <c r="AH7" s="291">
        <v>1000000</v>
      </c>
      <c r="AI7" s="294">
        <f t="shared" si="7"/>
        <v>1.000106894942308E-2</v>
      </c>
      <c r="AJ7" s="292">
        <f t="shared" si="8"/>
        <v>4.6598751917876774E-7</v>
      </c>
      <c r="AK7" s="296">
        <f t="shared" si="9"/>
        <v>2.0228883855098321</v>
      </c>
      <c r="AL7" s="296">
        <f t="shared" si="10"/>
        <v>1591.5</v>
      </c>
      <c r="AM7" s="310">
        <f t="shared" si="11"/>
        <v>4.7494560149007832E-2</v>
      </c>
      <c r="AN7" s="310">
        <f t="shared" si="12"/>
        <v>3.7856030593628583E-2</v>
      </c>
      <c r="AO7" s="310">
        <f t="shared" si="13"/>
        <v>2.2183867609870682</v>
      </c>
    </row>
    <row r="8" spans="1:41">
      <c r="A8" t="s">
        <v>429</v>
      </c>
      <c r="B8">
        <v>1591.5</v>
      </c>
      <c r="C8" t="s">
        <v>37</v>
      </c>
      <c r="D8">
        <v>0</v>
      </c>
      <c r="E8">
        <v>12</v>
      </c>
      <c r="F8">
        <v>1592.13</v>
      </c>
      <c r="G8">
        <v>20.61</v>
      </c>
      <c r="H8">
        <v>0.2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1.256178829618184E-16</v>
      </c>
      <c r="Z8">
        <v>0</v>
      </c>
      <c r="AA8" s="289">
        <f t="shared" si="0"/>
        <v>0</v>
      </c>
      <c r="AB8" s="289" t="e">
        <f t="shared" si="1"/>
        <v>#DIV/0!</v>
      </c>
      <c r="AC8" s="290" t="str">
        <f t="shared" si="3"/>
        <v>coax zero1591.5</v>
      </c>
      <c r="AD8" s="291">
        <v>1000</v>
      </c>
      <c r="AE8" s="292">
        <f t="shared" si="4"/>
        <v>0</v>
      </c>
      <c r="AF8" s="293">
        <f t="shared" si="5"/>
        <v>0</v>
      </c>
      <c r="AG8" s="289">
        <f t="shared" si="6"/>
        <v>0</v>
      </c>
      <c r="AH8" s="291">
        <v>1000000</v>
      </c>
      <c r="AI8" s="294">
        <f t="shared" si="7"/>
        <v>0</v>
      </c>
      <c r="AJ8" s="292">
        <f t="shared" si="8"/>
        <v>0</v>
      </c>
      <c r="AK8" s="296">
        <f t="shared" si="9"/>
        <v>0</v>
      </c>
      <c r="AL8" s="296">
        <f t="shared" si="10"/>
        <v>1591.5</v>
      </c>
      <c r="AM8" s="310">
        <f t="shared" si="11"/>
        <v>0</v>
      </c>
      <c r="AN8" s="310">
        <f t="shared" si="12"/>
        <v>0</v>
      </c>
      <c r="AO8" s="310">
        <f t="shared" si="13"/>
        <v>0</v>
      </c>
    </row>
    <row r="9" spans="1:41">
      <c r="A9" t="s">
        <v>241</v>
      </c>
      <c r="B9">
        <v>1591.5</v>
      </c>
      <c r="C9" t="s">
        <v>37</v>
      </c>
      <c r="D9">
        <v>999707</v>
      </c>
      <c r="E9">
        <v>-218</v>
      </c>
      <c r="F9">
        <v>1592.07</v>
      </c>
      <c r="G9">
        <v>20.190000000000001</v>
      </c>
      <c r="H9">
        <v>0.2</v>
      </c>
      <c r="I9">
        <v>10</v>
      </c>
      <c r="J9">
        <v>0</v>
      </c>
      <c r="K9">
        <v>9.0000000000000002E-6</v>
      </c>
      <c r="L9">
        <v>10</v>
      </c>
      <c r="M9">
        <v>0</v>
      </c>
      <c r="N9">
        <v>0</v>
      </c>
      <c r="O9">
        <v>10</v>
      </c>
      <c r="P9">
        <v>9.9987285288910041E-10</v>
      </c>
      <c r="Q9">
        <v>3.5657225134009561E-14</v>
      </c>
      <c r="R9">
        <v>2.0761779695643048</v>
      </c>
      <c r="S9">
        <v>-2.300055890449676E-10</v>
      </c>
      <c r="T9">
        <v>3.7844475898429541E-10</v>
      </c>
      <c r="U9">
        <v>2.2183778965993102</v>
      </c>
      <c r="V9">
        <v>-2.3004198199659709E-2</v>
      </c>
      <c r="W9">
        <v>3.7850463897084963E-2</v>
      </c>
      <c r="X9">
        <v>2.2183778967541952</v>
      </c>
      <c r="Y9">
        <v>2.2122825380656191E-14</v>
      </c>
      <c r="Z9">
        <v>2.7275485464006071E-10</v>
      </c>
      <c r="AA9" s="289">
        <f t="shared" si="0"/>
        <v>1.6117844136304402</v>
      </c>
      <c r="AB9" s="289">
        <f t="shared" si="1"/>
        <v>1.3874904609258294</v>
      </c>
      <c r="AC9" s="290" t="str">
        <f t="shared" si="3"/>
        <v>1000 pF1591.5</v>
      </c>
      <c r="AD9" s="291">
        <v>1000</v>
      </c>
      <c r="AE9" s="292">
        <f t="shared" si="4"/>
        <v>-2.300055890449676E-7</v>
      </c>
      <c r="AF9" s="293">
        <f t="shared" si="5"/>
        <v>3.7844475898429542E-7</v>
      </c>
      <c r="AG9" s="289">
        <f t="shared" si="6"/>
        <v>2.2183778965993102</v>
      </c>
      <c r="AH9" s="291">
        <v>1000000000000</v>
      </c>
      <c r="AI9" s="294">
        <f t="shared" si="7"/>
        <v>999.87285288910039</v>
      </c>
      <c r="AJ9" s="292">
        <f t="shared" si="8"/>
        <v>3.5657225134009561E-2</v>
      </c>
      <c r="AK9" s="296">
        <f t="shared" si="9"/>
        <v>2.0761779695643048</v>
      </c>
      <c r="AL9" s="296">
        <f t="shared" si="10"/>
        <v>1591.5</v>
      </c>
      <c r="AM9" s="310">
        <f t="shared" si="11"/>
        <v>-2.3004198199659709E-2</v>
      </c>
      <c r="AN9" s="310">
        <f t="shared" si="12"/>
        <v>3.7850463897084963E-2</v>
      </c>
      <c r="AO9" s="310">
        <f t="shared" si="13"/>
        <v>2.2183778967541952</v>
      </c>
    </row>
    <row r="10" spans="1:41">
      <c r="A10" t="s">
        <v>36</v>
      </c>
      <c r="B10">
        <v>1591.5</v>
      </c>
      <c r="C10" t="s">
        <v>37</v>
      </c>
      <c r="D10">
        <v>999876</v>
      </c>
      <c r="E10">
        <v>-158</v>
      </c>
      <c r="F10">
        <v>1591.9</v>
      </c>
      <c r="G10">
        <v>20.8</v>
      </c>
      <c r="H10">
        <v>0.2</v>
      </c>
      <c r="I10">
        <v>10</v>
      </c>
      <c r="J10">
        <v>0</v>
      </c>
      <c r="K10">
        <v>9.9999999999999995E-7</v>
      </c>
      <c r="L10">
        <v>10</v>
      </c>
      <c r="M10">
        <v>0</v>
      </c>
      <c r="N10">
        <v>0</v>
      </c>
      <c r="O10">
        <v>10</v>
      </c>
      <c r="P10">
        <v>1.000041880926454E-9</v>
      </c>
      <c r="Q10">
        <v>3.4281638934341518E-14</v>
      </c>
      <c r="R10">
        <v>2.10362861939283</v>
      </c>
      <c r="S10">
        <v>-1.7000413103323689E-10</v>
      </c>
      <c r="T10">
        <v>3.7842810387339969E-10</v>
      </c>
      <c r="U10">
        <v>2.2183766347384029</v>
      </c>
      <c r="V10">
        <v>-1.700022913772975E-2</v>
      </c>
      <c r="W10">
        <v>3.7842400883202107E-2</v>
      </c>
      <c r="X10">
        <v>2.2183766348377012</v>
      </c>
      <c r="Y10">
        <v>2.2126557412796079E-14</v>
      </c>
      <c r="Z10">
        <v>2.7277137771082462E-10</v>
      </c>
      <c r="AA10" s="289">
        <f t="shared" si="0"/>
        <v>1.5493435465254977</v>
      </c>
      <c r="AB10" s="289">
        <f t="shared" si="1"/>
        <v>1.3873453551075503</v>
      </c>
      <c r="AC10" s="290" t="str">
        <f t="shared" si="3"/>
        <v>GR1000B1591.5</v>
      </c>
      <c r="AD10" s="291">
        <v>1000</v>
      </c>
      <c r="AE10" s="292">
        <f t="shared" si="4"/>
        <v>-1.7000413103323687E-7</v>
      </c>
      <c r="AF10" s="293">
        <f t="shared" si="5"/>
        <v>3.7842810387339969E-7</v>
      </c>
      <c r="AG10" s="289">
        <f t="shared" si="6"/>
        <v>2.2183766347384029</v>
      </c>
      <c r="AH10" s="291">
        <v>1000000000000</v>
      </c>
      <c r="AI10" s="294">
        <f t="shared" si="7"/>
        <v>1000.0418809264539</v>
      </c>
      <c r="AJ10" s="293">
        <f t="shared" si="8"/>
        <v>3.4281638934341517E-2</v>
      </c>
      <c r="AK10" s="296">
        <f t="shared" si="9"/>
        <v>2.10362861939283</v>
      </c>
      <c r="AL10" s="296">
        <f t="shared" si="10"/>
        <v>1591.5</v>
      </c>
      <c r="AM10" s="310">
        <f t="shared" si="11"/>
        <v>-1.700022913772975E-2</v>
      </c>
      <c r="AN10" s="310">
        <f t="shared" si="12"/>
        <v>3.7842400883202107E-2</v>
      </c>
      <c r="AO10" s="310">
        <f t="shared" si="13"/>
        <v>2.2183766348377012</v>
      </c>
    </row>
    <row r="11" spans="1:41">
      <c r="A11" t="s">
        <v>173</v>
      </c>
      <c r="B11">
        <v>1591.5</v>
      </c>
      <c r="C11" t="s">
        <v>37</v>
      </c>
      <c r="D11">
        <v>999859</v>
      </c>
      <c r="E11">
        <v>-138</v>
      </c>
      <c r="F11">
        <v>1591.86</v>
      </c>
      <c r="G11">
        <v>20.8</v>
      </c>
      <c r="H11">
        <v>0.2</v>
      </c>
      <c r="I11">
        <v>10</v>
      </c>
      <c r="J11">
        <v>0</v>
      </c>
      <c r="K11">
        <v>9.9999999999999995E-7</v>
      </c>
      <c r="L11">
        <v>10</v>
      </c>
      <c r="M11">
        <v>0</v>
      </c>
      <c r="N11">
        <v>0</v>
      </c>
      <c r="O11">
        <v>10</v>
      </c>
      <c r="P11">
        <v>1.0000248781061281E-9</v>
      </c>
      <c r="Q11">
        <v>3.4281065793167837E-14</v>
      </c>
      <c r="R11">
        <v>2.1036283761047181</v>
      </c>
      <c r="S11">
        <v>-1.5000364502932671E-10</v>
      </c>
      <c r="T11">
        <v>3.7840286828738569E-10</v>
      </c>
      <c r="U11">
        <v>2.2183752629353699</v>
      </c>
      <c r="V11">
        <v>-1.5000457220067371E-2</v>
      </c>
      <c r="W11">
        <v>3.7840520720882689E-2</v>
      </c>
      <c r="X11">
        <v>2.2183752630126889</v>
      </c>
      <c r="Y11">
        <v>2.212618650771077E-14</v>
      </c>
      <c r="Z11">
        <v>2.7275993207078209E-10</v>
      </c>
      <c r="AA11" s="289">
        <f t="shared" si="0"/>
        <v>1.54934361514223</v>
      </c>
      <c r="AB11" s="289">
        <f t="shared" si="1"/>
        <v>1.3873110519370158</v>
      </c>
      <c r="AC11" s="290" t="str">
        <f t="shared" si="3"/>
        <v>GR1000A1591.5</v>
      </c>
      <c r="AD11" s="291">
        <v>1000</v>
      </c>
      <c r="AE11" s="292">
        <f t="shared" si="4"/>
        <v>-1.500036450293267E-7</v>
      </c>
      <c r="AF11" s="293">
        <f t="shared" si="5"/>
        <v>3.7840286828738571E-7</v>
      </c>
      <c r="AG11" s="289">
        <f t="shared" si="6"/>
        <v>2.2183752629353699</v>
      </c>
      <c r="AH11" s="291">
        <v>1000000000000</v>
      </c>
      <c r="AI11" s="294">
        <f t="shared" si="7"/>
        <v>1000.0248781061281</v>
      </c>
      <c r="AJ11" s="293">
        <f t="shared" si="8"/>
        <v>3.4281065793167836E-2</v>
      </c>
      <c r="AK11" s="296">
        <f t="shared" si="9"/>
        <v>2.1036283761047181</v>
      </c>
      <c r="AL11" s="296">
        <f t="shared" si="10"/>
        <v>1591.5</v>
      </c>
      <c r="AM11" s="310">
        <f t="shared" si="11"/>
        <v>-1.5000457220067371E-2</v>
      </c>
      <c r="AN11" s="310">
        <f t="shared" si="12"/>
        <v>3.7840520720882689E-2</v>
      </c>
      <c r="AO11" s="310">
        <f t="shared" si="13"/>
        <v>2.2183752630126889</v>
      </c>
    </row>
    <row r="12" spans="1:41">
      <c r="A12" t="s">
        <v>429</v>
      </c>
      <c r="B12">
        <v>1591.5</v>
      </c>
      <c r="C12" t="s">
        <v>44</v>
      </c>
      <c r="D12">
        <v>5</v>
      </c>
      <c r="E12">
        <v>30</v>
      </c>
      <c r="F12">
        <v>1595.3</v>
      </c>
      <c r="G12">
        <v>19.899999999999999</v>
      </c>
      <c r="H12">
        <v>0.2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1.2537927029637769E-16</v>
      </c>
      <c r="Z12">
        <v>2.7064980210485791E-12</v>
      </c>
      <c r="AA12" s="289">
        <f t="shared" si="0"/>
        <v>0</v>
      </c>
      <c r="AB12" s="289">
        <f t="shared" si="1"/>
        <v>0</v>
      </c>
      <c r="AC12" s="290" t="str">
        <f t="shared" si="3"/>
        <v>coax zero1591.5</v>
      </c>
      <c r="AD12" s="291">
        <v>1000</v>
      </c>
      <c r="AE12" s="292">
        <f t="shared" si="4"/>
        <v>0</v>
      </c>
      <c r="AF12" s="293">
        <f t="shared" si="5"/>
        <v>0</v>
      </c>
      <c r="AG12" s="289">
        <f t="shared" si="6"/>
        <v>0</v>
      </c>
      <c r="AH12" s="291">
        <v>1000000000000</v>
      </c>
      <c r="AI12" s="294">
        <f t="shared" si="7"/>
        <v>0</v>
      </c>
      <c r="AJ12" s="293">
        <f t="shared" si="8"/>
        <v>0</v>
      </c>
      <c r="AK12" s="296">
        <f t="shared" si="9"/>
        <v>0</v>
      </c>
      <c r="AL12" s="296">
        <f t="shared" si="10"/>
        <v>1591.5</v>
      </c>
      <c r="AM12" s="310">
        <f t="shared" si="11"/>
        <v>0</v>
      </c>
      <c r="AN12" s="310">
        <f t="shared" si="12"/>
        <v>0</v>
      </c>
      <c r="AO12" s="310">
        <f t="shared" si="13"/>
        <v>0</v>
      </c>
    </row>
    <row r="13" spans="1:41">
      <c r="A13" t="s">
        <v>243</v>
      </c>
      <c r="B13">
        <v>1591.5</v>
      </c>
      <c r="C13" t="s">
        <v>44</v>
      </c>
      <c r="D13">
        <v>999917</v>
      </c>
      <c r="E13">
        <v>2270</v>
      </c>
      <c r="F13">
        <v>1595.12</v>
      </c>
      <c r="G13">
        <v>20.02</v>
      </c>
      <c r="H13">
        <v>0.2</v>
      </c>
      <c r="I13">
        <v>10</v>
      </c>
      <c r="J13">
        <v>0</v>
      </c>
      <c r="K13">
        <v>9.0000000000000002E-6</v>
      </c>
      <c r="L13">
        <v>10</v>
      </c>
      <c r="M13">
        <v>0</v>
      </c>
      <c r="N13">
        <v>0</v>
      </c>
      <c r="O13">
        <v>10</v>
      </c>
      <c r="P13">
        <v>1.000003386072989E-10</v>
      </c>
      <c r="Q13">
        <v>3.55239852036184E-15</v>
      </c>
      <c r="R13">
        <v>2.0783937453526651</v>
      </c>
      <c r="S13">
        <v>2.2398875595298391E-10</v>
      </c>
      <c r="T13">
        <v>3.7993136320247728E-11</v>
      </c>
      <c r="U13">
        <v>2.2184690926739732</v>
      </c>
      <c r="V13">
        <v>0.2239949506835178</v>
      </c>
      <c r="W13">
        <v>3.799418746939371E-2</v>
      </c>
      <c r="X13">
        <v>2.2184691075373122</v>
      </c>
      <c r="Y13">
        <v>2.3254008667358388E-15</v>
      </c>
      <c r="Z13">
        <v>2.9766857549457759E-11</v>
      </c>
      <c r="AA13" s="289">
        <f t="shared" si="0"/>
        <v>1.5276499511021235</v>
      </c>
      <c r="AB13" s="289">
        <f t="shared" si="1"/>
        <v>1.2763569771220213</v>
      </c>
      <c r="AC13" s="290" t="str">
        <f t="shared" si="3"/>
        <v>100 pF1591.5</v>
      </c>
      <c r="AD13" s="291">
        <v>1000</v>
      </c>
      <c r="AE13" s="292">
        <f t="shared" si="4"/>
        <v>2.239887559529839E-7</v>
      </c>
      <c r="AF13" s="293">
        <f t="shared" si="5"/>
        <v>3.7993136320247731E-8</v>
      </c>
      <c r="AG13" s="289">
        <f t="shared" si="6"/>
        <v>2.2184690926739732</v>
      </c>
      <c r="AH13" s="291">
        <v>1000000000000</v>
      </c>
      <c r="AI13" s="294">
        <f t="shared" si="7"/>
        <v>100.0003386072989</v>
      </c>
      <c r="AJ13" s="293">
        <f t="shared" si="8"/>
        <v>3.55239852036184E-3</v>
      </c>
      <c r="AK13" s="296">
        <f t="shared" si="9"/>
        <v>2.0783937453526651</v>
      </c>
      <c r="AL13" s="296">
        <f t="shared" si="10"/>
        <v>1591.5</v>
      </c>
      <c r="AM13" s="310">
        <f t="shared" si="11"/>
        <v>0.2239949506835178</v>
      </c>
      <c r="AN13" s="310">
        <f t="shared" si="12"/>
        <v>3.799418746939371E-2</v>
      </c>
      <c r="AO13" s="310">
        <f t="shared" si="13"/>
        <v>2.2184691075373122</v>
      </c>
    </row>
    <row r="14" spans="1:41">
      <c r="A14" t="s">
        <v>244</v>
      </c>
      <c r="B14">
        <v>1591.5</v>
      </c>
      <c r="C14" t="s">
        <v>44</v>
      </c>
      <c r="D14">
        <v>99984</v>
      </c>
      <c r="E14">
        <v>240</v>
      </c>
      <c r="F14">
        <v>1592.93</v>
      </c>
      <c r="G14">
        <v>20</v>
      </c>
      <c r="H14">
        <v>0.2</v>
      </c>
      <c r="I14">
        <v>10</v>
      </c>
      <c r="J14">
        <v>0</v>
      </c>
      <c r="K14">
        <v>9.0000000000000002E-6</v>
      </c>
      <c r="L14">
        <v>10</v>
      </c>
      <c r="M14">
        <v>0</v>
      </c>
      <c r="N14">
        <v>0</v>
      </c>
      <c r="O14">
        <v>10</v>
      </c>
      <c r="P14">
        <v>9.9988137492290673E-12</v>
      </c>
      <c r="Q14">
        <v>5.5300094988819074E-16</v>
      </c>
      <c r="R14">
        <v>2.000815441738256</v>
      </c>
      <c r="S14">
        <v>2.099894587059224E-11</v>
      </c>
      <c r="T14">
        <v>5.5779207459969194E-12</v>
      </c>
      <c r="U14">
        <v>2.0188484862558118</v>
      </c>
      <c r="V14">
        <v>0.21002089149408079</v>
      </c>
      <c r="W14">
        <v>5.5787556722345567E-2</v>
      </c>
      <c r="X14">
        <v>2.0188484861740501</v>
      </c>
      <c r="Y14">
        <v>3.4553969873989242E-16</v>
      </c>
      <c r="Z14">
        <v>5.4044987244527291E-12</v>
      </c>
      <c r="AA14" s="289">
        <f t="shared" si="0"/>
        <v>1.6003977311575603</v>
      </c>
      <c r="AB14" s="289">
        <f t="shared" si="1"/>
        <v>1.0320884563742314</v>
      </c>
      <c r="AC14" s="290" t="str">
        <f t="shared" si="3"/>
        <v>10 pF1591.5</v>
      </c>
      <c r="AD14" s="291">
        <v>1000</v>
      </c>
      <c r="AE14" s="292">
        <f t="shared" si="4"/>
        <v>2.099894587059224E-8</v>
      </c>
      <c r="AF14" s="293">
        <f t="shared" si="5"/>
        <v>5.5779207459969197E-9</v>
      </c>
      <c r="AG14" s="289">
        <f t="shared" si="6"/>
        <v>2.0188484862558118</v>
      </c>
      <c r="AH14" s="291">
        <v>1000000000000</v>
      </c>
      <c r="AI14" s="294">
        <f t="shared" si="7"/>
        <v>9.9988137492290665</v>
      </c>
      <c r="AJ14" s="293">
        <f t="shared" si="8"/>
        <v>5.5300094988819078E-4</v>
      </c>
      <c r="AK14" s="296">
        <f t="shared" si="9"/>
        <v>2.000815441738256</v>
      </c>
      <c r="AL14" s="296">
        <f t="shared" si="10"/>
        <v>1591.5</v>
      </c>
      <c r="AM14" s="310">
        <f t="shared" si="11"/>
        <v>0.21002089149408079</v>
      </c>
      <c r="AN14" s="310">
        <f t="shared" si="12"/>
        <v>5.5787556722345567E-2</v>
      </c>
      <c r="AO14" s="310">
        <f t="shared" si="13"/>
        <v>2.0188484861740501</v>
      </c>
    </row>
    <row r="15" spans="1:41">
      <c r="A15" t="s">
        <v>246</v>
      </c>
      <c r="B15">
        <v>1591.5</v>
      </c>
      <c r="C15" t="s">
        <v>44</v>
      </c>
      <c r="D15">
        <v>10003</v>
      </c>
      <c r="E15">
        <v>50</v>
      </c>
      <c r="F15">
        <v>1594.62</v>
      </c>
      <c r="G15">
        <v>19.96</v>
      </c>
      <c r="H15">
        <v>0.2</v>
      </c>
      <c r="I15">
        <v>10</v>
      </c>
      <c r="J15">
        <v>0</v>
      </c>
      <c r="K15">
        <v>1.2E-5</v>
      </c>
      <c r="L15">
        <v>10</v>
      </c>
      <c r="M15">
        <v>0</v>
      </c>
      <c r="N15">
        <v>0</v>
      </c>
      <c r="O15">
        <v>10</v>
      </c>
      <c r="P15">
        <v>9.9989137583684796E-13</v>
      </c>
      <c r="Q15">
        <v>4.4273531313894019E-16</v>
      </c>
      <c r="R15">
        <v>2.0218717981935348</v>
      </c>
      <c r="S15">
        <v>1.9998996067230709E-12</v>
      </c>
      <c r="T15">
        <v>4.4259647638715706E-12</v>
      </c>
      <c r="U15">
        <v>2.0219273650671989</v>
      </c>
      <c r="V15">
        <v>0.2000178963354084</v>
      </c>
      <c r="W15">
        <v>0.44265829657827221</v>
      </c>
      <c r="X15">
        <v>2.0219273599407801</v>
      </c>
      <c r="Y15">
        <v>1.474303418427843E-16</v>
      </c>
      <c r="Z15">
        <v>2.975835895206265E-12</v>
      </c>
      <c r="AA15" s="289">
        <f t="shared" si="0"/>
        <v>3.0030135425654851</v>
      </c>
      <c r="AB15" s="289">
        <f t="shared" si="1"/>
        <v>1.4873013565705351</v>
      </c>
      <c r="AC15" s="290" t="str">
        <f t="shared" si="3"/>
        <v>1 pF1591.5</v>
      </c>
      <c r="AD15" s="291">
        <v>1000</v>
      </c>
      <c r="AE15" s="292">
        <f t="shared" si="4"/>
        <v>1.9998996067230709E-9</v>
      </c>
      <c r="AF15" s="293">
        <f t="shared" si="5"/>
        <v>4.4259647638715705E-9</v>
      </c>
      <c r="AG15" s="289">
        <f t="shared" si="6"/>
        <v>2.0219273650671989</v>
      </c>
      <c r="AH15" s="291">
        <v>1000000000000</v>
      </c>
      <c r="AI15" s="294">
        <f t="shared" si="7"/>
        <v>0.99989137583684795</v>
      </c>
      <c r="AJ15" s="293">
        <f t="shared" si="8"/>
        <v>4.4273531313894016E-4</v>
      </c>
      <c r="AK15" s="296">
        <f t="shared" si="9"/>
        <v>2.0218717981935348</v>
      </c>
      <c r="AL15" s="296">
        <f t="shared" si="10"/>
        <v>1591.5</v>
      </c>
      <c r="AM15" s="310">
        <f t="shared" si="11"/>
        <v>0.2000178963354084</v>
      </c>
      <c r="AN15" s="310">
        <f t="shared" si="12"/>
        <v>0.44265829657827221</v>
      </c>
      <c r="AO15" s="310">
        <f t="shared" si="13"/>
        <v>2.0219273599407801</v>
      </c>
    </row>
    <row r="16" spans="1:41">
      <c r="A16" t="s">
        <v>248</v>
      </c>
      <c r="B16">
        <v>1591.5</v>
      </c>
      <c r="C16" t="s">
        <v>44</v>
      </c>
      <c r="D16">
        <v>99992</v>
      </c>
      <c r="E16">
        <v>225</v>
      </c>
      <c r="F16">
        <v>1594.5</v>
      </c>
      <c r="G16">
        <v>20.6</v>
      </c>
      <c r="H16">
        <v>0.2</v>
      </c>
      <c r="I16">
        <v>10</v>
      </c>
      <c r="J16">
        <v>0</v>
      </c>
      <c r="K16">
        <v>9.9999999999999995E-7</v>
      </c>
      <c r="L16">
        <v>10</v>
      </c>
      <c r="M16">
        <v>0</v>
      </c>
      <c r="N16">
        <v>0</v>
      </c>
      <c r="O16">
        <v>10</v>
      </c>
      <c r="P16">
        <v>9.9996138223443595E-12</v>
      </c>
      <c r="Q16">
        <v>5.4393878575123415E-16</v>
      </c>
      <c r="R16">
        <v>2.0037426093969408</v>
      </c>
      <c r="S16">
        <v>1.9499021165549941E-11</v>
      </c>
      <c r="T16">
        <v>5.5818260606997032E-12</v>
      </c>
      <c r="U16">
        <v>2.01896089660569</v>
      </c>
      <c r="V16">
        <v>0.19500379605945539</v>
      </c>
      <c r="W16">
        <v>5.5822149116001037E-2</v>
      </c>
      <c r="X16">
        <v>2.0189608966837569</v>
      </c>
      <c r="Y16">
        <v>3.4543367474256821E-16</v>
      </c>
      <c r="Z16">
        <v>5.4100418464089259E-12</v>
      </c>
      <c r="AA16" s="289">
        <f t="shared" si="0"/>
        <v>1.5746547760770584</v>
      </c>
      <c r="AB16" s="289">
        <f t="shared" si="1"/>
        <v>1.0317528439091102</v>
      </c>
      <c r="AC16" s="290" t="str">
        <f t="shared" si="3"/>
        <v>AH11A1591.5</v>
      </c>
      <c r="AD16" s="291">
        <v>1000</v>
      </c>
      <c r="AE16" s="292">
        <f t="shared" si="4"/>
        <v>1.9499021165549941E-8</v>
      </c>
      <c r="AF16" s="293">
        <f t="shared" si="5"/>
        <v>5.5818260606997036E-9</v>
      </c>
      <c r="AG16" s="289">
        <f t="shared" si="6"/>
        <v>2.01896089660569</v>
      </c>
      <c r="AH16" s="291">
        <v>1000000000000</v>
      </c>
      <c r="AI16" s="294">
        <f t="shared" si="7"/>
        <v>9.9996138223443598</v>
      </c>
      <c r="AJ16" s="297">
        <f t="shared" si="8"/>
        <v>5.4393878575123415E-4</v>
      </c>
      <c r="AK16" s="296">
        <f t="shared" si="9"/>
        <v>2.0037426093969408</v>
      </c>
      <c r="AL16" s="296">
        <f t="shared" si="10"/>
        <v>1591.5</v>
      </c>
      <c r="AM16" s="310">
        <f t="shared" si="11"/>
        <v>0.19500379605945539</v>
      </c>
      <c r="AN16" s="310">
        <f t="shared" si="12"/>
        <v>5.5822149116001037E-2</v>
      </c>
      <c r="AO16" s="310">
        <f t="shared" si="13"/>
        <v>2.0189608966837569</v>
      </c>
    </row>
    <row r="17" spans="1:41">
      <c r="A17" t="s">
        <v>249</v>
      </c>
      <c r="B17">
        <v>1591.5</v>
      </c>
      <c r="C17" t="s">
        <v>44</v>
      </c>
      <c r="D17">
        <v>999873</v>
      </c>
      <c r="E17">
        <v>2265</v>
      </c>
      <c r="F17">
        <v>1593.06</v>
      </c>
      <c r="G17">
        <v>20.8</v>
      </c>
      <c r="H17">
        <v>0.2</v>
      </c>
      <c r="I17">
        <v>10</v>
      </c>
      <c r="J17">
        <v>0</v>
      </c>
      <c r="K17">
        <v>9.9999999999999995E-7</v>
      </c>
      <c r="L17">
        <v>10</v>
      </c>
      <c r="M17">
        <v>0</v>
      </c>
      <c r="N17">
        <v>0</v>
      </c>
      <c r="O17">
        <v>10</v>
      </c>
      <c r="P17">
        <v>9.9995938205164752E-11</v>
      </c>
      <c r="Q17">
        <v>3.4278567461291951E-15</v>
      </c>
      <c r="R17">
        <v>2.1036347057810221</v>
      </c>
      <c r="S17">
        <v>2.234887810513032E-10</v>
      </c>
      <c r="T17">
        <v>3.789425685746423E-11</v>
      </c>
      <c r="U17">
        <v>2.2184146225044921</v>
      </c>
      <c r="V17">
        <v>0.2235047970472111</v>
      </c>
      <c r="W17">
        <v>3.7896972854176827E-2</v>
      </c>
      <c r="X17">
        <v>2.2184146396201339</v>
      </c>
      <c r="Y17">
        <v>2.3254661910023438E-15</v>
      </c>
      <c r="Z17">
        <v>2.9727226235794572E-11</v>
      </c>
      <c r="AA17" s="289">
        <f t="shared" si="0"/>
        <v>1.4740514222017946</v>
      </c>
      <c r="AB17" s="289">
        <f t="shared" si="1"/>
        <v>1.2747323466000247</v>
      </c>
      <c r="AC17" s="290" t="str">
        <f t="shared" si="3"/>
        <v>AH11C1591.5</v>
      </c>
      <c r="AD17" s="291">
        <v>1000</v>
      </c>
      <c r="AE17" s="292">
        <f t="shared" si="4"/>
        <v>2.2348878105130319E-7</v>
      </c>
      <c r="AF17" s="293">
        <f t="shared" si="5"/>
        <v>3.7894256857464228E-8</v>
      </c>
      <c r="AG17" s="289">
        <f t="shared" si="6"/>
        <v>2.2184146225044921</v>
      </c>
      <c r="AH17" s="291">
        <v>1000000000000</v>
      </c>
      <c r="AI17" s="294">
        <f t="shared" si="7"/>
        <v>99.995938205164748</v>
      </c>
      <c r="AJ17" s="297">
        <f t="shared" si="8"/>
        <v>3.4278567461291953E-3</v>
      </c>
      <c r="AK17" s="296">
        <f t="shared" si="9"/>
        <v>2.1036347057810221</v>
      </c>
      <c r="AL17" s="296">
        <f t="shared" si="10"/>
        <v>1591.5</v>
      </c>
      <c r="AM17" s="310">
        <f t="shared" si="11"/>
        <v>0.2235047970472111</v>
      </c>
      <c r="AN17" s="310">
        <f t="shared" si="12"/>
        <v>3.7896972854176827E-2</v>
      </c>
      <c r="AO17" s="310">
        <f t="shared" si="13"/>
        <v>2.2184146396201339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A0E8-5085-4070-BE12-56DC0497DEF5}">
  <sheetPr>
    <pageSetUpPr fitToPage="1"/>
  </sheetPr>
  <dimension ref="A2:T16"/>
  <sheetViews>
    <sheetView showGridLines="0" tabSelected="1" workbookViewId="0">
      <selection activeCell="K5" sqref="K5"/>
    </sheetView>
  </sheetViews>
  <sheetFormatPr defaultRowHeight="12.75"/>
  <cols>
    <col min="3" max="3" width="13.42578125" customWidth="1"/>
    <col min="4" max="5" width="10.7109375" customWidth="1"/>
    <col min="6" max="6" width="8.7109375" customWidth="1"/>
    <col min="7" max="8" width="10.7109375" customWidth="1"/>
    <col min="9" max="9" width="8.7109375" customWidth="1"/>
  </cols>
  <sheetData>
    <row r="2" spans="1:20">
      <c r="M2" t="s">
        <v>16</v>
      </c>
      <c r="N2" t="s">
        <v>197</v>
      </c>
      <c r="O2" t="s">
        <v>34</v>
      </c>
      <c r="P2" t="s">
        <v>131</v>
      </c>
      <c r="Q2" t="s">
        <v>146</v>
      </c>
      <c r="R2" t="s">
        <v>109</v>
      </c>
      <c r="S2" t="s">
        <v>131</v>
      </c>
      <c r="T2" t="s">
        <v>190</v>
      </c>
    </row>
    <row r="3" spans="1:20">
      <c r="B3" s="299" t="s">
        <v>467</v>
      </c>
      <c r="P3" t="s">
        <v>132</v>
      </c>
      <c r="Q3" t="s">
        <v>198</v>
      </c>
      <c r="S3" t="s">
        <v>132</v>
      </c>
      <c r="T3" t="s">
        <v>198</v>
      </c>
    </row>
    <row r="4" spans="1:20" ht="38.25">
      <c r="B4" s="305"/>
      <c r="C4" s="300" t="s">
        <v>465</v>
      </c>
      <c r="D4" s="300" t="s">
        <v>469</v>
      </c>
      <c r="E4" s="300" t="s">
        <v>466</v>
      </c>
      <c r="F4" s="300" t="s">
        <v>460</v>
      </c>
      <c r="G4" s="300" t="s">
        <v>461</v>
      </c>
      <c r="H4" s="300" t="s">
        <v>462</v>
      </c>
      <c r="I4" s="300" t="s">
        <v>460</v>
      </c>
      <c r="N4" t="s">
        <v>145</v>
      </c>
      <c r="O4" t="s">
        <v>145</v>
      </c>
      <c r="P4" t="s">
        <v>145</v>
      </c>
      <c r="R4" t="s">
        <v>135</v>
      </c>
      <c r="S4" t="s">
        <v>135</v>
      </c>
    </row>
    <row r="5" spans="1:20" ht="15">
      <c r="A5" s="246" t="s">
        <v>241</v>
      </c>
      <c r="B5" s="241"/>
      <c r="C5" s="306">
        <v>1000</v>
      </c>
      <c r="D5" s="315">
        <f>VLOOKUP($A5, pyanswers,35,FALSE)</f>
        <v>999.87285288910039</v>
      </c>
      <c r="E5" s="315">
        <f>VLOOKUP($A5, pyanswers,36,FALSE)</f>
        <v>3.5657225134009561E-2</v>
      </c>
      <c r="F5" s="303">
        <f>VLOOKUP($A5, pyanswers,37,FALSE)</f>
        <v>2.0761779695643048</v>
      </c>
      <c r="G5" s="304">
        <f>VLOOKUP($A5, pyanswers,39,FALSE)</f>
        <v>-2.3004198199659709E-2</v>
      </c>
      <c r="H5" s="304">
        <f>VLOOKUP($A5, pyanswers,40,FALSE)</f>
        <v>3.7850463897084963E-2</v>
      </c>
      <c r="I5" s="303">
        <f>VLOOKUP($A5, pyanswers,41,FALSE)</f>
        <v>2.2183778967541952</v>
      </c>
      <c r="M5" t="s">
        <v>379</v>
      </c>
      <c r="N5">
        <v>1000</v>
      </c>
      <c r="O5">
        <v>999.82744737198152</v>
      </c>
      <c r="P5">
        <v>5.0848715255551305E-2</v>
      </c>
      <c r="Q5">
        <v>2.1617192107800678</v>
      </c>
      <c r="R5">
        <v>2.8984232585345382E-4</v>
      </c>
      <c r="S5">
        <v>3.4531339943973463E-2</v>
      </c>
      <c r="T5">
        <v>2.150044548401937</v>
      </c>
    </row>
    <row r="6" spans="1:20" ht="15">
      <c r="A6" s="246" t="s">
        <v>243</v>
      </c>
      <c r="B6" s="241"/>
      <c r="C6" s="306">
        <v>100</v>
      </c>
      <c r="D6" s="314">
        <f>VLOOKUP($A6, pyanswers,35,FALSE)</f>
        <v>100.0003386072989</v>
      </c>
      <c r="E6" s="314">
        <f>VLOOKUP($A6, pyanswers,36,FALSE)</f>
        <v>3.55239852036184E-3</v>
      </c>
      <c r="F6" s="303">
        <f>VLOOKUP($A6, pyanswers,37,FALSE)</f>
        <v>2.0783937453526651</v>
      </c>
      <c r="G6" s="304">
        <f>VLOOKUP($A6, pyanswers,39,FALSE)</f>
        <v>0.2239949506835178</v>
      </c>
      <c r="H6" s="304">
        <f>VLOOKUP($A6, pyanswers,40,FALSE)</f>
        <v>3.799418746939371E-2</v>
      </c>
      <c r="I6" s="303">
        <f>VLOOKUP($A6, pyanswers,41,FALSE)</f>
        <v>2.2184691075373122</v>
      </c>
      <c r="M6" t="s">
        <v>380</v>
      </c>
      <c r="N6">
        <v>100</v>
      </c>
      <c r="O6">
        <v>100.00215576247349</v>
      </c>
      <c r="P6">
        <v>5.0861142226006463E-3</v>
      </c>
      <c r="Q6">
        <v>2.1617201834571733</v>
      </c>
      <c r="R6">
        <v>4.0501108048644557E-4</v>
      </c>
      <c r="S6">
        <v>3.4534169047922086E-2</v>
      </c>
      <c r="T6">
        <v>2.1500459872489377</v>
      </c>
    </row>
    <row r="7" spans="1:20">
      <c r="A7" s="246" t="s">
        <v>244</v>
      </c>
      <c r="B7" s="3"/>
      <c r="C7" s="306">
        <v>10</v>
      </c>
      <c r="D7" s="313">
        <f>VLOOKUP($A7, pyanswers,35,FALSE)</f>
        <v>9.9988137492290665</v>
      </c>
      <c r="E7" s="313">
        <f>VLOOKUP($A7, pyanswers,36,FALSE)</f>
        <v>5.5300094988819078E-4</v>
      </c>
      <c r="F7" s="303">
        <f>VLOOKUP($A7, pyanswers,37,FALSE)</f>
        <v>2.000815441738256</v>
      </c>
      <c r="G7" s="304">
        <f>VLOOKUP($A7, pyanswers,39,FALSE)</f>
        <v>0.21002089149408079</v>
      </c>
      <c r="H7" s="304">
        <f>VLOOKUP($A7, pyanswers,40,FALSE)</f>
        <v>5.5787556722345567E-2</v>
      </c>
      <c r="I7" s="303">
        <f>VLOOKUP($A7, pyanswers,41,FALSE)</f>
        <v>2.0188484861740501</v>
      </c>
      <c r="M7" t="s">
        <v>381</v>
      </c>
      <c r="N7">
        <v>10</v>
      </c>
      <c r="O7">
        <v>9.9980953863722739</v>
      </c>
      <c r="P7">
        <v>5.9909041198663896E-4</v>
      </c>
      <c r="Q7">
        <v>2.1066268982039187</v>
      </c>
      <c r="R7">
        <v>-1.5382483875996688E-3</v>
      </c>
      <c r="S7">
        <v>4.4022639153207005E-2</v>
      </c>
      <c r="T7">
        <v>2.0612805126053386</v>
      </c>
    </row>
    <row r="8" spans="1:20">
      <c r="A8" s="246" t="s">
        <v>246</v>
      </c>
      <c r="B8" s="3"/>
      <c r="C8" s="306">
        <v>1</v>
      </c>
      <c r="D8" s="311">
        <f>VLOOKUP($A8, pyanswers,35,FALSE)</f>
        <v>0.99989137583684795</v>
      </c>
      <c r="E8" s="311">
        <f>VLOOKUP($A8, pyanswers,36,FALSE)</f>
        <v>4.4273531313894016E-4</v>
      </c>
      <c r="F8" s="303">
        <f>VLOOKUP($A8, pyanswers,37,FALSE)</f>
        <v>2.0218717981935348</v>
      </c>
      <c r="G8" s="304">
        <f>VLOOKUP($A8, pyanswers,39,FALSE)</f>
        <v>0.2000178963354084</v>
      </c>
      <c r="H8" s="304">
        <f>VLOOKUP($A8, pyanswers,40,FALSE)</f>
        <v>0.44265829657827221</v>
      </c>
      <c r="I8" s="303">
        <f>VLOOKUP($A8, pyanswers,41,FALSE)</f>
        <v>2.0219273599407801</v>
      </c>
      <c r="M8" t="s">
        <v>382</v>
      </c>
      <c r="N8">
        <v>1</v>
      </c>
      <c r="O8">
        <v>0.99988954580232448</v>
      </c>
      <c r="P8">
        <v>4.1579058307347614E-4</v>
      </c>
      <c r="Q8">
        <v>2.5532362681119465</v>
      </c>
      <c r="R8">
        <v>-9.7509912484205902E-3</v>
      </c>
      <c r="S8">
        <v>0.31071164794142986</v>
      </c>
      <c r="T8">
        <v>2.1827453978375804</v>
      </c>
    </row>
    <row r="9" spans="1:20">
      <c r="B9" s="3"/>
      <c r="C9" s="301"/>
      <c r="D9" s="302"/>
      <c r="E9" s="302"/>
      <c r="F9" s="303"/>
      <c r="G9" s="304"/>
      <c r="H9" s="304"/>
      <c r="I9" s="303"/>
    </row>
    <row r="10" spans="1:20">
      <c r="B10" s="3"/>
      <c r="C10" s="301"/>
      <c r="D10" s="302"/>
      <c r="E10" s="302"/>
      <c r="F10" s="303"/>
      <c r="G10" s="304"/>
      <c r="H10" s="304"/>
      <c r="I10" s="303"/>
    </row>
    <row r="11" spans="1:20">
      <c r="N11" t="s">
        <v>197</v>
      </c>
      <c r="O11" t="s">
        <v>34</v>
      </c>
      <c r="P11" t="s">
        <v>131</v>
      </c>
      <c r="Q11" t="s">
        <v>146</v>
      </c>
      <c r="R11" t="s">
        <v>109</v>
      </c>
      <c r="S11" t="s">
        <v>131</v>
      </c>
      <c r="T11" t="s">
        <v>146</v>
      </c>
    </row>
    <row r="12" spans="1:20">
      <c r="B12" s="299" t="s">
        <v>468</v>
      </c>
      <c r="P12" t="s">
        <v>132</v>
      </c>
      <c r="Q12" t="s">
        <v>198</v>
      </c>
      <c r="S12" t="s">
        <v>132</v>
      </c>
      <c r="T12" t="s">
        <v>198</v>
      </c>
    </row>
    <row r="13" spans="1:20" ht="38.25">
      <c r="B13" s="305"/>
      <c r="C13" s="300" t="s">
        <v>464</v>
      </c>
      <c r="D13" s="300" t="s">
        <v>470</v>
      </c>
      <c r="E13" s="300" t="s">
        <v>463</v>
      </c>
      <c r="F13" s="300" t="s">
        <v>460</v>
      </c>
      <c r="G13" s="300" t="s">
        <v>461</v>
      </c>
      <c r="H13" s="300" t="s">
        <v>462</v>
      </c>
      <c r="I13" s="300" t="s">
        <v>460</v>
      </c>
      <c r="N13" t="s">
        <v>459</v>
      </c>
      <c r="O13" t="s">
        <v>459</v>
      </c>
      <c r="P13" t="s">
        <v>459</v>
      </c>
      <c r="R13" t="s">
        <v>135</v>
      </c>
      <c r="S13" t="s">
        <v>135</v>
      </c>
    </row>
    <row r="14" spans="1:20" ht="15">
      <c r="A14" t="s">
        <v>234</v>
      </c>
      <c r="B14" s="241"/>
      <c r="C14" s="307">
        <v>1</v>
      </c>
      <c r="D14" s="311">
        <f>VLOOKUP($A14, pyanswers,35,FALSE)</f>
        <v>0.99992087580392575</v>
      </c>
      <c r="E14" s="311">
        <f>VLOOKUP($A14, pyanswers,36,FALSE)</f>
        <v>4.5164550530917041E-5</v>
      </c>
      <c r="F14" s="303">
        <f>VLOOKUP($A14, pyanswers,37,FALSE)</f>
        <v>2.023240151271259</v>
      </c>
      <c r="G14" s="304">
        <f>VLOOKUP($A14, pyanswers,39,FALSE)</f>
        <v>0.1630116514466714</v>
      </c>
      <c r="H14" s="304">
        <f>VLOOKUP($A14, pyanswers,40,FALSE)</f>
        <v>3.7903637507439983E-2</v>
      </c>
      <c r="I14" s="303">
        <f>VLOOKUP($A14, pyanswers,41,FALSE)</f>
        <v>2.2184144569907001</v>
      </c>
      <c r="M14" t="s">
        <v>376</v>
      </c>
      <c r="N14">
        <v>1</v>
      </c>
      <c r="O14">
        <v>0.9999044961601945</v>
      </c>
      <c r="P14">
        <v>4.2890875344783289E-5</v>
      </c>
      <c r="Q14">
        <v>2.2947813825905605</v>
      </c>
      <c r="R14">
        <v>0.17091143732418621</v>
      </c>
      <c r="S14">
        <v>3.4533527576831355E-2</v>
      </c>
      <c r="T14">
        <v>2.1500453529048937</v>
      </c>
    </row>
    <row r="15" spans="1:20" ht="15">
      <c r="A15" t="s">
        <v>235</v>
      </c>
      <c r="B15" s="241"/>
      <c r="C15" s="308">
        <v>0.1</v>
      </c>
      <c r="D15" s="302">
        <f>VLOOKUP($A15, pyanswers,35,FALSE)</f>
        <v>0.1000047888871531</v>
      </c>
      <c r="E15" s="302">
        <f>VLOOKUP($A15, pyanswers,36,FALSE)</f>
        <v>4.5523485433491487E-6</v>
      </c>
      <c r="F15" s="303">
        <f>VLOOKUP($A15, pyanswers,37,FALSE)</f>
        <v>2.0230041139396908</v>
      </c>
      <c r="G15" s="304">
        <f>VLOOKUP($A15, pyanswers,39,FALSE)</f>
        <v>3.9597801152120367E-2</v>
      </c>
      <c r="H15" s="304">
        <f>VLOOKUP($A15, pyanswers,40,FALSE)</f>
        <v>3.7841883910195599E-2</v>
      </c>
      <c r="I15" s="303">
        <f>VLOOKUP($A15, pyanswers,41,FALSE)</f>
        <v>2.2183792786021779</v>
      </c>
      <c r="M15" t="s">
        <v>377</v>
      </c>
      <c r="N15">
        <v>0.1</v>
      </c>
      <c r="O15">
        <v>0.10000325051852012</v>
      </c>
      <c r="P15">
        <v>4.2896352394125101E-6</v>
      </c>
      <c r="Q15">
        <v>2.2947828309607781</v>
      </c>
      <c r="R15">
        <v>4.1297477009549902E-2</v>
      </c>
      <c r="S15">
        <v>3.453350420618731E-2</v>
      </c>
      <c r="T15">
        <v>2.1500462275608814</v>
      </c>
    </row>
    <row r="16" spans="1:20">
      <c r="A16" t="s">
        <v>236</v>
      </c>
      <c r="B16" s="3"/>
      <c r="C16" s="309">
        <v>0.01</v>
      </c>
      <c r="D16" s="312">
        <f>VLOOKUP($A16, pyanswers,35,FALSE)</f>
        <v>1.000106894942308E-2</v>
      </c>
      <c r="E16" s="312">
        <f>VLOOKUP($A16, pyanswers,36,FALSE)</f>
        <v>4.6598751917876774E-7</v>
      </c>
      <c r="F16" s="303">
        <f>VLOOKUP($A16, pyanswers,37,FALSE)</f>
        <v>2.0228883855098321</v>
      </c>
      <c r="G16" s="304">
        <f>VLOOKUP($A16, pyanswers,39,FALSE)</f>
        <v>4.7494560149007832E-2</v>
      </c>
      <c r="H16" s="304">
        <f>VLOOKUP($A16, pyanswers,40,FALSE)</f>
        <v>3.7856030593628583E-2</v>
      </c>
      <c r="I16" s="303">
        <f>VLOOKUP($A16, pyanswers,41,FALSE)</f>
        <v>2.2183867609870682</v>
      </c>
      <c r="M16" t="s">
        <v>378</v>
      </c>
      <c r="N16">
        <v>0.01</v>
      </c>
      <c r="O16">
        <v>1.0000895092041497E-2</v>
      </c>
      <c r="P16">
        <v>4.2898748670594459E-7</v>
      </c>
      <c r="Q16">
        <v>2.2947834572291717</v>
      </c>
      <c r="R16">
        <v>5.0094083951913851E-2</v>
      </c>
      <c r="S16">
        <v>3.4533460366915014E-2</v>
      </c>
      <c r="T16">
        <v>2.1500465753917521</v>
      </c>
    </row>
  </sheetData>
  <pageMargins left="0.7" right="0.7" top="0.75" bottom="0.75" header="0.3" footer="0.3"/>
  <pageSetup paperSize="9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9"/>
  <sheetViews>
    <sheetView workbookViewId="0">
      <selection activeCell="D9" sqref="D9:E24"/>
    </sheetView>
  </sheetViews>
  <sheetFormatPr defaultRowHeight="12.75"/>
  <cols>
    <col min="1" max="1" width="13.85546875" style="3" customWidth="1"/>
    <col min="2" max="2" width="13.42578125" customWidth="1"/>
    <col min="5" max="5" width="11.28515625" customWidth="1"/>
    <col min="6" max="6" width="12.140625" customWidth="1"/>
    <col min="7" max="7" width="11.85546875" customWidth="1"/>
    <col min="8" max="8" width="9.85546875" customWidth="1"/>
    <col min="9" max="9" width="13.5703125" customWidth="1"/>
    <col min="10" max="10" width="11" customWidth="1"/>
    <col min="11" max="11" width="14.42578125" customWidth="1"/>
    <col min="12" max="12" width="10.7109375" customWidth="1"/>
    <col min="13" max="13" width="11" customWidth="1"/>
    <col min="14" max="14" width="12.28515625" customWidth="1"/>
    <col min="15" max="15" width="10.28515625" customWidth="1"/>
    <col min="16" max="16" width="11" customWidth="1"/>
    <col min="17" max="17" width="10.28515625" customWidth="1"/>
    <col min="18" max="18" width="11.28515625" customWidth="1"/>
  </cols>
  <sheetData>
    <row r="1" spans="1:19" ht="15.75">
      <c r="A1" s="85" t="s">
        <v>188</v>
      </c>
      <c r="J1" s="30" t="s">
        <v>199</v>
      </c>
      <c r="K1" s="92"/>
    </row>
    <row r="3" spans="1:19">
      <c r="A3" s="103" t="s">
        <v>184</v>
      </c>
      <c r="B3" s="102" t="s">
        <v>183</v>
      </c>
      <c r="C3" s="102"/>
      <c r="D3" s="92"/>
      <c r="E3" s="30" t="s">
        <v>185</v>
      </c>
      <c r="F3" s="92" t="s">
        <v>251</v>
      </c>
      <c r="G3" s="92"/>
    </row>
    <row r="4" spans="1:19">
      <c r="A4" s="103" t="s">
        <v>46</v>
      </c>
      <c r="B4" s="104">
        <v>41791</v>
      </c>
      <c r="C4" s="102"/>
      <c r="D4" s="92"/>
      <c r="E4" s="30" t="s">
        <v>186</v>
      </c>
      <c r="F4" s="92">
        <v>96040215</v>
      </c>
      <c r="G4" s="92"/>
    </row>
    <row r="5" spans="1:19">
      <c r="A5" s="253" t="s">
        <v>359</v>
      </c>
      <c r="B5" s="104">
        <v>41863</v>
      </c>
      <c r="C5" s="102"/>
      <c r="D5" s="92"/>
      <c r="E5" s="30" t="s">
        <v>187</v>
      </c>
      <c r="F5" s="92" t="s">
        <v>335</v>
      </c>
      <c r="G5" s="92"/>
      <c r="O5" s="264" t="s">
        <v>397</v>
      </c>
    </row>
    <row r="6" spans="1:19" ht="13.5" thickBot="1">
      <c r="A6" s="80"/>
      <c r="K6" t="s">
        <v>171</v>
      </c>
      <c r="M6" s="2" t="s">
        <v>318</v>
      </c>
      <c r="N6" t="s">
        <v>319</v>
      </c>
      <c r="O6" s="246" t="s">
        <v>0</v>
      </c>
      <c r="P6" s="246" t="s">
        <v>163</v>
      </c>
      <c r="Q6" s="246" t="s">
        <v>109</v>
      </c>
    </row>
    <row r="7" spans="1:19" ht="13.5" thickTop="1">
      <c r="A7" s="67" t="s">
        <v>233</v>
      </c>
      <c r="B7" s="70" t="s">
        <v>16</v>
      </c>
      <c r="C7" s="71" t="s">
        <v>33</v>
      </c>
      <c r="D7" s="72" t="s">
        <v>10</v>
      </c>
      <c r="E7" s="72" t="s">
        <v>11</v>
      </c>
      <c r="F7" s="73" t="s">
        <v>34</v>
      </c>
      <c r="G7" s="73"/>
      <c r="H7" s="74" t="s">
        <v>35</v>
      </c>
      <c r="I7" s="74"/>
      <c r="J7" s="106" t="s">
        <v>169</v>
      </c>
      <c r="K7" t="s">
        <v>172</v>
      </c>
    </row>
    <row r="8" spans="1:19">
      <c r="A8" s="68"/>
      <c r="B8" s="70"/>
      <c r="C8" s="71"/>
      <c r="D8" s="90"/>
      <c r="E8" s="90"/>
      <c r="F8" s="82"/>
      <c r="G8" s="76"/>
      <c r="H8" s="81"/>
      <c r="I8" s="78"/>
      <c r="J8" s="107" t="s">
        <v>170</v>
      </c>
    </row>
    <row r="9" spans="1:19">
      <c r="A9" s="69" t="s">
        <v>240</v>
      </c>
      <c r="B9" s="70" t="str">
        <f>A9&amp;C9</f>
        <v>coax open3Y</v>
      </c>
      <c r="C9" s="71" t="s">
        <v>38</v>
      </c>
      <c r="D9" s="90">
        <v>0</v>
      </c>
      <c r="E9" s="90">
        <v>-4</v>
      </c>
      <c r="F9" s="82">
        <f t="shared" ref="F9:F65" si="0">(alpha-VLOOKUP(Range&amp;frequency,zeros,2,FALSE))*(1+VLOOKUP(Range,corrections,2,FALSE)*0.000001)*VLOOKUP(Range,multiplier,2,FALSE)</f>
        <v>0</v>
      </c>
      <c r="G9" s="76" t="str">
        <f t="shared" ref="G9:G65" si="1">VLOOKUP(Range,multiplier,3,FALSE)</f>
        <v>microF</v>
      </c>
      <c r="H9" s="81">
        <f t="shared" ref="H9:H65" si="2">(beta-VLOOKUP(Range&amp;frequency,zeros,3,FALSE))*(1+VLOOKUP(Range,corrections,3,FALSE)*0.000001)*VLOOKUP(Range,multiplier,5,FALSE)</f>
        <v>0</v>
      </c>
      <c r="I9" s="78" t="str">
        <f t="shared" ref="I9:I40" si="3">VLOOKUP(Range,multiplier,6,FALSE)</f>
        <v>milliS</v>
      </c>
      <c r="J9" s="105">
        <v>1591.5</v>
      </c>
      <c r="K9" s="98" t="e">
        <f>1000*H9*VLOOKUP(C9,multiplier,7,FALSE)/(2*PI()*J9*F9*VLOOKUP(C9,multiplier,4,FALSE))</f>
        <v>#DIV/0!</v>
      </c>
      <c r="L9" s="83"/>
    </row>
    <row r="10" spans="1:19">
      <c r="A10" s="69" t="s">
        <v>234</v>
      </c>
      <c r="B10" s="70" t="str">
        <f t="shared" ref="B10:B19" si="4">A10&amp;C10</f>
        <v>1 microF3Y</v>
      </c>
      <c r="C10" s="71" t="s">
        <v>38</v>
      </c>
      <c r="D10" s="91">
        <v>999801</v>
      </c>
      <c r="E10" s="91">
        <v>1696</v>
      </c>
      <c r="F10" s="82">
        <f t="shared" si="0"/>
        <v>0.99987149383343499</v>
      </c>
      <c r="G10" s="73" t="str">
        <f t="shared" si="1"/>
        <v>microF</v>
      </c>
      <c r="H10" s="81">
        <f t="shared" si="2"/>
        <v>1.6998986058252695E-3</v>
      </c>
      <c r="I10" s="79" t="str">
        <f t="shared" si="3"/>
        <v>milliS</v>
      </c>
      <c r="J10" s="105">
        <v>1591.5</v>
      </c>
      <c r="K10" s="98">
        <f>1000*H10*VLOOKUP(C10,multiplier,7,FALSE)/(2*PI()*J10*F10*VLOOKUP(C10,multiplier,4,FALSE))</f>
        <v>0.17001698858465097</v>
      </c>
      <c r="L10" s="83"/>
      <c r="Q10" s="83"/>
      <c r="R10" s="87"/>
      <c r="S10" s="97"/>
    </row>
    <row r="11" spans="1:19">
      <c r="A11" s="69" t="s">
        <v>240</v>
      </c>
      <c r="B11" s="70" t="str">
        <f t="shared" si="4"/>
        <v>coax open4Y</v>
      </c>
      <c r="C11" s="71" t="s">
        <v>95</v>
      </c>
      <c r="D11" s="91">
        <v>0</v>
      </c>
      <c r="E11" s="91">
        <v>-3</v>
      </c>
      <c r="F11" s="82">
        <f t="shared" si="0"/>
        <v>0</v>
      </c>
      <c r="G11" s="73" t="str">
        <f t="shared" si="1"/>
        <v>nF</v>
      </c>
      <c r="H11" s="81">
        <f t="shared" si="2"/>
        <v>0</v>
      </c>
      <c r="I11" s="79" t="str">
        <f t="shared" si="3"/>
        <v>microS</v>
      </c>
      <c r="J11" s="105">
        <v>1591.5</v>
      </c>
      <c r="K11" s="98" t="e">
        <f t="shared" ref="K11:K41" si="5">1000*H11*VLOOKUP(C11,multiplier,7,FALSE)/(2*PI()*J11*F11*VLOOKUP(C11,multiplier,4,FALSE))</f>
        <v>#DIV/0!</v>
      </c>
      <c r="L11" s="83"/>
    </row>
    <row r="12" spans="1:19">
      <c r="A12" s="69" t="s">
        <v>235</v>
      </c>
      <c r="B12" s="70" t="str">
        <f t="shared" si="4"/>
        <v>0.1 microF4Y</v>
      </c>
      <c r="C12" s="71" t="s">
        <v>95</v>
      </c>
      <c r="D12" s="91">
        <v>999928</v>
      </c>
      <c r="E12" s="91">
        <v>394</v>
      </c>
      <c r="F12" s="82">
        <f t="shared" si="0"/>
        <v>99.999850278793389</v>
      </c>
      <c r="G12" s="73" t="str">
        <f t="shared" si="1"/>
        <v>nF</v>
      </c>
      <c r="H12" s="81">
        <f t="shared" si="2"/>
        <v>3.9697632147801885E-2</v>
      </c>
      <c r="I12" s="79" t="str">
        <f t="shared" si="3"/>
        <v>microS</v>
      </c>
      <c r="J12" s="105">
        <v>1591.5</v>
      </c>
      <c r="K12" s="98">
        <f t="shared" si="5"/>
        <v>3.9698924567249584E-2</v>
      </c>
      <c r="L12" s="83"/>
      <c r="Q12" s="83"/>
      <c r="R12" s="87"/>
      <c r="S12" s="97"/>
    </row>
    <row r="13" spans="1:19">
      <c r="A13" s="69" t="s">
        <v>240</v>
      </c>
      <c r="B13" s="70" t="str">
        <f t="shared" si="4"/>
        <v>coax open5Y</v>
      </c>
      <c r="C13" s="71" t="s">
        <v>42</v>
      </c>
      <c r="D13" s="91">
        <v>-1</v>
      </c>
      <c r="E13" s="91">
        <v>3</v>
      </c>
      <c r="F13" s="82">
        <f t="shared" si="0"/>
        <v>0</v>
      </c>
      <c r="G13" s="73" t="str">
        <f t="shared" si="1"/>
        <v>nF</v>
      </c>
      <c r="H13" s="81">
        <f t="shared" si="2"/>
        <v>0</v>
      </c>
      <c r="I13" s="79" t="str">
        <f t="shared" si="3"/>
        <v>microS</v>
      </c>
      <c r="J13" s="105">
        <v>1591.5</v>
      </c>
      <c r="K13" s="98" t="e">
        <f t="shared" si="5"/>
        <v>#DIV/0!</v>
      </c>
      <c r="L13" s="83"/>
    </row>
    <row r="14" spans="1:19">
      <c r="A14" s="69" t="s">
        <v>236</v>
      </c>
      <c r="B14" s="70" t="str">
        <f t="shared" si="4"/>
        <v>0.01 microF5Y</v>
      </c>
      <c r="C14" s="71" t="s">
        <v>42</v>
      </c>
      <c r="D14" s="91">
        <v>999986</v>
      </c>
      <c r="E14" s="91">
        <v>496</v>
      </c>
      <c r="F14" s="82">
        <f t="shared" si="0"/>
        <v>10.000575069478979</v>
      </c>
      <c r="G14" s="73" t="str">
        <f t="shared" si="1"/>
        <v>nF</v>
      </c>
      <c r="H14" s="81">
        <f t="shared" si="2"/>
        <v>4.9297059568932829E-3</v>
      </c>
      <c r="I14" s="79" t="str">
        <f t="shared" si="3"/>
        <v>microS</v>
      </c>
      <c r="J14" s="105">
        <v>1591.5</v>
      </c>
      <c r="K14" s="98">
        <f t="shared" si="5"/>
        <v>4.9295755853963653E-2</v>
      </c>
      <c r="L14" s="83"/>
      <c r="Q14" s="83"/>
      <c r="R14" s="87"/>
      <c r="S14" s="97"/>
    </row>
    <row r="15" spans="1:19">
      <c r="A15" s="69" t="s">
        <v>240</v>
      </c>
      <c r="B15" s="70" t="str">
        <f t="shared" si="4"/>
        <v>coax open6Y</v>
      </c>
      <c r="C15" s="71" t="s">
        <v>37</v>
      </c>
      <c r="D15" s="91">
        <v>0</v>
      </c>
      <c r="E15" s="91">
        <v>23</v>
      </c>
      <c r="F15" s="82">
        <f t="shared" si="0"/>
        <v>0</v>
      </c>
      <c r="G15" s="73" t="str">
        <f t="shared" si="1"/>
        <v>pF</v>
      </c>
      <c r="H15" s="81">
        <f t="shared" si="2"/>
        <v>0</v>
      </c>
      <c r="I15" s="79" t="str">
        <f t="shared" si="3"/>
        <v>nS</v>
      </c>
      <c r="J15" s="105">
        <v>1591.5</v>
      </c>
      <c r="K15" s="98" t="e">
        <f t="shared" si="5"/>
        <v>#DIV/0!</v>
      </c>
      <c r="L15" s="83"/>
      <c r="N15" s="97"/>
    </row>
    <row r="16" spans="1:19">
      <c r="A16" s="69" t="s">
        <v>241</v>
      </c>
      <c r="B16" s="70" t="str">
        <f t="shared" si="4"/>
        <v>1000 pF6Y</v>
      </c>
      <c r="C16" s="71" t="s">
        <v>37</v>
      </c>
      <c r="D16" s="91">
        <v>999660</v>
      </c>
      <c r="E16" s="91">
        <f>805-1010</f>
        <v>-205</v>
      </c>
      <c r="F16" s="82">
        <f t="shared" si="0"/>
        <v>999.79444293385575</v>
      </c>
      <c r="G16" s="73" t="str">
        <f t="shared" si="1"/>
        <v>pF</v>
      </c>
      <c r="H16" s="81">
        <f t="shared" si="2"/>
        <v>-0.22800098887323367</v>
      </c>
      <c r="I16" s="73" t="str">
        <f t="shared" si="3"/>
        <v>nS</v>
      </c>
      <c r="J16" s="105">
        <v>1591.5</v>
      </c>
      <c r="K16" s="98">
        <f t="shared" si="5"/>
        <v>-2.2805494873669011E-2</v>
      </c>
      <c r="L16" s="83"/>
      <c r="N16" s="66">
        <f>K16+N$50</f>
        <v>-1.8113472553878095E-3</v>
      </c>
      <c r="Q16" s="83"/>
      <c r="R16" s="87"/>
      <c r="S16" s="97"/>
    </row>
    <row r="17" spans="1:19">
      <c r="A17" s="69" t="s">
        <v>36</v>
      </c>
      <c r="B17" s="70" t="str">
        <f t="shared" si="4"/>
        <v>GR1000B6Y</v>
      </c>
      <c r="C17" s="71" t="s">
        <v>37</v>
      </c>
      <c r="D17" s="91">
        <v>999863</v>
      </c>
      <c r="E17" s="91">
        <f>864-1000</f>
        <v>-136</v>
      </c>
      <c r="F17" s="82">
        <f t="shared" si="0"/>
        <v>999.9974702350537</v>
      </c>
      <c r="G17" s="73" t="str">
        <f t="shared" si="1"/>
        <v>pF</v>
      </c>
      <c r="H17" s="81">
        <f t="shared" si="2"/>
        <v>-0.1590006896089656</v>
      </c>
      <c r="I17" s="79" t="str">
        <f t="shared" si="3"/>
        <v>nS</v>
      </c>
      <c r="J17" s="105">
        <v>1591.5</v>
      </c>
      <c r="K17" s="98">
        <f t="shared" si="5"/>
        <v>-1.590060303112624E-2</v>
      </c>
      <c r="L17" s="83"/>
      <c r="N17" s="66">
        <f>K17+N$50</f>
        <v>5.093544587154962E-3</v>
      </c>
    </row>
    <row r="18" spans="1:19" ht="12.2" customHeight="1">
      <c r="A18" s="69" t="s">
        <v>173</v>
      </c>
      <c r="B18" s="70" t="str">
        <f t="shared" si="4"/>
        <v>GR1000A6Y</v>
      </c>
      <c r="C18" s="71" t="s">
        <v>37</v>
      </c>
      <c r="D18" s="91">
        <v>999878</v>
      </c>
      <c r="E18" s="91">
        <f>830-1000</f>
        <v>-170</v>
      </c>
      <c r="F18" s="82">
        <f t="shared" si="0"/>
        <v>1000.0124722523836</v>
      </c>
      <c r="G18" s="73" t="str">
        <f t="shared" si="1"/>
        <v>pF</v>
      </c>
      <c r="H18" s="81">
        <f t="shared" si="2"/>
        <v>-0.19300083707251797</v>
      </c>
      <c r="I18" s="79" t="str">
        <f t="shared" si="3"/>
        <v>nS</v>
      </c>
      <c r="J18" s="105">
        <v>1591.5</v>
      </c>
      <c r="K18" s="98">
        <f t="shared" si="5"/>
        <v>-1.9300442434874027E-2</v>
      </c>
      <c r="L18" s="83"/>
      <c r="N18" s="66">
        <f>K18+N$50</f>
        <v>1.6937051834071751E-3</v>
      </c>
    </row>
    <row r="19" spans="1:19">
      <c r="A19" s="69" t="s">
        <v>240</v>
      </c>
      <c r="B19" s="70" t="str">
        <f t="shared" si="4"/>
        <v>coax open7Y</v>
      </c>
      <c r="C19" s="71" t="s">
        <v>44</v>
      </c>
      <c r="D19" s="91">
        <v>6</v>
      </c>
      <c r="E19" s="91">
        <v>14</v>
      </c>
      <c r="F19" s="82">
        <f t="shared" si="0"/>
        <v>0</v>
      </c>
      <c r="G19" s="73" t="str">
        <f t="shared" si="1"/>
        <v>pF</v>
      </c>
      <c r="H19" s="81">
        <f t="shared" si="2"/>
        <v>0</v>
      </c>
      <c r="I19" s="79" t="str">
        <f t="shared" si="3"/>
        <v>nS</v>
      </c>
      <c r="J19" s="105">
        <v>1591.5</v>
      </c>
      <c r="K19" s="98" t="e">
        <f t="shared" si="5"/>
        <v>#DIV/0!</v>
      </c>
      <c r="L19" s="83"/>
      <c r="N19" s="66"/>
    </row>
    <row r="20" spans="1:19">
      <c r="A20" s="69" t="s">
        <v>243</v>
      </c>
      <c r="B20" s="70" t="str">
        <f>A20&amp;C20</f>
        <v>100 pF7Y</v>
      </c>
      <c r="C20" s="71" t="s">
        <v>44</v>
      </c>
      <c r="D20" s="91">
        <f>1000865-1000</f>
        <v>999865</v>
      </c>
      <c r="E20" s="91">
        <v>2540</v>
      </c>
      <c r="F20" s="82">
        <f t="shared" si="0"/>
        <v>99.991643256536634</v>
      </c>
      <c r="G20" s="73" t="str">
        <f t="shared" si="1"/>
        <v>pF</v>
      </c>
      <c r="H20" s="81">
        <f t="shared" si="2"/>
        <v>0.25258163324378774</v>
      </c>
      <c r="I20" s="73" t="str">
        <f t="shared" si="3"/>
        <v>nS</v>
      </c>
      <c r="J20" s="105">
        <v>1591.5</v>
      </c>
      <c r="K20" s="98">
        <f t="shared" si="5"/>
        <v>0.25261058827815774</v>
      </c>
      <c r="L20" s="83"/>
      <c r="M20" s="96">
        <f t="shared" ref="M20:M26" si="6">F20*(1+N$47*0.000001)</f>
        <v>99.994855108658371</v>
      </c>
      <c r="N20" s="66">
        <f t="shared" ref="N20:N26" si="7">K20+N$49</f>
        <v>0.10866181066691974</v>
      </c>
      <c r="Q20" s="83"/>
      <c r="R20" s="87"/>
      <c r="S20" s="97"/>
    </row>
    <row r="21" spans="1:19">
      <c r="A21" s="69" t="s">
        <v>244</v>
      </c>
      <c r="B21" s="70" t="str">
        <f t="shared" ref="B21:B41" si="8">A21&amp;C21</f>
        <v>10 pF7Y</v>
      </c>
      <c r="C21" s="71" t="s">
        <v>44</v>
      </c>
      <c r="D21" s="91">
        <f>100069-100</f>
        <v>99969</v>
      </c>
      <c r="E21" s="91">
        <v>260</v>
      </c>
      <c r="F21" s="82">
        <f t="shared" si="0"/>
        <v>9.9968741941145414</v>
      </c>
      <c r="G21" s="73" t="str">
        <f t="shared" si="1"/>
        <v>pF</v>
      </c>
      <c r="H21" s="81">
        <f t="shared" si="2"/>
        <v>2.4598211313528018E-2</v>
      </c>
      <c r="I21" s="79" t="str">
        <f t="shared" si="3"/>
        <v>nS</v>
      </c>
      <c r="J21" s="105">
        <v>1591.5</v>
      </c>
      <c r="K21" s="98">
        <f t="shared" si="5"/>
        <v>0.2460666688383403</v>
      </c>
      <c r="L21" s="83"/>
      <c r="M21" s="96">
        <f t="shared" si="6"/>
        <v>9.9971953057649294</v>
      </c>
      <c r="N21" s="66">
        <f t="shared" si="7"/>
        <v>0.1021178912271023</v>
      </c>
      <c r="Q21" s="83"/>
      <c r="R21" s="87"/>
      <c r="S21" s="97"/>
    </row>
    <row r="22" spans="1:19">
      <c r="A22" s="69" t="s">
        <v>246</v>
      </c>
      <c r="B22" s="70" t="str">
        <f t="shared" si="8"/>
        <v>1 pF7Y</v>
      </c>
      <c r="C22" s="71" t="s">
        <v>44</v>
      </c>
      <c r="D22" s="91">
        <v>10004</v>
      </c>
      <c r="E22" s="91">
        <v>40</v>
      </c>
      <c r="F22" s="82">
        <f t="shared" si="0"/>
        <v>0.99985742917636711</v>
      </c>
      <c r="G22" s="73" t="str">
        <f t="shared" si="1"/>
        <v>pF</v>
      </c>
      <c r="H22" s="81">
        <f t="shared" si="2"/>
        <v>2.5998109518362948E-3</v>
      </c>
      <c r="I22" s="79" t="str">
        <f t="shared" si="3"/>
        <v>nS</v>
      </c>
      <c r="J22" s="105">
        <v>1591.5</v>
      </c>
      <c r="K22" s="98">
        <f t="shared" si="5"/>
        <v>0.26002624217699732</v>
      </c>
      <c r="L22" s="83"/>
      <c r="M22" s="96">
        <f t="shared" si="6"/>
        <v>0.99988954580232448</v>
      </c>
      <c r="N22" s="66">
        <f t="shared" si="7"/>
        <v>0.11607746456575932</v>
      </c>
      <c r="Q22" s="83"/>
      <c r="R22" s="87"/>
      <c r="S22" s="97"/>
    </row>
    <row r="23" spans="1:19">
      <c r="A23" s="69" t="s">
        <v>248</v>
      </c>
      <c r="B23" s="70" t="str">
        <f t="shared" si="8"/>
        <v>AH11A7Y</v>
      </c>
      <c r="C23" s="71" t="s">
        <v>44</v>
      </c>
      <c r="D23" s="91">
        <f>100089-100</f>
        <v>99989</v>
      </c>
      <c r="E23" s="91">
        <v>270</v>
      </c>
      <c r="F23" s="82">
        <f t="shared" si="0"/>
        <v>9.9988743089958714</v>
      </c>
      <c r="G23" s="73" t="str">
        <f t="shared" si="1"/>
        <v>pF</v>
      </c>
      <c r="H23" s="81">
        <f t="shared" si="2"/>
        <v>2.5598138602695823E-2</v>
      </c>
      <c r="I23" s="79" t="str">
        <f t="shared" si="3"/>
        <v>nS</v>
      </c>
      <c r="J23" s="105">
        <v>1591.5</v>
      </c>
      <c r="K23" s="98">
        <f t="shared" si="5"/>
        <v>0.25601815637009001</v>
      </c>
      <c r="L23" s="83"/>
      <c r="M23" s="96">
        <f t="shared" si="6"/>
        <v>9.9991954848923612</v>
      </c>
      <c r="N23" s="66">
        <f t="shared" si="7"/>
        <v>0.11206937875885201</v>
      </c>
      <c r="Q23" s="83"/>
      <c r="R23" s="87"/>
      <c r="S23" s="97"/>
    </row>
    <row r="24" spans="1:19">
      <c r="A24" s="69" t="s">
        <v>249</v>
      </c>
      <c r="B24" s="70" t="str">
        <f t="shared" si="8"/>
        <v>AH11C7Y</v>
      </c>
      <c r="C24" s="71" t="s">
        <v>44</v>
      </c>
      <c r="D24" s="91">
        <f>1000840-1000</f>
        <v>999840</v>
      </c>
      <c r="E24" s="91">
        <v>2540</v>
      </c>
      <c r="F24" s="82">
        <f t="shared" si="0"/>
        <v>99.989143112934968</v>
      </c>
      <c r="G24" s="73" t="str">
        <f t="shared" si="1"/>
        <v>pF</v>
      </c>
      <c r="H24" s="81">
        <f t="shared" si="2"/>
        <v>0.25258163324378774</v>
      </c>
      <c r="I24" s="73" t="str">
        <f t="shared" si="3"/>
        <v>nS</v>
      </c>
      <c r="J24" s="105">
        <v>1591.5</v>
      </c>
      <c r="K24" s="98">
        <f t="shared" si="5"/>
        <v>0.2526169045913727</v>
      </c>
      <c r="L24" s="83"/>
      <c r="M24" s="96">
        <f t="shared" si="6"/>
        <v>99.992354884749076</v>
      </c>
      <c r="N24" s="66">
        <f t="shared" si="7"/>
        <v>0.1086681269801347</v>
      </c>
      <c r="Q24" s="83"/>
      <c r="R24" s="87"/>
      <c r="S24" s="97"/>
    </row>
    <row r="25" spans="1:19">
      <c r="A25" s="69"/>
      <c r="B25" s="70" t="str">
        <f t="shared" si="8"/>
        <v/>
      </c>
      <c r="C25" s="71"/>
      <c r="D25" s="91"/>
      <c r="E25" s="91"/>
      <c r="F25" s="82" t="e">
        <f t="shared" si="0"/>
        <v>#N/A</v>
      </c>
      <c r="G25" s="73" t="e">
        <f t="shared" si="1"/>
        <v>#N/A</v>
      </c>
      <c r="H25" s="81" t="e">
        <f t="shared" si="2"/>
        <v>#N/A</v>
      </c>
      <c r="I25" s="79" t="e">
        <f t="shared" si="3"/>
        <v>#N/A</v>
      </c>
      <c r="J25" s="105">
        <v>1591.5</v>
      </c>
      <c r="K25" s="98" t="e">
        <f t="shared" si="5"/>
        <v>#N/A</v>
      </c>
      <c r="L25" s="83"/>
      <c r="M25" s="96" t="e">
        <f t="shared" si="6"/>
        <v>#N/A</v>
      </c>
      <c r="N25" s="66" t="e">
        <f t="shared" si="7"/>
        <v>#N/A</v>
      </c>
      <c r="Q25" s="83"/>
      <c r="R25" s="87"/>
      <c r="S25" s="97"/>
    </row>
    <row r="26" spans="1:19">
      <c r="A26" s="69"/>
      <c r="B26" s="70" t="str">
        <f t="shared" si="8"/>
        <v/>
      </c>
      <c r="C26" s="71"/>
      <c r="D26" s="91"/>
      <c r="E26" s="91"/>
      <c r="F26" s="82" t="e">
        <f t="shared" si="0"/>
        <v>#N/A</v>
      </c>
      <c r="G26" s="73" t="e">
        <f t="shared" si="1"/>
        <v>#N/A</v>
      </c>
      <c r="H26" s="81" t="e">
        <f t="shared" si="2"/>
        <v>#N/A</v>
      </c>
      <c r="I26" s="79" t="e">
        <f t="shared" si="3"/>
        <v>#N/A</v>
      </c>
      <c r="J26" s="105">
        <v>1591.5</v>
      </c>
      <c r="K26" s="98" t="e">
        <f t="shared" si="5"/>
        <v>#N/A</v>
      </c>
      <c r="L26" s="83"/>
      <c r="M26" s="96" t="e">
        <f t="shared" si="6"/>
        <v>#N/A</v>
      </c>
      <c r="N26" s="66" t="e">
        <f t="shared" si="7"/>
        <v>#N/A</v>
      </c>
      <c r="Q26" s="83"/>
      <c r="R26" s="87"/>
      <c r="S26" s="97"/>
    </row>
    <row r="27" spans="1:19">
      <c r="A27" s="252" t="s">
        <v>243</v>
      </c>
      <c r="B27" s="70" t="str">
        <f t="shared" si="8"/>
        <v>100 pF6Y</v>
      </c>
      <c r="C27" s="71" t="s">
        <v>37</v>
      </c>
      <c r="D27" s="91">
        <f>100087-100</f>
        <v>99987</v>
      </c>
      <c r="E27" s="91">
        <f>90-100</f>
        <v>-10</v>
      </c>
      <c r="F27" s="82">
        <f t="shared" si="0"/>
        <v>100.00044711764744</v>
      </c>
      <c r="G27" s="73" t="str">
        <f t="shared" si="1"/>
        <v>pF</v>
      </c>
      <c r="H27" s="81">
        <f t="shared" si="2"/>
        <v>-3.3000143126389082E-2</v>
      </c>
      <c r="I27" s="79" t="str">
        <f t="shared" si="3"/>
        <v>nS</v>
      </c>
      <c r="J27" s="105">
        <v>1591.5</v>
      </c>
      <c r="K27" s="98">
        <f t="shared" si="5"/>
        <v>-3.3001020535239539E-2</v>
      </c>
      <c r="L27" s="83"/>
      <c r="M27" s="96">
        <f>F27</f>
        <v>100.00044711764744</v>
      </c>
      <c r="N27" s="66"/>
      <c r="Q27" s="83"/>
      <c r="R27" s="87"/>
      <c r="S27" s="97"/>
    </row>
    <row r="28" spans="1:19">
      <c r="A28" s="69"/>
      <c r="B28" s="70" t="str">
        <f t="shared" si="8"/>
        <v/>
      </c>
      <c r="C28" s="71"/>
      <c r="D28" s="91"/>
      <c r="E28" s="91"/>
      <c r="F28" s="82" t="e">
        <f t="shared" si="0"/>
        <v>#N/A</v>
      </c>
      <c r="G28" s="73" t="e">
        <f t="shared" si="1"/>
        <v>#N/A</v>
      </c>
      <c r="H28" s="81" t="e">
        <f t="shared" si="2"/>
        <v>#N/A</v>
      </c>
      <c r="I28" s="73" t="e">
        <f t="shared" si="3"/>
        <v>#N/A</v>
      </c>
      <c r="J28" s="105">
        <v>1591.5</v>
      </c>
      <c r="K28" s="98" t="e">
        <f t="shared" si="5"/>
        <v>#N/A</v>
      </c>
      <c r="L28" s="83"/>
      <c r="N28" s="66"/>
    </row>
    <row r="29" spans="1:19">
      <c r="A29" s="252" t="s">
        <v>360</v>
      </c>
      <c r="B29" s="70" t="str">
        <f t="shared" si="8"/>
        <v>rpt 1 pF7Y</v>
      </c>
      <c r="C29" s="254" t="s">
        <v>44</v>
      </c>
      <c r="D29" s="91">
        <v>10004</v>
      </c>
      <c r="E29" s="91">
        <v>35</v>
      </c>
      <c r="F29" s="82">
        <f t="shared" si="0"/>
        <v>0.99985742917636711</v>
      </c>
      <c r="G29" s="73" t="str">
        <f t="shared" si="1"/>
        <v>pF</v>
      </c>
      <c r="H29" s="81">
        <f t="shared" si="2"/>
        <v>2.0998473072523921E-3</v>
      </c>
      <c r="I29" s="79" t="str">
        <f t="shared" si="3"/>
        <v>nS</v>
      </c>
      <c r="J29" s="105">
        <v>1591.5</v>
      </c>
      <c r="K29" s="98">
        <f t="shared" si="5"/>
        <v>0.21002119560449783</v>
      </c>
      <c r="L29" s="83"/>
      <c r="M29" s="96">
        <f>F29*(1+N$47*0.000001)</f>
        <v>0.99988954580232448</v>
      </c>
      <c r="N29" s="66">
        <f>K29+N$49</f>
        <v>6.607241799325983E-2</v>
      </c>
      <c r="O29" s="266">
        <v>0.99992939999999997</v>
      </c>
      <c r="P29" s="266">
        <v>-9.7499999999999998E-5</v>
      </c>
      <c r="Q29" s="265">
        <f>P29*0.000000001/(2*PI()*J29*O29*0.000000000001)*1000</f>
        <v>-9.7509912484205902E-3</v>
      </c>
    </row>
    <row r="30" spans="1:19">
      <c r="A30" s="252" t="s">
        <v>361</v>
      </c>
      <c r="B30" s="70" t="str">
        <f t="shared" si="8"/>
        <v>rpt 10 pF7Y</v>
      </c>
      <c r="C30" s="254" t="s">
        <v>44</v>
      </c>
      <c r="D30" s="91">
        <f>100078-100</f>
        <v>99978</v>
      </c>
      <c r="E30" s="91">
        <v>202</v>
      </c>
      <c r="F30" s="75">
        <f t="shared" si="0"/>
        <v>9.99777424581114</v>
      </c>
      <c r="G30" s="73" t="str">
        <f t="shared" si="1"/>
        <v>pF</v>
      </c>
      <c r="H30" s="81">
        <f t="shared" si="2"/>
        <v>1.8798633036354748E-2</v>
      </c>
      <c r="I30" s="79" t="str">
        <f t="shared" si="3"/>
        <v>nS</v>
      </c>
      <c r="J30" s="105">
        <v>1591.5</v>
      </c>
      <c r="K30" s="98">
        <f t="shared" si="5"/>
        <v>0.1880340208434117</v>
      </c>
      <c r="L30" s="83"/>
      <c r="M30" s="96">
        <f>F30*(1+N$47*0.000001)</f>
        <v>9.9980953863722739</v>
      </c>
      <c r="N30" s="66">
        <f>K30+N$49</f>
        <v>4.4085243232173693E-2</v>
      </c>
      <c r="O30" s="266">
        <v>9.9986958000000001</v>
      </c>
      <c r="P30" s="266">
        <v>-1.538E-4</v>
      </c>
      <c r="Q30" s="265">
        <f t="shared" ref="Q30:Q31" si="9">P30*0.000000001/(2*PI()*J30*O30*0.000000000001)*1000</f>
        <v>-1.5382483875996688E-3</v>
      </c>
    </row>
    <row r="31" spans="1:19">
      <c r="A31" s="252" t="s">
        <v>362</v>
      </c>
      <c r="B31" s="70" t="str">
        <f t="shared" si="8"/>
        <v>rpt 100 pF7Y</v>
      </c>
      <c r="C31" s="254" t="s">
        <v>44</v>
      </c>
      <c r="D31" s="91">
        <f>1000038-100</f>
        <v>999938</v>
      </c>
      <c r="E31" s="91">
        <v>1872</v>
      </c>
      <c r="F31" s="75">
        <f t="shared" si="0"/>
        <v>99.998943675853482</v>
      </c>
      <c r="G31" s="73" t="str">
        <f t="shared" si="1"/>
        <v>pF</v>
      </c>
      <c r="H31" s="81">
        <f t="shared" si="2"/>
        <v>0.18578649032737829</v>
      </c>
      <c r="I31" s="79" t="str">
        <f t="shared" si="3"/>
        <v>nS</v>
      </c>
      <c r="J31" s="105">
        <v>1591.5</v>
      </c>
      <c r="K31" s="98">
        <f t="shared" si="5"/>
        <v>0.18579422331998116</v>
      </c>
      <c r="L31" s="83"/>
      <c r="M31" s="96">
        <f>F31*(1+N$47*0.000001)</f>
        <v>100.00215576247349</v>
      </c>
      <c r="N31" s="66">
        <f>K31+N$49</f>
        <v>4.1845445708743156E-2</v>
      </c>
      <c r="O31" s="266">
        <v>100.00037</v>
      </c>
      <c r="P31" s="266">
        <v>4.0499999999999998E-4</v>
      </c>
      <c r="Q31" s="265">
        <f t="shared" si="9"/>
        <v>4.0501108048644557E-4</v>
      </c>
    </row>
    <row r="32" spans="1:19">
      <c r="A32" s="252" t="s">
        <v>363</v>
      </c>
      <c r="B32" s="70" t="str">
        <f t="shared" si="8"/>
        <v>rpt open7Y</v>
      </c>
      <c r="C32" s="254" t="s">
        <v>44</v>
      </c>
      <c r="D32" s="91">
        <v>6</v>
      </c>
      <c r="E32" s="91">
        <v>14</v>
      </c>
      <c r="F32" s="75">
        <f t="shared" si="0"/>
        <v>0</v>
      </c>
      <c r="G32" s="73" t="str">
        <f t="shared" si="1"/>
        <v>pF</v>
      </c>
      <c r="H32" s="81">
        <f t="shared" si="2"/>
        <v>0</v>
      </c>
      <c r="I32" s="79" t="str">
        <f t="shared" si="3"/>
        <v>nS</v>
      </c>
      <c r="J32" s="105">
        <v>1591.5</v>
      </c>
      <c r="K32" s="98" t="e">
        <f t="shared" si="5"/>
        <v>#DIV/0!</v>
      </c>
      <c r="L32" s="83"/>
      <c r="M32" s="96"/>
      <c r="N32" s="66"/>
      <c r="Q32" s="66"/>
    </row>
    <row r="33" spans="1:17">
      <c r="A33" s="252" t="s">
        <v>363</v>
      </c>
      <c r="B33" s="70" t="str">
        <f t="shared" si="8"/>
        <v>rpt open6Y</v>
      </c>
      <c r="C33" s="254" t="s">
        <v>37</v>
      </c>
      <c r="D33" s="91">
        <v>0</v>
      </c>
      <c r="E33" s="91">
        <v>13</v>
      </c>
      <c r="F33" s="75">
        <f t="shared" si="0"/>
        <v>0</v>
      </c>
      <c r="G33" s="73" t="str">
        <f t="shared" si="1"/>
        <v>pF</v>
      </c>
      <c r="H33" s="81">
        <f t="shared" si="2"/>
        <v>-1.0000043371633056E-2</v>
      </c>
      <c r="I33" s="79" t="str">
        <f t="shared" si="3"/>
        <v>nS</v>
      </c>
      <c r="J33" s="105">
        <v>1591.5</v>
      </c>
      <c r="K33" s="98" t="e">
        <f t="shared" si="5"/>
        <v>#DIV/0!</v>
      </c>
      <c r="L33" s="83"/>
      <c r="M33" s="96"/>
      <c r="N33" s="66"/>
      <c r="Q33" s="66"/>
    </row>
    <row r="34" spans="1:17">
      <c r="A34" s="252" t="s">
        <v>362</v>
      </c>
      <c r="B34" s="70" t="str">
        <f t="shared" si="8"/>
        <v>rpt 100 pF6Y</v>
      </c>
      <c r="C34" s="254" t="s">
        <v>37</v>
      </c>
      <c r="D34" s="91">
        <f>100087-100</f>
        <v>99987</v>
      </c>
      <c r="E34" s="91">
        <v>-10</v>
      </c>
      <c r="F34" s="75">
        <f t="shared" si="0"/>
        <v>100.00044711764744</v>
      </c>
      <c r="G34" s="73" t="str">
        <f t="shared" si="1"/>
        <v>pF</v>
      </c>
      <c r="H34" s="81">
        <f t="shared" si="2"/>
        <v>-3.3000143126389082E-2</v>
      </c>
      <c r="I34" s="79" t="str">
        <f t="shared" si="3"/>
        <v>nS</v>
      </c>
      <c r="J34" s="105">
        <v>1591.5</v>
      </c>
      <c r="K34" s="98">
        <f t="shared" si="5"/>
        <v>-3.3001020535239539E-2</v>
      </c>
      <c r="L34" s="83"/>
      <c r="M34" s="96">
        <f>F34</f>
        <v>100.00044711764744</v>
      </c>
      <c r="N34" s="66">
        <f>K34+N$50</f>
        <v>-1.2006872916958337E-2</v>
      </c>
      <c r="Q34" s="66"/>
    </row>
    <row r="35" spans="1:17">
      <c r="A35" s="252" t="s">
        <v>364</v>
      </c>
      <c r="B35" s="70" t="str">
        <f t="shared" si="8"/>
        <v>rpt 1000 pF6Y</v>
      </c>
      <c r="C35" s="254" t="s">
        <v>37</v>
      </c>
      <c r="D35" s="91">
        <f>1000693-1000</f>
        <v>999693</v>
      </c>
      <c r="E35" s="91">
        <f>816-1000</f>
        <v>-184</v>
      </c>
      <c r="F35" s="75">
        <f t="shared" si="0"/>
        <v>999.82744737198152</v>
      </c>
      <c r="G35" s="73" t="str">
        <f t="shared" si="1"/>
        <v>pF</v>
      </c>
      <c r="H35" s="81">
        <f t="shared" si="2"/>
        <v>-0.20700089779280428</v>
      </c>
      <c r="I35" s="79" t="str">
        <f t="shared" si="3"/>
        <v>nS</v>
      </c>
      <c r="J35" s="105">
        <v>1591.5</v>
      </c>
      <c r="K35" s="98">
        <f t="shared" si="5"/>
        <v>-2.0704305292427748E-2</v>
      </c>
      <c r="L35" s="83"/>
      <c r="M35" s="96">
        <f>F35</f>
        <v>999.82744737198152</v>
      </c>
      <c r="N35" s="66">
        <f>K35+N$50</f>
        <v>2.8984232585345382E-4</v>
      </c>
      <c r="O35" s="266">
        <v>999.8347</v>
      </c>
      <c r="P35" s="266">
        <v>1.11E-2</v>
      </c>
      <c r="Q35" s="66">
        <f t="shared" ref="Q35" si="10">P35*0.000000001/(2*PI()*J35*O35*0.000000000001)*1000</f>
        <v>1.1102179948875481E-3</v>
      </c>
    </row>
    <row r="36" spans="1:17">
      <c r="A36" s="252" t="s">
        <v>363</v>
      </c>
      <c r="B36" s="70" t="str">
        <f t="shared" si="8"/>
        <v>rpt open5Y</v>
      </c>
      <c r="C36" s="254" t="s">
        <v>42</v>
      </c>
      <c r="D36" s="91">
        <v>-1</v>
      </c>
      <c r="E36" s="91">
        <v>4</v>
      </c>
      <c r="F36" s="75">
        <f t="shared" si="0"/>
        <v>0</v>
      </c>
      <c r="G36" s="73" t="str">
        <f t="shared" si="1"/>
        <v>nF</v>
      </c>
      <c r="H36" s="81">
        <f t="shared" si="2"/>
        <v>9.9994035636780573E-6</v>
      </c>
      <c r="I36" s="79" t="str">
        <f t="shared" si="3"/>
        <v>microS</v>
      </c>
      <c r="J36" s="105">
        <v>1591.5</v>
      </c>
      <c r="K36" s="98" t="e">
        <f t="shared" si="5"/>
        <v>#DIV/0!</v>
      </c>
      <c r="L36" s="83"/>
      <c r="M36" s="96"/>
      <c r="N36" s="97"/>
    </row>
    <row r="37" spans="1:17">
      <c r="A37" s="252" t="s">
        <v>366</v>
      </c>
      <c r="B37" s="70" t="str">
        <f t="shared" si="8"/>
        <v>rpt 0.01 microF5Y</v>
      </c>
      <c r="C37" s="254" t="s">
        <v>42</v>
      </c>
      <c r="D37" s="91">
        <v>1000018</v>
      </c>
      <c r="E37" s="91">
        <v>504</v>
      </c>
      <c r="F37" s="75">
        <f t="shared" si="0"/>
        <v>10.000895092041496</v>
      </c>
      <c r="G37" s="73" t="str">
        <f t="shared" si="1"/>
        <v>nF</v>
      </c>
      <c r="H37" s="81">
        <f t="shared" si="2"/>
        <v>5.0097011854027063E-3</v>
      </c>
      <c r="I37" s="79" t="str">
        <f t="shared" si="3"/>
        <v>microS</v>
      </c>
      <c r="J37" s="105">
        <v>1591.5</v>
      </c>
      <c r="K37" s="98">
        <f t="shared" si="5"/>
        <v>5.0094083951913851E-2</v>
      </c>
      <c r="L37" s="83"/>
      <c r="M37" s="96"/>
      <c r="N37" s="97"/>
    </row>
    <row r="38" spans="1:17">
      <c r="A38" s="252" t="s">
        <v>367</v>
      </c>
      <c r="B38" s="70" t="str">
        <f t="shared" si="8"/>
        <v>rpt 0.1 microF4Y</v>
      </c>
      <c r="C38" s="254" t="s">
        <v>95</v>
      </c>
      <c r="D38" s="91">
        <f>1000062-100</f>
        <v>999962</v>
      </c>
      <c r="E38" s="91">
        <v>410</v>
      </c>
      <c r="F38" s="75">
        <f t="shared" si="0"/>
        <v>100.00325051852012</v>
      </c>
      <c r="G38" s="73" t="str">
        <f t="shared" si="1"/>
        <v>nF</v>
      </c>
      <c r="H38" s="81">
        <f t="shared" si="2"/>
        <v>4.1297536717990378E-2</v>
      </c>
      <c r="I38" s="79" t="str">
        <f t="shared" si="3"/>
        <v>microS</v>
      </c>
      <c r="J38" s="105">
        <v>1591.5</v>
      </c>
      <c r="K38" s="98">
        <f t="shared" si="5"/>
        <v>4.1297477009549902E-2</v>
      </c>
      <c r="L38" s="83"/>
      <c r="M38" s="96"/>
      <c r="N38" s="97"/>
    </row>
    <row r="39" spans="1:17">
      <c r="A39" s="252" t="s">
        <v>363</v>
      </c>
      <c r="B39" s="70" t="str">
        <f t="shared" si="8"/>
        <v>rpt open4Y</v>
      </c>
      <c r="C39" s="254" t="s">
        <v>95</v>
      </c>
      <c r="D39" s="91">
        <v>0</v>
      </c>
      <c r="E39" s="91">
        <f>8-10</f>
        <v>-2</v>
      </c>
      <c r="F39" s="75">
        <f t="shared" si="0"/>
        <v>0</v>
      </c>
      <c r="G39" s="73" t="str">
        <f t="shared" si="1"/>
        <v>nF</v>
      </c>
      <c r="H39" s="81">
        <f t="shared" si="2"/>
        <v>9.9994035636780573E-5</v>
      </c>
      <c r="I39" s="79" t="str">
        <f t="shared" si="3"/>
        <v>microS</v>
      </c>
      <c r="J39" s="105">
        <v>1591.5</v>
      </c>
      <c r="K39" s="98" t="e">
        <f t="shared" si="5"/>
        <v>#DIV/0!</v>
      </c>
      <c r="L39" s="83"/>
      <c r="M39" s="96"/>
      <c r="N39" s="97"/>
    </row>
    <row r="40" spans="1:17">
      <c r="A40" s="252" t="s">
        <v>363</v>
      </c>
      <c r="B40" s="70" t="str">
        <f t="shared" si="8"/>
        <v>rpt open3Y</v>
      </c>
      <c r="C40" s="254" t="s">
        <v>38</v>
      </c>
      <c r="D40" s="91">
        <v>0</v>
      </c>
      <c r="E40" s="91">
        <v>-1</v>
      </c>
      <c r="F40" s="75">
        <f t="shared" si="0"/>
        <v>0</v>
      </c>
      <c r="G40" s="73" t="str">
        <f t="shared" si="1"/>
        <v>microF</v>
      </c>
      <c r="H40" s="81">
        <f t="shared" si="2"/>
        <v>2.9998210691034169E-6</v>
      </c>
      <c r="I40" s="79" t="str">
        <f t="shared" si="3"/>
        <v>milliS</v>
      </c>
      <c r="J40" s="105">
        <v>1591.5</v>
      </c>
      <c r="K40" s="98" t="e">
        <f t="shared" si="5"/>
        <v>#DIV/0!</v>
      </c>
      <c r="L40" s="83"/>
      <c r="M40" s="96"/>
      <c r="N40" s="97"/>
    </row>
    <row r="41" spans="1:17">
      <c r="A41" s="252" t="s">
        <v>368</v>
      </c>
      <c r="B41" s="70" t="str">
        <f t="shared" si="8"/>
        <v>rpt 1 microF3Y</v>
      </c>
      <c r="C41" s="254" t="s">
        <v>38</v>
      </c>
      <c r="D41" s="91">
        <f>1000834-1000</f>
        <v>999834</v>
      </c>
      <c r="E41" s="91">
        <v>1705</v>
      </c>
      <c r="F41" s="75">
        <f t="shared" si="0"/>
        <v>0.9999044961601945</v>
      </c>
      <c r="G41" s="73" t="str">
        <f t="shared" si="1"/>
        <v>microF</v>
      </c>
      <c r="H41" s="81">
        <f t="shared" si="2"/>
        <v>1.7088980690325797E-3</v>
      </c>
      <c r="I41" s="79" t="str">
        <f t="shared" ref="I41:I65" si="11">VLOOKUP(Range,multiplier,6,FALSE)</f>
        <v>milliS</v>
      </c>
      <c r="J41" s="105">
        <v>1591.5</v>
      </c>
      <c r="K41" s="98">
        <f t="shared" si="5"/>
        <v>0.17091143732418621</v>
      </c>
      <c r="L41" s="83"/>
      <c r="M41" s="96"/>
      <c r="N41" s="97"/>
    </row>
    <row r="42" spans="1:17">
      <c r="A42" s="69"/>
      <c r="B42" s="70"/>
      <c r="C42" s="71"/>
      <c r="D42" s="91"/>
      <c r="E42" s="91"/>
      <c r="F42" s="75" t="e">
        <f t="shared" si="0"/>
        <v>#N/A</v>
      </c>
      <c r="G42" s="73" t="e">
        <f t="shared" si="1"/>
        <v>#N/A</v>
      </c>
      <c r="H42" s="81" t="e">
        <f t="shared" si="2"/>
        <v>#N/A</v>
      </c>
      <c r="I42" s="79" t="e">
        <f t="shared" si="11"/>
        <v>#N/A</v>
      </c>
      <c r="J42" s="105">
        <v>1591.5</v>
      </c>
      <c r="K42" s="98"/>
      <c r="L42" s="83"/>
    </row>
    <row r="43" spans="1:17">
      <c r="A43" s="69"/>
      <c r="B43" s="70"/>
      <c r="C43" s="71"/>
      <c r="D43" s="91"/>
      <c r="E43" s="91"/>
      <c r="F43" s="75" t="e">
        <f t="shared" si="0"/>
        <v>#N/A</v>
      </c>
      <c r="G43" s="73" t="e">
        <f t="shared" si="1"/>
        <v>#N/A</v>
      </c>
      <c r="H43" s="81" t="e">
        <f t="shared" si="2"/>
        <v>#N/A</v>
      </c>
      <c r="I43" s="79" t="e">
        <f t="shared" si="11"/>
        <v>#N/A</v>
      </c>
      <c r="J43" s="105">
        <v>1591.5</v>
      </c>
      <c r="K43" s="98" t="e">
        <f>1000*H43*VLOOKUP(C43,multiplier,7,FALSE)/(2*PI()*J43*F43*VLOOKUP(C43,multiplier,4,FALSE))+K75</f>
        <v>#N/A</v>
      </c>
      <c r="L43" s="83"/>
    </row>
    <row r="44" spans="1:17">
      <c r="A44" s="69"/>
      <c r="B44" s="70"/>
      <c r="C44" s="71"/>
      <c r="D44" s="91"/>
      <c r="E44" s="91"/>
      <c r="F44" s="75" t="e">
        <f t="shared" si="0"/>
        <v>#N/A</v>
      </c>
      <c r="G44" s="73" t="e">
        <f t="shared" si="1"/>
        <v>#N/A</v>
      </c>
      <c r="H44" s="81" t="e">
        <f t="shared" si="2"/>
        <v>#N/A</v>
      </c>
      <c r="I44" s="73" t="e">
        <f t="shared" si="11"/>
        <v>#N/A</v>
      </c>
      <c r="J44" s="105">
        <v>1591.5</v>
      </c>
      <c r="K44" s="98" t="e">
        <f t="shared" ref="K44:K53" si="12">1000*H44*VLOOKUP(C44,multiplier,7,FALSE)/(2*PI()*J44*F44*VLOOKUP(C44,multiplier,4,FALSE))</f>
        <v>#N/A</v>
      </c>
      <c r="L44" s="83"/>
    </row>
    <row r="45" spans="1:17">
      <c r="A45" s="69"/>
      <c r="B45" s="70"/>
      <c r="C45" s="71"/>
      <c r="D45" s="91"/>
      <c r="E45" s="91"/>
      <c r="F45" s="75" t="e">
        <f t="shared" si="0"/>
        <v>#N/A</v>
      </c>
      <c r="G45" s="73" t="e">
        <f t="shared" si="1"/>
        <v>#N/A</v>
      </c>
      <c r="H45" s="81" t="e">
        <f t="shared" si="2"/>
        <v>#N/A</v>
      </c>
      <c r="I45" s="79" t="e">
        <f t="shared" si="11"/>
        <v>#N/A</v>
      </c>
      <c r="J45" s="105">
        <v>1591.5</v>
      </c>
      <c r="K45" s="98" t="e">
        <f t="shared" si="12"/>
        <v>#N/A</v>
      </c>
      <c r="L45" s="83"/>
    </row>
    <row r="46" spans="1:17">
      <c r="A46" s="69"/>
      <c r="B46" s="70"/>
      <c r="C46" s="71"/>
      <c r="D46" s="91"/>
      <c r="E46" s="91"/>
      <c r="F46" s="75" t="e">
        <f t="shared" si="0"/>
        <v>#N/A</v>
      </c>
      <c r="G46" s="73" t="e">
        <f t="shared" si="1"/>
        <v>#N/A</v>
      </c>
      <c r="H46" s="81" t="e">
        <f t="shared" si="2"/>
        <v>#N/A</v>
      </c>
      <c r="I46" s="79" t="e">
        <f t="shared" si="11"/>
        <v>#N/A</v>
      </c>
      <c r="J46" s="105">
        <v>1591.5</v>
      </c>
      <c r="K46" s="98" t="e">
        <f t="shared" si="12"/>
        <v>#N/A</v>
      </c>
      <c r="L46" s="83"/>
      <c r="N46" s="246" t="s">
        <v>310</v>
      </c>
    </row>
    <row r="47" spans="1:17">
      <c r="A47" s="69"/>
      <c r="B47" s="70"/>
      <c r="C47" s="71"/>
      <c r="D47" s="91"/>
      <c r="E47" s="91"/>
      <c r="F47" s="75" t="e">
        <f t="shared" si="0"/>
        <v>#N/A</v>
      </c>
      <c r="G47" s="73" t="e">
        <f t="shared" si="1"/>
        <v>#N/A</v>
      </c>
      <c r="H47" s="81" t="e">
        <f t="shared" si="2"/>
        <v>#N/A</v>
      </c>
      <c r="I47" s="79" t="e">
        <f t="shared" si="11"/>
        <v>#N/A</v>
      </c>
      <c r="J47" s="105">
        <v>1591.5</v>
      </c>
      <c r="K47" s="98" t="e">
        <f t="shared" si="12"/>
        <v>#N/A</v>
      </c>
      <c r="L47" s="83"/>
      <c r="M47" s="13" t="s">
        <v>320</v>
      </c>
      <c r="N47" s="220">
        <v>32.121205504092799</v>
      </c>
      <c r="O47" s="246" t="s">
        <v>340</v>
      </c>
    </row>
    <row r="48" spans="1:17">
      <c r="A48" s="69"/>
      <c r="B48" s="70"/>
      <c r="C48" s="71"/>
      <c r="D48" s="91"/>
      <c r="E48" s="91"/>
      <c r="F48" s="75" t="e">
        <f t="shared" si="0"/>
        <v>#N/A</v>
      </c>
      <c r="G48" s="73" t="e">
        <f t="shared" si="1"/>
        <v>#N/A</v>
      </c>
      <c r="H48" s="81" t="e">
        <f t="shared" si="2"/>
        <v>#N/A</v>
      </c>
      <c r="I48" s="73" t="e">
        <f t="shared" si="11"/>
        <v>#N/A</v>
      </c>
      <c r="J48" s="105">
        <v>1591.5</v>
      </c>
      <c r="K48" s="98" t="e">
        <f t="shared" si="12"/>
        <v>#N/A</v>
      </c>
      <c r="L48" s="83"/>
      <c r="N48" s="246" t="s">
        <v>341</v>
      </c>
    </row>
    <row r="49" spans="1:15">
      <c r="A49" s="69"/>
      <c r="B49" s="70"/>
      <c r="C49" s="71"/>
      <c r="D49" s="91"/>
      <c r="E49" s="91"/>
      <c r="F49" s="75" t="e">
        <f t="shared" si="0"/>
        <v>#N/A</v>
      </c>
      <c r="G49" s="73" t="e">
        <f t="shared" si="1"/>
        <v>#N/A</v>
      </c>
      <c r="H49" s="77" t="e">
        <f t="shared" si="2"/>
        <v>#N/A</v>
      </c>
      <c r="I49" s="79" t="e">
        <f t="shared" si="11"/>
        <v>#N/A</v>
      </c>
      <c r="J49" s="105">
        <v>1591.5</v>
      </c>
      <c r="K49" s="98" t="e">
        <f t="shared" si="12"/>
        <v>#N/A</v>
      </c>
      <c r="L49" s="83"/>
      <c r="M49" s="13" t="s">
        <v>321</v>
      </c>
      <c r="N49" s="221">
        <f>-143.948777611238/1000</f>
        <v>-0.143948777611238</v>
      </c>
      <c r="O49" s="246" t="s">
        <v>342</v>
      </c>
    </row>
    <row r="50" spans="1:15">
      <c r="A50" s="69"/>
      <c r="B50" s="70"/>
      <c r="C50" s="71"/>
      <c r="D50" s="91"/>
      <c r="E50" s="91"/>
      <c r="F50" s="75" t="e">
        <f t="shared" si="0"/>
        <v>#N/A</v>
      </c>
      <c r="G50" s="73" t="e">
        <f t="shared" si="1"/>
        <v>#N/A</v>
      </c>
      <c r="H50" s="77" t="e">
        <f t="shared" si="2"/>
        <v>#N/A</v>
      </c>
      <c r="I50" s="79" t="e">
        <f t="shared" si="11"/>
        <v>#N/A</v>
      </c>
      <c r="J50" s="105">
        <v>1591.5</v>
      </c>
      <c r="K50" s="98" t="e">
        <f t="shared" si="12"/>
        <v>#N/A</v>
      </c>
      <c r="L50" s="83"/>
      <c r="M50" s="13" t="s">
        <v>322</v>
      </c>
      <c r="N50" s="221">
        <f>20.9941476182812/1000</f>
        <v>2.0994147618281202E-2</v>
      </c>
      <c r="O50" s="246" t="s">
        <v>343</v>
      </c>
    </row>
    <row r="51" spans="1:15">
      <c r="A51" s="69"/>
      <c r="B51" s="70"/>
      <c r="C51" s="71"/>
      <c r="D51" s="91"/>
      <c r="E51" s="91"/>
      <c r="F51" s="75" t="e">
        <f t="shared" si="0"/>
        <v>#N/A</v>
      </c>
      <c r="G51" s="73" t="e">
        <f t="shared" si="1"/>
        <v>#N/A</v>
      </c>
      <c r="H51" s="77" t="e">
        <f t="shared" si="2"/>
        <v>#N/A</v>
      </c>
      <c r="I51" s="79" t="e">
        <f t="shared" si="11"/>
        <v>#N/A</v>
      </c>
      <c r="J51" s="105">
        <v>1591.5</v>
      </c>
      <c r="K51" s="98" t="e">
        <f t="shared" si="12"/>
        <v>#N/A</v>
      </c>
      <c r="L51" s="83"/>
    </row>
    <row r="52" spans="1:15">
      <c r="A52" s="69"/>
      <c r="B52" s="70"/>
      <c r="C52" s="71"/>
      <c r="D52" s="91"/>
      <c r="E52" s="91"/>
      <c r="F52" s="75" t="e">
        <f t="shared" si="0"/>
        <v>#N/A</v>
      </c>
      <c r="G52" s="73" t="e">
        <f t="shared" si="1"/>
        <v>#N/A</v>
      </c>
      <c r="H52" s="77" t="e">
        <f t="shared" si="2"/>
        <v>#N/A</v>
      </c>
      <c r="I52" s="79" t="e">
        <f t="shared" si="11"/>
        <v>#N/A</v>
      </c>
      <c r="J52" s="105">
        <v>1591.5</v>
      </c>
      <c r="K52" s="98" t="e">
        <f t="shared" si="12"/>
        <v>#N/A</v>
      </c>
      <c r="L52" s="83"/>
    </row>
    <row r="53" spans="1:15">
      <c r="A53" s="69"/>
      <c r="B53" s="70"/>
      <c r="C53" s="71"/>
      <c r="D53" s="91"/>
      <c r="E53" s="91"/>
      <c r="F53" s="75" t="e">
        <f t="shared" si="0"/>
        <v>#N/A</v>
      </c>
      <c r="G53" s="73" t="e">
        <f t="shared" si="1"/>
        <v>#N/A</v>
      </c>
      <c r="H53" s="77" t="e">
        <f t="shared" si="2"/>
        <v>#N/A</v>
      </c>
      <c r="I53" s="79" t="e">
        <f t="shared" si="11"/>
        <v>#N/A</v>
      </c>
      <c r="J53" s="105">
        <v>1591.5</v>
      </c>
      <c r="K53" s="98" t="e">
        <f t="shared" si="12"/>
        <v>#N/A</v>
      </c>
      <c r="L53" s="83"/>
    </row>
    <row r="54" spans="1:15">
      <c r="A54" s="69"/>
      <c r="B54" s="70"/>
      <c r="C54" s="71"/>
      <c r="D54" s="91"/>
      <c r="E54" s="91"/>
      <c r="F54" s="75" t="e">
        <f t="shared" si="0"/>
        <v>#N/A</v>
      </c>
      <c r="G54" s="73" t="e">
        <f t="shared" si="1"/>
        <v>#N/A</v>
      </c>
      <c r="H54" s="77" t="e">
        <f t="shared" si="2"/>
        <v>#N/A</v>
      </c>
      <c r="I54" s="79" t="e">
        <f t="shared" si="11"/>
        <v>#N/A</v>
      </c>
      <c r="J54" s="105">
        <v>1591.5</v>
      </c>
      <c r="L54" s="83"/>
    </row>
    <row r="55" spans="1:15">
      <c r="A55" s="69"/>
      <c r="B55" s="70"/>
      <c r="C55" s="71"/>
      <c r="D55" s="91"/>
      <c r="E55" s="91"/>
      <c r="F55" s="75" t="e">
        <f t="shared" si="0"/>
        <v>#N/A</v>
      </c>
      <c r="G55" s="73" t="e">
        <f t="shared" si="1"/>
        <v>#N/A</v>
      </c>
      <c r="H55" s="77" t="e">
        <f t="shared" si="2"/>
        <v>#N/A</v>
      </c>
      <c r="I55" s="79" t="e">
        <f t="shared" si="11"/>
        <v>#N/A</v>
      </c>
      <c r="J55" s="105">
        <v>1591.5</v>
      </c>
      <c r="K55" s="98" t="e">
        <f>K77+1000*H55*VLOOKUP(C55,multiplier,7,FALSE)/(2*PI()*J55*F55*VLOOKUP(C55,multiplier,4,FALSE))</f>
        <v>#N/A</v>
      </c>
      <c r="L55" s="83"/>
    </row>
    <row r="56" spans="1:15">
      <c r="A56" s="69"/>
      <c r="B56" s="70"/>
      <c r="C56" s="71"/>
      <c r="D56" s="91"/>
      <c r="E56" s="91"/>
      <c r="F56" s="75" t="e">
        <f t="shared" si="0"/>
        <v>#N/A</v>
      </c>
      <c r="G56" s="73" t="e">
        <f t="shared" si="1"/>
        <v>#N/A</v>
      </c>
      <c r="H56" s="77" t="e">
        <f t="shared" si="2"/>
        <v>#N/A</v>
      </c>
      <c r="I56" s="79" t="e">
        <f t="shared" si="11"/>
        <v>#N/A</v>
      </c>
      <c r="J56" s="105">
        <v>1591.5</v>
      </c>
      <c r="K56" s="98" t="e">
        <f>K78+1000*H56*VLOOKUP(C56,multiplier,7,FALSE)/(2*PI()*J56*F56*VLOOKUP(C56,multiplier,4,FALSE))</f>
        <v>#N/A</v>
      </c>
      <c r="L56" s="83"/>
    </row>
    <row r="57" spans="1:15">
      <c r="A57" s="69"/>
      <c r="B57" s="70"/>
      <c r="C57" s="71"/>
      <c r="D57" s="91"/>
      <c r="E57" s="91"/>
      <c r="F57" s="101" t="e">
        <f t="shared" si="0"/>
        <v>#N/A</v>
      </c>
      <c r="G57" s="73" t="e">
        <f t="shared" si="1"/>
        <v>#N/A</v>
      </c>
      <c r="H57" s="77" t="e">
        <f t="shared" si="2"/>
        <v>#N/A</v>
      </c>
      <c r="I57" s="79" t="e">
        <f t="shared" si="11"/>
        <v>#N/A</v>
      </c>
      <c r="J57" s="105">
        <v>1591.5</v>
      </c>
      <c r="K57" s="98" t="e">
        <f>K78+1000*H57*VLOOKUP(C57,multiplier,7,FALSE)/(2*PI()*J57*F57*VLOOKUP(C57,multiplier,4,FALSE))</f>
        <v>#N/A</v>
      </c>
      <c r="L57" s="83"/>
    </row>
    <row r="58" spans="1:15">
      <c r="A58" s="69"/>
      <c r="B58" s="70"/>
      <c r="C58" s="71"/>
      <c r="D58" s="91"/>
      <c r="E58" s="91"/>
      <c r="F58" s="75" t="e">
        <f t="shared" si="0"/>
        <v>#N/A</v>
      </c>
      <c r="G58" s="73" t="e">
        <f t="shared" si="1"/>
        <v>#N/A</v>
      </c>
      <c r="H58" s="77" t="e">
        <f t="shared" si="2"/>
        <v>#N/A</v>
      </c>
      <c r="I58" s="79" t="e">
        <f t="shared" si="11"/>
        <v>#N/A</v>
      </c>
      <c r="J58" s="105">
        <v>1591.5</v>
      </c>
      <c r="K58" s="98" t="e">
        <f t="shared" ref="K58:K65" si="13">1000*H58*VLOOKUP(C58,multiplier,7,FALSE)/(2*PI()*J58*F58*VLOOKUP(C58,multiplier,4,FALSE))</f>
        <v>#N/A</v>
      </c>
      <c r="L58" s="83"/>
    </row>
    <row r="59" spans="1:15">
      <c r="A59" s="69"/>
      <c r="B59" s="70"/>
      <c r="C59" s="71"/>
      <c r="D59" s="91"/>
      <c r="E59" s="91"/>
      <c r="F59" s="75" t="e">
        <f t="shared" si="0"/>
        <v>#N/A</v>
      </c>
      <c r="G59" s="73" t="e">
        <f t="shared" si="1"/>
        <v>#N/A</v>
      </c>
      <c r="H59" s="77" t="e">
        <f t="shared" si="2"/>
        <v>#N/A</v>
      </c>
      <c r="I59" s="79" t="e">
        <f t="shared" si="11"/>
        <v>#N/A</v>
      </c>
      <c r="J59" s="105">
        <v>1591.5</v>
      </c>
      <c r="K59" s="98" t="e">
        <f t="shared" si="13"/>
        <v>#N/A</v>
      </c>
      <c r="L59" s="83"/>
    </row>
    <row r="60" spans="1:15">
      <c r="A60" s="69"/>
      <c r="B60" s="70"/>
      <c r="C60" s="71"/>
      <c r="D60" s="91"/>
      <c r="E60" s="91"/>
      <c r="F60" s="75" t="e">
        <f t="shared" si="0"/>
        <v>#N/A</v>
      </c>
      <c r="G60" s="73" t="e">
        <f t="shared" si="1"/>
        <v>#N/A</v>
      </c>
      <c r="H60" s="77" t="e">
        <f t="shared" si="2"/>
        <v>#N/A</v>
      </c>
      <c r="I60" s="79" t="e">
        <f t="shared" si="11"/>
        <v>#N/A</v>
      </c>
      <c r="J60" s="105">
        <v>1591.5</v>
      </c>
      <c r="K60" s="98" t="e">
        <f t="shared" si="13"/>
        <v>#N/A</v>
      </c>
      <c r="L60" s="83"/>
    </row>
    <row r="61" spans="1:15">
      <c r="A61" s="69"/>
      <c r="B61" s="70"/>
      <c r="C61" s="71"/>
      <c r="D61" s="91"/>
      <c r="E61" s="91"/>
      <c r="F61" s="75" t="e">
        <f t="shared" si="0"/>
        <v>#N/A</v>
      </c>
      <c r="G61" s="73" t="e">
        <f t="shared" si="1"/>
        <v>#N/A</v>
      </c>
      <c r="H61" s="77" t="e">
        <f t="shared" si="2"/>
        <v>#N/A</v>
      </c>
      <c r="I61" s="79" t="e">
        <f t="shared" si="11"/>
        <v>#N/A</v>
      </c>
      <c r="J61" s="105">
        <v>1591.5</v>
      </c>
      <c r="K61" s="98" t="e">
        <f t="shared" si="13"/>
        <v>#N/A</v>
      </c>
      <c r="L61" s="83"/>
    </row>
    <row r="62" spans="1:15">
      <c r="A62" s="69"/>
      <c r="B62" s="70"/>
      <c r="C62" s="71"/>
      <c r="D62" s="91"/>
      <c r="E62" s="91"/>
      <c r="F62" s="75" t="e">
        <f t="shared" si="0"/>
        <v>#N/A</v>
      </c>
      <c r="G62" s="73" t="e">
        <f t="shared" si="1"/>
        <v>#N/A</v>
      </c>
      <c r="H62" s="77" t="e">
        <f t="shared" si="2"/>
        <v>#N/A</v>
      </c>
      <c r="I62" s="79" t="e">
        <f t="shared" si="11"/>
        <v>#N/A</v>
      </c>
      <c r="J62" s="105">
        <v>1591.5</v>
      </c>
      <c r="K62" s="98" t="e">
        <f t="shared" si="13"/>
        <v>#N/A</v>
      </c>
      <c r="L62" s="83"/>
    </row>
    <row r="63" spans="1:15">
      <c r="A63" s="69"/>
      <c r="B63" s="70"/>
      <c r="C63" s="71"/>
      <c r="D63" s="91"/>
      <c r="E63" s="91"/>
      <c r="F63" s="75" t="e">
        <f t="shared" si="0"/>
        <v>#N/A</v>
      </c>
      <c r="G63" s="76" t="e">
        <f t="shared" si="1"/>
        <v>#N/A</v>
      </c>
      <c r="H63" s="77" t="e">
        <f t="shared" si="2"/>
        <v>#N/A</v>
      </c>
      <c r="I63" s="78" t="e">
        <f t="shared" si="11"/>
        <v>#N/A</v>
      </c>
      <c r="J63" s="105">
        <v>1591.5</v>
      </c>
      <c r="K63" s="98" t="e">
        <f t="shared" si="13"/>
        <v>#N/A</v>
      </c>
      <c r="L63" s="83"/>
    </row>
    <row r="64" spans="1:15">
      <c r="A64" s="69"/>
      <c r="B64" s="70"/>
      <c r="C64" s="71"/>
      <c r="D64" s="91"/>
      <c r="E64" s="91"/>
      <c r="F64" s="75" t="e">
        <f t="shared" si="0"/>
        <v>#N/A</v>
      </c>
      <c r="G64" s="76" t="e">
        <f t="shared" si="1"/>
        <v>#N/A</v>
      </c>
      <c r="H64" s="77" t="e">
        <f t="shared" si="2"/>
        <v>#N/A</v>
      </c>
      <c r="I64" s="78" t="e">
        <f t="shared" si="11"/>
        <v>#N/A</v>
      </c>
      <c r="J64" s="105">
        <v>1591.5</v>
      </c>
      <c r="K64" s="98" t="e">
        <f t="shared" si="13"/>
        <v>#N/A</v>
      </c>
      <c r="L64" s="83"/>
    </row>
    <row r="65" spans="1:12">
      <c r="A65" s="69"/>
      <c r="B65" s="70"/>
      <c r="C65" s="71"/>
      <c r="D65" s="91"/>
      <c r="E65" s="91"/>
      <c r="F65" s="75" t="e">
        <f t="shared" si="0"/>
        <v>#N/A</v>
      </c>
      <c r="G65" s="76" t="e">
        <f t="shared" si="1"/>
        <v>#N/A</v>
      </c>
      <c r="H65" s="77" t="e">
        <f t="shared" si="2"/>
        <v>#N/A</v>
      </c>
      <c r="I65" s="78" t="e">
        <f t="shared" si="11"/>
        <v>#N/A</v>
      </c>
      <c r="J65" s="105">
        <v>1591.5</v>
      </c>
      <c r="K65" s="98" t="e">
        <f t="shared" si="13"/>
        <v>#N/A</v>
      </c>
      <c r="L65" s="83"/>
    </row>
    <row r="66" spans="1:12">
      <c r="K66" s="98"/>
    </row>
    <row r="67" spans="1:12">
      <c r="K67" s="98"/>
    </row>
    <row r="68" spans="1:12">
      <c r="A68"/>
    </row>
    <row r="69" spans="1:12">
      <c r="A69"/>
    </row>
    <row r="70" spans="1:12">
      <c r="A70"/>
    </row>
    <row r="71" spans="1:12">
      <c r="A71"/>
    </row>
    <row r="72" spans="1:12">
      <c r="A72"/>
    </row>
    <row r="74" spans="1:12">
      <c r="A74" s="108" t="s">
        <v>174</v>
      </c>
      <c r="B74" s="109"/>
      <c r="C74" s="109"/>
      <c r="D74" s="109" t="s">
        <v>189</v>
      </c>
      <c r="E74" s="109" t="s">
        <v>172</v>
      </c>
      <c r="F74" t="s">
        <v>316</v>
      </c>
      <c r="K74" t="s">
        <v>178</v>
      </c>
    </row>
    <row r="75" spans="1:12">
      <c r="A75" s="110" t="s">
        <v>173</v>
      </c>
      <c r="B75" s="109"/>
      <c r="C75" s="109"/>
      <c r="D75" s="111">
        <v>29.6</v>
      </c>
      <c r="E75" s="111">
        <v>0</v>
      </c>
      <c r="F75" s="87">
        <f>D75-1000000*(F18/1000-1)</f>
        <v>17.127747616455899</v>
      </c>
      <c r="K75" s="97">
        <f>(E75-K18)</f>
        <v>1.9300442434874027E-2</v>
      </c>
      <c r="L75" s="83"/>
    </row>
    <row r="76" spans="1:12">
      <c r="A76" s="110" t="s">
        <v>36</v>
      </c>
      <c r="B76" s="109"/>
      <c r="C76" s="109"/>
      <c r="D76" s="111">
        <v>15.9</v>
      </c>
      <c r="E76" s="111">
        <v>0</v>
      </c>
      <c r="F76" s="87">
        <f>D76-1000000*(F17/1000-1)</f>
        <v>18.429764946301859</v>
      </c>
      <c r="K76" s="97">
        <f>(E76-K17)</f>
        <v>1.590060303112624E-2</v>
      </c>
      <c r="L76" s="83"/>
    </row>
    <row r="77" spans="1:12">
      <c r="A77" s="110" t="s">
        <v>248</v>
      </c>
      <c r="B77" s="109"/>
      <c r="C77" s="109"/>
      <c r="D77" s="111">
        <v>-4.9000000000000004</v>
      </c>
      <c r="E77" s="219">
        <v>0</v>
      </c>
      <c r="F77" s="87">
        <f>D77-1000000*(F23/10-1)</f>
        <v>107.66910041290701</v>
      </c>
      <c r="K77" s="97">
        <f>(E77-K23)</f>
        <v>-0.25601815637009001</v>
      </c>
      <c r="L77" s="83"/>
    </row>
    <row r="78" spans="1:12">
      <c r="A78" s="110" t="s">
        <v>249</v>
      </c>
      <c r="B78" s="109"/>
      <c r="C78" s="109"/>
      <c r="D78" s="111">
        <v>-4.4000000000000004</v>
      </c>
      <c r="E78" s="219">
        <v>0</v>
      </c>
      <c r="F78" s="87">
        <f>D78-1000000*(F24/100-1)</f>
        <v>104.16887065036069</v>
      </c>
      <c r="K78" s="97">
        <f>(E78-K24)</f>
        <v>-0.2526169045913727</v>
      </c>
      <c r="L78" s="83"/>
    </row>
    <row r="79" spans="1:12">
      <c r="D79" s="87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6"/>
  <sheetViews>
    <sheetView topLeftCell="D1" workbookViewId="0">
      <selection activeCell="D25" sqref="D25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</cols>
  <sheetData>
    <row r="1" spans="1:31" ht="13.5" thickBot="1">
      <c r="A1" s="149" t="s">
        <v>209</v>
      </c>
      <c r="E1" t="s">
        <v>45</v>
      </c>
      <c r="L1" t="s">
        <v>46</v>
      </c>
      <c r="M1" s="4" t="s">
        <v>41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5" t="s">
        <v>13</v>
      </c>
      <c r="T1" s="5" t="s">
        <v>15</v>
      </c>
    </row>
    <row r="2" spans="1:31" ht="13.5" thickTop="1">
      <c r="E2" s="6" t="s">
        <v>52</v>
      </c>
      <c r="F2" s="7" t="s">
        <v>53</v>
      </c>
      <c r="G2" s="8" t="s">
        <v>46</v>
      </c>
      <c r="H2" s="9"/>
      <c r="K2" t="s">
        <v>54</v>
      </c>
      <c r="L2" s="150">
        <v>31092</v>
      </c>
      <c r="M2" s="93">
        <f>IMREAL(COMPLEX(32,0))</f>
        <v>32</v>
      </c>
      <c r="N2" s="93">
        <f>IMREAL(COMPLEX(30.1,3.9))</f>
        <v>30.1</v>
      </c>
      <c r="O2" s="93">
        <f>IMREAL(COMPLEX(-12,-5.9))</f>
        <v>-12</v>
      </c>
      <c r="P2" s="93">
        <f>IMREAL(COMPLEX(53,0))</f>
        <v>53</v>
      </c>
      <c r="Q2" s="93">
        <f>IMREAL(COMPLEX(13,-0.4))</f>
        <v>13</v>
      </c>
      <c r="R2" s="93">
        <f>IMREAL(COMPLEX(8.7,1.8))</f>
        <v>8.6999999999999993</v>
      </c>
      <c r="S2" s="93" t="s">
        <v>210</v>
      </c>
      <c r="T2" s="93" t="s">
        <v>210</v>
      </c>
      <c r="U2" t="s">
        <v>211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10"/>
      <c r="F3" s="11" t="s">
        <v>55</v>
      </c>
      <c r="G3" s="151">
        <v>41827</v>
      </c>
      <c r="H3" s="12"/>
      <c r="K3" t="s">
        <v>56</v>
      </c>
      <c r="L3" s="150">
        <v>32477</v>
      </c>
      <c r="M3" s="93">
        <v>123.32</v>
      </c>
      <c r="N3" s="93">
        <v>35</v>
      </c>
      <c r="O3" s="93">
        <v>-12</v>
      </c>
      <c r="P3" s="93" t="e">
        <f>NA()</f>
        <v>#N/A</v>
      </c>
      <c r="Q3" s="93">
        <v>9</v>
      </c>
      <c r="R3" s="93">
        <v>4</v>
      </c>
      <c r="S3" s="93">
        <v>0</v>
      </c>
      <c r="T3" s="93">
        <v>0</v>
      </c>
      <c r="Y3">
        <f t="shared" ref="Y3:Y12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3" t="s">
        <v>46</v>
      </c>
      <c r="B4" s="13" t="s">
        <v>57</v>
      </c>
      <c r="C4" s="13" t="s">
        <v>58</v>
      </c>
      <c r="E4" s="10" t="s">
        <v>59</v>
      </c>
      <c r="F4" s="152">
        <f>IMREAL(VLOOKUP($G$3,Data,2,FALSE))</f>
        <v>143.10000000006261</v>
      </c>
      <c r="G4" s="14" t="str">
        <f t="shared" ref="G4:G9" si="3">VLOOKUP($G$3,Record,2,FALSE)</f>
        <v>UBIII</v>
      </c>
      <c r="H4" s="12"/>
      <c r="K4" t="s">
        <v>56</v>
      </c>
      <c r="L4" s="150">
        <v>33309</v>
      </c>
      <c r="M4" s="93">
        <v>133</v>
      </c>
      <c r="N4" s="93">
        <v>37</v>
      </c>
      <c r="O4" s="93">
        <v>-14</v>
      </c>
      <c r="P4" s="93">
        <v>61</v>
      </c>
      <c r="Q4" s="93">
        <v>10</v>
      </c>
      <c r="R4" s="93">
        <v>6</v>
      </c>
      <c r="S4" s="93">
        <v>0</v>
      </c>
      <c r="T4" s="93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2">
        <v>29728</v>
      </c>
      <c r="B5" t="s">
        <v>60</v>
      </c>
      <c r="C5" t="s">
        <v>61</v>
      </c>
      <c r="E5" s="10" t="s">
        <v>62</v>
      </c>
      <c r="F5" s="152">
        <f>IMREAL(VLOOKUP($G$3,Data,3,FALSE))</f>
        <v>54.126077194238675</v>
      </c>
      <c r="G5" s="14" t="str">
        <f t="shared" si="3"/>
        <v>UBIII</v>
      </c>
      <c r="H5" s="12"/>
      <c r="K5" t="s">
        <v>56</v>
      </c>
      <c r="L5" s="150">
        <v>34933</v>
      </c>
      <c r="M5" s="93">
        <v>127.40600000000001</v>
      </c>
      <c r="N5" s="93">
        <v>40.340000000000003</v>
      </c>
      <c r="O5" s="153">
        <v>-17.21</v>
      </c>
      <c r="P5" s="93">
        <v>52</v>
      </c>
      <c r="Q5" s="153">
        <v>11.21</v>
      </c>
      <c r="R5" s="153">
        <v>6.21</v>
      </c>
      <c r="S5" s="93">
        <v>0</v>
      </c>
      <c r="T5" s="93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2">
        <v>30665</v>
      </c>
      <c r="B6" t="s">
        <v>63</v>
      </c>
      <c r="C6" t="s">
        <v>64</v>
      </c>
      <c r="E6" s="10" t="s">
        <v>65</v>
      </c>
      <c r="F6" s="152">
        <f>IMREAL(VLOOKUP($G$3,Data,4,FALSE))</f>
        <v>-9.8547183057240417</v>
      </c>
      <c r="G6" s="14" t="str">
        <f t="shared" si="3"/>
        <v>UBIII</v>
      </c>
      <c r="H6" s="12"/>
      <c r="K6" t="s">
        <v>56</v>
      </c>
      <c r="L6" s="150">
        <v>36102</v>
      </c>
      <c r="M6" s="93">
        <v>135.27000000000001</v>
      </c>
      <c r="N6" s="154">
        <v>43.374148761358811</v>
      </c>
      <c r="O6" s="153">
        <v>-16.35231834356091</v>
      </c>
      <c r="P6" s="154">
        <v>67.003866063780151</v>
      </c>
      <c r="Q6" s="153">
        <v>11.184371676790761</v>
      </c>
      <c r="R6" s="153">
        <v>6.6891116768238135</v>
      </c>
      <c r="S6" s="93">
        <v>0</v>
      </c>
      <c r="T6" s="93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2">
        <v>30722</v>
      </c>
      <c r="C7" t="s">
        <v>66</v>
      </c>
      <c r="E7" s="10" t="s">
        <v>67</v>
      </c>
      <c r="F7" s="152">
        <f>IMREAL(VLOOKUP($G$3,Data,5,FALSE))</f>
        <v>67.19327719428847</v>
      </c>
      <c r="G7" s="14" t="str">
        <f t="shared" si="3"/>
        <v>UBIII</v>
      </c>
      <c r="H7" s="12"/>
      <c r="K7" t="s">
        <v>56</v>
      </c>
      <c r="L7" s="150">
        <v>37142</v>
      </c>
      <c r="M7" s="153">
        <v>124.15653400852065</v>
      </c>
      <c r="N7" s="153">
        <v>46.005999473575088</v>
      </c>
      <c r="O7" s="153">
        <v>-17.319750828058801</v>
      </c>
      <c r="P7" s="153">
        <v>64.090992469401087</v>
      </c>
      <c r="Q7" s="153">
        <v>12.022750828099106</v>
      </c>
      <c r="R7" s="153">
        <v>7.47625082806357</v>
      </c>
      <c r="S7" s="93">
        <v>0</v>
      </c>
      <c r="T7" s="93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2">
        <v>32477</v>
      </c>
      <c r="B8" t="s">
        <v>68</v>
      </c>
      <c r="C8" t="s">
        <v>69</v>
      </c>
      <c r="E8" s="10" t="s">
        <v>70</v>
      </c>
      <c r="F8" s="152">
        <f>IMREAL(VLOOKUP($G$3,Data,6,FALSE))</f>
        <v>12.948503305687531</v>
      </c>
      <c r="G8" s="14" t="str">
        <f t="shared" si="3"/>
        <v>UBIII</v>
      </c>
      <c r="H8" s="12"/>
      <c r="K8" t="s">
        <v>56</v>
      </c>
      <c r="L8" s="150">
        <v>38008</v>
      </c>
      <c r="M8" s="153">
        <v>131.71484972722556</v>
      </c>
      <c r="N8" s="153">
        <v>47.52000000007861</v>
      </c>
      <c r="O8" s="153">
        <v>-16.235999999891781</v>
      </c>
      <c r="P8" s="153">
        <v>63.740000000089836</v>
      </c>
      <c r="Q8" s="153">
        <v>12.615999999798788</v>
      </c>
      <c r="R8" s="153">
        <v>7.5959999999986039</v>
      </c>
      <c r="S8" s="93">
        <v>0</v>
      </c>
      <c r="T8" s="93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2">
        <v>33309</v>
      </c>
      <c r="B9" t="s">
        <v>68</v>
      </c>
      <c r="C9" t="s">
        <v>69</v>
      </c>
      <c r="E9" s="10" t="s">
        <v>71</v>
      </c>
      <c r="F9" s="152">
        <f>IMREAL(VLOOKUP($G$3,Data,7,FALSE))</f>
        <v>7.496058305744846</v>
      </c>
      <c r="G9" s="14" t="str">
        <f t="shared" si="3"/>
        <v>UBIII</v>
      </c>
      <c r="H9" s="12"/>
      <c r="K9" t="s">
        <v>56</v>
      </c>
      <c r="L9" s="150">
        <v>38035</v>
      </c>
      <c r="M9" s="153">
        <v>123.9</v>
      </c>
      <c r="N9" s="153">
        <v>47.52000000007861</v>
      </c>
      <c r="O9" s="153">
        <v>-16.235999999891781</v>
      </c>
      <c r="P9" s="153">
        <v>63.740000000089836</v>
      </c>
      <c r="Q9" s="153">
        <v>12.615999999798788</v>
      </c>
      <c r="R9" s="153">
        <v>7.5959999999986039</v>
      </c>
      <c r="S9" s="93">
        <v>5.2</v>
      </c>
      <c r="T9" s="93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2">
        <v>33374</v>
      </c>
      <c r="B10" t="s">
        <v>68</v>
      </c>
      <c r="C10" t="s">
        <v>73</v>
      </c>
      <c r="E10" s="15"/>
      <c r="F10" s="16"/>
      <c r="G10" s="16"/>
      <c r="H10" s="12"/>
      <c r="K10" t="s">
        <v>56</v>
      </c>
      <c r="L10" s="150">
        <v>38401</v>
      </c>
      <c r="M10" s="155">
        <v>129.44934972722558</v>
      </c>
      <c r="N10" s="93">
        <v>46.540000000261372</v>
      </c>
      <c r="O10" s="93">
        <v>-16.960000000287856</v>
      </c>
      <c r="P10" s="93">
        <v>61.50000000015865</v>
      </c>
      <c r="Q10" s="93">
        <v>13.840000000375774</v>
      </c>
      <c r="R10" s="93">
        <v>9.0000000000367564</v>
      </c>
      <c r="S10" s="93">
        <v>5.7</v>
      </c>
      <c r="T10" s="93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2">
        <v>33407</v>
      </c>
      <c r="B11" t="s">
        <v>74</v>
      </c>
      <c r="C11" t="s">
        <v>75</v>
      </c>
      <c r="E11" s="15" t="s">
        <v>76</v>
      </c>
      <c r="F11" s="16"/>
      <c r="G11" s="16"/>
      <c r="H11" s="12" t="s">
        <v>212</v>
      </c>
      <c r="K11" t="s">
        <v>56</v>
      </c>
      <c r="L11" s="150">
        <v>40038</v>
      </c>
      <c r="M11" s="93">
        <v>130.29869400282834</v>
      </c>
      <c r="N11" s="93">
        <v>50.874703493297702</v>
      </c>
      <c r="O11" s="93">
        <v>-14.104296506833869</v>
      </c>
      <c r="P11" s="93">
        <v>64.524703493384905</v>
      </c>
      <c r="Q11" s="93">
        <v>12.507296506814036</v>
      </c>
      <c r="R11" s="93">
        <v>7.4752965067981236</v>
      </c>
      <c r="S11" s="93">
        <v>2</v>
      </c>
      <c r="T11" s="93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2">
        <v>34933</v>
      </c>
      <c r="B12" t="s">
        <v>68</v>
      </c>
      <c r="C12" t="s">
        <v>77</v>
      </c>
      <c r="E12" s="15" t="s">
        <v>78</v>
      </c>
      <c r="F12" s="4" t="s">
        <v>141</v>
      </c>
      <c r="G12" s="156">
        <f>IMREAL(VLOOKUP($G$3,Data,8,FALSE))</f>
        <v>10.97</v>
      </c>
      <c r="H12" s="12"/>
      <c r="K12" s="246" t="s">
        <v>56</v>
      </c>
      <c r="L12" s="150">
        <v>41827</v>
      </c>
      <c r="M12" s="93">
        <v>143.10000000006261</v>
      </c>
      <c r="N12" s="93">
        <v>54.126077194238675</v>
      </c>
      <c r="O12" s="93">
        <v>-9.8547183057240417</v>
      </c>
      <c r="P12" s="93">
        <v>67.19327719428847</v>
      </c>
      <c r="Q12" s="93">
        <v>12.948503305687531</v>
      </c>
      <c r="R12" s="93">
        <v>7.496058305744846</v>
      </c>
      <c r="S12" s="93">
        <v>10.97</v>
      </c>
      <c r="T12" s="93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2">
        <v>36102</v>
      </c>
      <c r="B13" t="s">
        <v>68</v>
      </c>
      <c r="C13" t="s">
        <v>133</v>
      </c>
      <c r="E13" s="15" t="s">
        <v>79</v>
      </c>
      <c r="F13" s="16"/>
      <c r="G13" s="16"/>
      <c r="H13" s="12" t="s">
        <v>213</v>
      </c>
      <c r="L13" s="93"/>
      <c r="M13" s="93"/>
      <c r="N13" s="93"/>
      <c r="O13" s="93"/>
      <c r="P13" s="93"/>
      <c r="Q13" s="93"/>
      <c r="R13" s="93"/>
      <c r="S13" s="93"/>
      <c r="T13" s="93"/>
    </row>
    <row r="14" spans="1:31">
      <c r="A14" s="2">
        <v>37142</v>
      </c>
      <c r="B14" t="s">
        <v>137</v>
      </c>
      <c r="C14" t="s">
        <v>138</v>
      </c>
      <c r="E14" s="15" t="s">
        <v>80</v>
      </c>
      <c r="F14" s="16"/>
      <c r="G14" s="16"/>
      <c r="H14" s="12"/>
      <c r="L14" s="93"/>
      <c r="M14" s="93"/>
      <c r="N14" s="93"/>
      <c r="O14" s="93"/>
      <c r="P14" s="93"/>
      <c r="Q14" s="93"/>
      <c r="R14" s="93"/>
      <c r="S14" s="93"/>
      <c r="T14" s="93"/>
    </row>
    <row r="15" spans="1:31">
      <c r="A15" s="2">
        <v>38008</v>
      </c>
      <c r="B15" t="s">
        <v>137</v>
      </c>
      <c r="C15" t="s">
        <v>139</v>
      </c>
      <c r="E15" s="15"/>
      <c r="F15" s="16"/>
      <c r="G15" s="16"/>
      <c r="H15" s="12"/>
      <c r="L15" s="93"/>
      <c r="M15" s="93"/>
      <c r="N15" s="93"/>
      <c r="O15" s="93"/>
      <c r="P15" s="93"/>
      <c r="Q15" s="93"/>
      <c r="R15" s="93"/>
      <c r="S15" s="93"/>
      <c r="T15" s="93"/>
    </row>
    <row r="16" spans="1:31">
      <c r="A16" s="2">
        <v>38035</v>
      </c>
      <c r="B16" t="s">
        <v>137</v>
      </c>
      <c r="C16" t="s">
        <v>140</v>
      </c>
      <c r="E16" s="15" t="s">
        <v>81</v>
      </c>
      <c r="F16" s="16"/>
      <c r="G16" s="16"/>
      <c r="H16" s="12"/>
    </row>
    <row r="17" spans="1:24">
      <c r="A17" s="2">
        <v>38401</v>
      </c>
      <c r="B17" t="s">
        <v>137</v>
      </c>
      <c r="C17" t="s">
        <v>177</v>
      </c>
      <c r="E17" s="15" t="s">
        <v>82</v>
      </c>
      <c r="F17" s="16"/>
      <c r="G17" s="16"/>
      <c r="H17" s="12"/>
    </row>
    <row r="18" spans="1:24" ht="13.5" thickBot="1">
      <c r="A18" s="165">
        <v>40038</v>
      </c>
      <c r="B18" s="166" t="s">
        <v>215</v>
      </c>
      <c r="C18" s="166" t="s">
        <v>216</v>
      </c>
      <c r="E18" s="17" t="s">
        <v>83</v>
      </c>
      <c r="F18" s="18"/>
      <c r="G18" s="18"/>
      <c r="H18" s="19"/>
      <c r="V18" t="s">
        <v>309</v>
      </c>
      <c r="W18" t="s">
        <v>310</v>
      </c>
      <c r="X18" t="s">
        <v>317</v>
      </c>
    </row>
    <row r="19" spans="1:24" ht="16.5" thickTop="1">
      <c r="A19" s="2">
        <v>41827</v>
      </c>
      <c r="B19" s="166" t="s">
        <v>215</v>
      </c>
      <c r="C19" s="166" t="s">
        <v>333</v>
      </c>
      <c r="N19" s="26" t="s">
        <v>72</v>
      </c>
      <c r="O19" s="157" t="s">
        <v>33</v>
      </c>
      <c r="P19" s="158" t="s">
        <v>169</v>
      </c>
      <c r="Q19" s="159" t="s">
        <v>214</v>
      </c>
      <c r="R19" s="160" t="s">
        <v>10</v>
      </c>
      <c r="S19" s="161" t="s">
        <v>11</v>
      </c>
      <c r="V19" t="s">
        <v>67</v>
      </c>
      <c r="W19" s="88">
        <f>(1/0.000000999985/1000000-1)*1000000</f>
        <v>15.000225003447554</v>
      </c>
      <c r="X19">
        <f>10000*0.0000000000000096/0.000001*1000</f>
        <v>9.6000000000000002E-2</v>
      </c>
    </row>
    <row r="20" spans="1:24">
      <c r="O20" s="162" t="s">
        <v>38</v>
      </c>
      <c r="P20" s="163">
        <v>1591.5</v>
      </c>
      <c r="Q20" s="163" t="str">
        <f t="shared" ref="Q20:Q42" si="4">O20&amp;P20</f>
        <v>3Y1591.5</v>
      </c>
      <c r="R20" s="117">
        <f>Results!D9</f>
        <v>0</v>
      </c>
      <c r="S20" s="164">
        <f>Results!E9</f>
        <v>-4</v>
      </c>
    </row>
    <row r="21" spans="1:24">
      <c r="O21" s="162" t="s">
        <v>95</v>
      </c>
      <c r="P21" s="163">
        <v>1591.5</v>
      </c>
      <c r="Q21" s="163" t="str">
        <f t="shared" si="4"/>
        <v>4Y1591.5</v>
      </c>
      <c r="R21" s="117">
        <f>Results!D11</f>
        <v>0</v>
      </c>
      <c r="S21" s="164">
        <f>Results!E11</f>
        <v>-3</v>
      </c>
      <c r="U21" s="166"/>
    </row>
    <row r="22" spans="1:24">
      <c r="O22" s="162" t="s">
        <v>42</v>
      </c>
      <c r="P22" s="163">
        <v>1591.5</v>
      </c>
      <c r="Q22" s="163" t="str">
        <f t="shared" si="4"/>
        <v>5Y1591.5</v>
      </c>
      <c r="R22" s="117">
        <f>Results!D13</f>
        <v>-1</v>
      </c>
      <c r="S22" s="164">
        <f>Results!E13</f>
        <v>3</v>
      </c>
    </row>
    <row r="23" spans="1:24">
      <c r="O23" s="162" t="s">
        <v>37</v>
      </c>
      <c r="P23" s="163">
        <v>1591.5</v>
      </c>
      <c r="Q23" s="163" t="str">
        <f t="shared" si="4"/>
        <v>6Y1591.5</v>
      </c>
      <c r="R23" s="117">
        <f>Results!D15</f>
        <v>0</v>
      </c>
      <c r="S23" s="164">
        <f>Results!E15</f>
        <v>23</v>
      </c>
    </row>
    <row r="24" spans="1:24">
      <c r="F24" s="20" t="s">
        <v>33</v>
      </c>
      <c r="G24" s="21" t="s">
        <v>84</v>
      </c>
      <c r="H24" s="21" t="s">
        <v>85</v>
      </c>
      <c r="O24" s="162" t="s">
        <v>44</v>
      </c>
      <c r="P24" s="163">
        <v>1591.5</v>
      </c>
      <c r="Q24" s="163" t="str">
        <f t="shared" si="4"/>
        <v>7Y1591.5</v>
      </c>
      <c r="R24" s="117">
        <f>Results!D19</f>
        <v>6</v>
      </c>
      <c r="S24" s="164">
        <f>Results!E19</f>
        <v>14</v>
      </c>
    </row>
    <row r="25" spans="1:24">
      <c r="F25" s="20"/>
      <c r="G25" s="20" t="s">
        <v>55</v>
      </c>
      <c r="H25" s="20" t="s">
        <v>55</v>
      </c>
      <c r="O25" s="162"/>
      <c r="P25" s="163"/>
      <c r="Q25" s="163" t="str">
        <f t="shared" si="4"/>
        <v/>
      </c>
      <c r="R25" s="117"/>
      <c r="S25" s="164"/>
    </row>
    <row r="26" spans="1:24">
      <c r="F26" s="3" t="s">
        <v>86</v>
      </c>
      <c r="G26" s="22">
        <f>R_4A-G_2+C_1+correction_c</f>
        <v>200.70001888855643</v>
      </c>
      <c r="H26" s="22">
        <f>R_4A-G_2+G_1+correction_c</f>
        <v>70.548522194181359</v>
      </c>
      <c r="O26" s="162"/>
      <c r="P26" s="163"/>
      <c r="Q26" s="163" t="str">
        <f t="shared" si="4"/>
        <v/>
      </c>
      <c r="R26" s="117"/>
      <c r="S26" s="164"/>
    </row>
    <row r="27" spans="1:24">
      <c r="F27" s="3" t="s">
        <v>87</v>
      </c>
      <c r="G27" s="22">
        <f>R_4A-G_2+C_1+correction_c</f>
        <v>200.70001888855643</v>
      </c>
      <c r="H27" s="22">
        <f>R_4A-G_2+G_1+correction_c</f>
        <v>70.548522194181359</v>
      </c>
      <c r="O27" s="162"/>
      <c r="P27" s="163"/>
      <c r="Q27" s="163" t="str">
        <f t="shared" si="4"/>
        <v/>
      </c>
      <c r="R27" s="117"/>
      <c r="S27" s="164"/>
    </row>
    <row r="28" spans="1:24">
      <c r="F28" s="3" t="s">
        <v>88</v>
      </c>
      <c r="G28" s="22">
        <f>R_4A-G_2+C_1+correction_c</f>
        <v>200.70001888855643</v>
      </c>
      <c r="H28" s="22">
        <f>R_4A-G_2+G_1+correction_c</f>
        <v>70.548522194181359</v>
      </c>
      <c r="O28" s="162"/>
      <c r="P28" s="163"/>
      <c r="Q28" s="163" t="str">
        <f t="shared" si="4"/>
        <v/>
      </c>
      <c r="R28" s="117"/>
      <c r="S28" s="164"/>
    </row>
    <row r="29" spans="1:24">
      <c r="F29" s="3" t="s">
        <v>89</v>
      </c>
      <c r="G29" s="22">
        <f>R_4A-G_2+C_1+correction_c</f>
        <v>200.70001888855643</v>
      </c>
      <c r="H29" s="22">
        <f>R_4A-G_2+G_1+correction_c</f>
        <v>70.548522194181359</v>
      </c>
      <c r="O29" s="162"/>
      <c r="P29" s="163"/>
      <c r="Q29" s="163" t="str">
        <f t="shared" si="4"/>
        <v/>
      </c>
      <c r="R29" s="117"/>
      <c r="S29" s="164"/>
    </row>
    <row r="30" spans="1:24">
      <c r="F30" s="3" t="s">
        <v>90</v>
      </c>
      <c r="G30" s="22">
        <f>R_4A-G_2+C_1+correction_c</f>
        <v>200.70001888855643</v>
      </c>
      <c r="H30" s="22">
        <f>R_4A-G_2+G_1+correction_c</f>
        <v>70.548522194181359</v>
      </c>
      <c r="O30" s="162"/>
      <c r="P30" s="163"/>
      <c r="Q30" s="163" t="str">
        <f t="shared" si="4"/>
        <v/>
      </c>
      <c r="R30" s="117"/>
      <c r="S30" s="164"/>
    </row>
    <row r="31" spans="1:24">
      <c r="F31" s="3" t="s">
        <v>91</v>
      </c>
      <c r="G31" s="22">
        <f>R_4B-G_2+C_1+correction_c</f>
        <v>136.71922338859372</v>
      </c>
      <c r="H31" s="22">
        <f>R_4B-G_2+G_1+correction_c</f>
        <v>6.5677266942186439</v>
      </c>
      <c r="O31" s="162"/>
      <c r="P31" s="163"/>
      <c r="Q31" s="163" t="str">
        <f t="shared" si="4"/>
        <v/>
      </c>
      <c r="R31" s="117"/>
      <c r="S31" s="164"/>
    </row>
    <row r="32" spans="1:24">
      <c r="F32" s="3" t="s">
        <v>92</v>
      </c>
      <c r="G32" s="22">
        <f>R_4C-G_2+C_1+correction_c</f>
        <v>213.76721888860624</v>
      </c>
      <c r="H32" s="22">
        <f>R_4C-G_2+G_1+correction_c</f>
        <v>83.615722194231154</v>
      </c>
      <c r="O32" s="162"/>
      <c r="P32" s="163"/>
      <c r="Q32" s="163" t="str">
        <f t="shared" si="4"/>
        <v/>
      </c>
      <c r="R32" s="117"/>
      <c r="S32" s="164"/>
    </row>
    <row r="33" spans="6:24">
      <c r="F33" s="3" t="s">
        <v>93</v>
      </c>
      <c r="G33" s="22">
        <f>-R_4A-G_2+C_1-correction_c</f>
        <v>70.50786450007908</v>
      </c>
      <c r="H33" s="22">
        <f>-R_4A-G_2+G_1-correction_c</f>
        <v>-59.643632194295989</v>
      </c>
      <c r="O33" s="162"/>
      <c r="P33" s="163"/>
      <c r="Q33" s="163" t="str">
        <f t="shared" si="4"/>
        <v/>
      </c>
      <c r="R33" s="117"/>
      <c r="S33" s="164"/>
    </row>
    <row r="34" spans="6:24">
      <c r="F34" s="3" t="s">
        <v>94</v>
      </c>
      <c r="G34" s="22">
        <f>-R_4A-G_2+C_1-correction_c</f>
        <v>70.50786450007908</v>
      </c>
      <c r="H34" s="22">
        <f>-R_4A-G_2+G_1-correction_c</f>
        <v>-59.643632194295989</v>
      </c>
      <c r="O34" s="162"/>
      <c r="P34" s="163"/>
      <c r="Q34" s="163" t="str">
        <f t="shared" si="4"/>
        <v/>
      </c>
      <c r="R34" s="117"/>
      <c r="S34" s="164"/>
    </row>
    <row r="35" spans="6:24">
      <c r="F35" s="3" t="s">
        <v>38</v>
      </c>
      <c r="G35" s="22">
        <f>-R_4A-G_2+C_1-correction_c</f>
        <v>70.50786450007908</v>
      </c>
      <c r="H35" s="22">
        <f>-R_4A-G_2+G_1-correction_c</f>
        <v>-59.643632194295989</v>
      </c>
      <c r="O35" s="162"/>
      <c r="P35" s="163"/>
      <c r="Q35" s="163" t="str">
        <f t="shared" si="4"/>
        <v/>
      </c>
      <c r="R35" s="117"/>
      <c r="S35" s="164"/>
    </row>
    <row r="36" spans="6:24">
      <c r="F36" s="3" t="s">
        <v>95</v>
      </c>
      <c r="G36" s="22">
        <f>-R_4A-G_2+C_1-correction_c</f>
        <v>70.50786450007908</v>
      </c>
      <c r="H36" s="22">
        <f>-R_4A-G_2+G_1-correction_c</f>
        <v>-59.643632194295989</v>
      </c>
      <c r="O36" s="162"/>
      <c r="P36" s="163"/>
      <c r="Q36" s="163" t="str">
        <f t="shared" si="4"/>
        <v/>
      </c>
      <c r="R36" s="117"/>
      <c r="S36" s="164"/>
    </row>
    <row r="37" spans="6:24">
      <c r="F37" s="3" t="s">
        <v>42</v>
      </c>
      <c r="G37" s="22">
        <f>-R_4A-G_2+C_1-correction_c</f>
        <v>70.50786450007908</v>
      </c>
      <c r="H37" s="22">
        <f>-R_4A-G_2+G_1-correction_c</f>
        <v>-59.643632194295989</v>
      </c>
      <c r="O37" s="162"/>
      <c r="P37" s="163"/>
      <c r="Q37" s="163" t="str">
        <f t="shared" si="4"/>
        <v/>
      </c>
      <c r="R37" s="117"/>
      <c r="S37" s="164"/>
    </row>
    <row r="38" spans="6:24">
      <c r="F38" s="3" t="s">
        <v>37</v>
      </c>
      <c r="G38" s="22">
        <f>-R_4B-G_2+C_1-correction_c</f>
        <v>134.48866000004179</v>
      </c>
      <c r="H38" s="22">
        <f>-R_4B-G_2+G_1-correction_c</f>
        <v>4.337163305666726</v>
      </c>
      <c r="O38" s="162"/>
      <c r="P38" s="163"/>
      <c r="Q38" s="163" t="str">
        <f t="shared" si="4"/>
        <v/>
      </c>
      <c r="R38" s="117"/>
      <c r="S38" s="164"/>
    </row>
    <row r="39" spans="6:24">
      <c r="F39" s="3" t="s">
        <v>44</v>
      </c>
      <c r="G39" s="22">
        <f>-R_4C-G_2+C_1-correction_c</f>
        <v>57.4406645000293</v>
      </c>
      <c r="H39" s="22">
        <f>-R_4C-G_2+G_1-correction_c</f>
        <v>-72.710832194345784</v>
      </c>
      <c r="O39" s="162"/>
      <c r="P39" s="163"/>
      <c r="Q39" s="163" t="str">
        <f t="shared" si="4"/>
        <v/>
      </c>
      <c r="R39" s="117"/>
      <c r="S39" s="164"/>
    </row>
    <row r="40" spans="6:24">
      <c r="F40" s="3"/>
      <c r="G40" s="22"/>
      <c r="H40" s="22"/>
      <c r="O40" s="167"/>
      <c r="P40" s="163"/>
      <c r="Q40" s="163" t="str">
        <f t="shared" si="4"/>
        <v/>
      </c>
      <c r="R40" s="168"/>
      <c r="S40" s="164"/>
      <c r="U40" t="s">
        <v>217</v>
      </c>
      <c r="W40" t="s">
        <v>218</v>
      </c>
    </row>
    <row r="41" spans="6:24">
      <c r="G41" s="3" t="s">
        <v>97</v>
      </c>
      <c r="H41" s="3" t="s">
        <v>98</v>
      </c>
      <c r="I41" t="s">
        <v>96</v>
      </c>
      <c r="J41" t="s">
        <v>99</v>
      </c>
      <c r="K41" s="3" t="s">
        <v>98</v>
      </c>
      <c r="L41" t="s">
        <v>96</v>
      </c>
      <c r="M41" t="s">
        <v>219</v>
      </c>
      <c r="N41" t="s">
        <v>220</v>
      </c>
      <c r="O41" s="167"/>
      <c r="P41" s="163"/>
      <c r="Q41" s="163" t="str">
        <f t="shared" si="4"/>
        <v/>
      </c>
      <c r="R41" s="168"/>
      <c r="S41" s="164"/>
      <c r="U41" s="3" t="s">
        <v>98</v>
      </c>
      <c r="V41" s="3" t="s">
        <v>98</v>
      </c>
      <c r="W41" t="s">
        <v>98</v>
      </c>
      <c r="X41" t="s">
        <v>98</v>
      </c>
    </row>
    <row r="42" spans="6:24" ht="16.5" thickBot="1">
      <c r="F42" s="3" t="s">
        <v>86</v>
      </c>
      <c r="G42" s="23">
        <v>1E-4</v>
      </c>
      <c r="H42" t="s">
        <v>221</v>
      </c>
      <c r="I42" s="23">
        <v>9.9999999999999995E-7</v>
      </c>
      <c r="J42" s="23">
        <v>1E-4</v>
      </c>
      <c r="K42" t="s">
        <v>222</v>
      </c>
      <c r="L42" s="23">
        <v>1E-3</v>
      </c>
      <c r="M42" s="23">
        <v>0.2</v>
      </c>
      <c r="N42" s="23">
        <v>2E-3</v>
      </c>
      <c r="O42" s="169"/>
      <c r="P42" s="170"/>
      <c r="Q42" s="170" t="str">
        <f t="shared" si="4"/>
        <v/>
      </c>
      <c r="R42" s="171"/>
      <c r="S42" s="172"/>
      <c r="U42" s="24" t="s">
        <v>223</v>
      </c>
      <c r="V42" s="25" t="s">
        <v>100</v>
      </c>
      <c r="W42" t="s">
        <v>221</v>
      </c>
      <c r="X42" t="s">
        <v>222</v>
      </c>
    </row>
    <row r="43" spans="6:24" ht="16.5" thickTop="1">
      <c r="F43" s="3" t="s">
        <v>87</v>
      </c>
      <c r="G43" s="23">
        <v>1E-3</v>
      </c>
      <c r="H43" t="s">
        <v>221</v>
      </c>
      <c r="I43" s="23">
        <v>9.9999999999999995E-7</v>
      </c>
      <c r="J43" s="23">
        <v>9.9999999999999995E-7</v>
      </c>
      <c r="K43" t="s">
        <v>102</v>
      </c>
      <c r="L43" s="23">
        <v>1</v>
      </c>
      <c r="M43" s="23">
        <v>2</v>
      </c>
      <c r="N43" s="23">
        <v>0.02</v>
      </c>
      <c r="U43" s="24" t="s">
        <v>223</v>
      </c>
      <c r="V43" s="24" t="s">
        <v>101</v>
      </c>
      <c r="W43" t="s">
        <v>221</v>
      </c>
      <c r="X43" t="s">
        <v>102</v>
      </c>
    </row>
    <row r="44" spans="6:24" ht="15.75">
      <c r="F44" s="3" t="s">
        <v>88</v>
      </c>
      <c r="G44" s="23">
        <v>1.0000000000000001E-5</v>
      </c>
      <c r="H44" t="s">
        <v>224</v>
      </c>
      <c r="I44" s="23">
        <v>1E-3</v>
      </c>
      <c r="J44" s="23">
        <v>1.0000000000000001E-5</v>
      </c>
      <c r="K44" t="s">
        <v>102</v>
      </c>
      <c r="L44" s="23">
        <v>1</v>
      </c>
      <c r="M44" s="23">
        <v>20</v>
      </c>
      <c r="N44" s="23">
        <v>0.2</v>
      </c>
      <c r="U44" s="25" t="s">
        <v>225</v>
      </c>
      <c r="V44" s="24" t="s">
        <v>101</v>
      </c>
      <c r="W44" t="s">
        <v>224</v>
      </c>
      <c r="X44" t="s">
        <v>102</v>
      </c>
    </row>
    <row r="45" spans="6:24" ht="15.75">
      <c r="F45" s="3" t="s">
        <v>89</v>
      </c>
      <c r="G45" s="23">
        <v>1E-4</v>
      </c>
      <c r="H45" t="s">
        <v>224</v>
      </c>
      <c r="I45" s="23">
        <v>1E-3</v>
      </c>
      <c r="J45" s="23">
        <v>1E-4</v>
      </c>
      <c r="K45" t="s">
        <v>102</v>
      </c>
      <c r="L45" s="23">
        <v>1</v>
      </c>
      <c r="M45" s="23">
        <v>200</v>
      </c>
      <c r="N45" s="173">
        <v>2</v>
      </c>
      <c r="U45" s="25" t="s">
        <v>225</v>
      </c>
      <c r="V45" s="25" t="s">
        <v>102</v>
      </c>
      <c r="W45" t="s">
        <v>224</v>
      </c>
      <c r="X45" t="s">
        <v>102</v>
      </c>
    </row>
    <row r="46" spans="6:24" ht="15.75">
      <c r="F46" s="3" t="s">
        <v>90</v>
      </c>
      <c r="G46" s="23">
        <v>1E-3</v>
      </c>
      <c r="H46" t="s">
        <v>224</v>
      </c>
      <c r="I46" s="23">
        <v>1E-3</v>
      </c>
      <c r="J46" s="23">
        <v>1E-3</v>
      </c>
      <c r="K46" t="s">
        <v>102</v>
      </c>
      <c r="L46" s="23">
        <v>1</v>
      </c>
      <c r="M46" s="23">
        <v>2000</v>
      </c>
      <c r="N46" s="173">
        <v>20</v>
      </c>
      <c r="U46" s="25" t="s">
        <v>225</v>
      </c>
      <c r="V46" s="25" t="s">
        <v>102</v>
      </c>
      <c r="W46" t="s">
        <v>224</v>
      </c>
      <c r="X46" t="s">
        <v>102</v>
      </c>
    </row>
    <row r="47" spans="6:24" ht="15.75">
      <c r="F47" s="3" t="s">
        <v>91</v>
      </c>
      <c r="G47" s="23">
        <v>1.0000000000000001E-5</v>
      </c>
      <c r="H47" t="s">
        <v>103</v>
      </c>
      <c r="I47" s="23">
        <v>1</v>
      </c>
      <c r="J47" s="23">
        <v>1.0000000000000001E-5</v>
      </c>
      <c r="K47" t="s">
        <v>226</v>
      </c>
      <c r="L47" s="174">
        <v>1000</v>
      </c>
      <c r="M47" s="23">
        <v>20000</v>
      </c>
      <c r="N47" s="173">
        <v>200</v>
      </c>
      <c r="U47" s="25" t="s">
        <v>103</v>
      </c>
      <c r="V47" s="25" t="s">
        <v>104</v>
      </c>
      <c r="W47" t="s">
        <v>103</v>
      </c>
      <c r="X47" t="s">
        <v>226</v>
      </c>
    </row>
    <row r="48" spans="6:24" ht="15.75">
      <c r="F48" s="3" t="s">
        <v>92</v>
      </c>
      <c r="G48" s="23">
        <v>1E-4</v>
      </c>
      <c r="H48" t="s">
        <v>103</v>
      </c>
      <c r="I48" s="23">
        <v>1</v>
      </c>
      <c r="J48" s="23">
        <v>1E-4</v>
      </c>
      <c r="K48" t="s">
        <v>226</v>
      </c>
      <c r="L48" s="174">
        <v>1000</v>
      </c>
      <c r="M48" s="23">
        <v>200000</v>
      </c>
      <c r="N48" s="173">
        <v>2000</v>
      </c>
      <c r="U48" s="25" t="s">
        <v>103</v>
      </c>
      <c r="V48" s="25" t="s">
        <v>104</v>
      </c>
      <c r="W48" t="s">
        <v>103</v>
      </c>
      <c r="X48" t="s">
        <v>226</v>
      </c>
    </row>
    <row r="49" spans="6:24" ht="15.75">
      <c r="F49" s="3" t="s">
        <v>93</v>
      </c>
      <c r="G49" s="23">
        <v>1E-4</v>
      </c>
      <c r="H49" t="s">
        <v>227</v>
      </c>
      <c r="I49" s="23">
        <v>9.9999999999999995E-7</v>
      </c>
      <c r="J49" s="23">
        <v>1E-4</v>
      </c>
      <c r="K49" t="s">
        <v>228</v>
      </c>
      <c r="L49" s="23">
        <v>1E-3</v>
      </c>
      <c r="U49" s="24" t="s">
        <v>229</v>
      </c>
      <c r="V49" s="25" t="s">
        <v>105</v>
      </c>
      <c r="W49" t="s">
        <v>227</v>
      </c>
      <c r="X49" t="s">
        <v>228</v>
      </c>
    </row>
    <row r="50" spans="6:24" ht="15.75">
      <c r="F50" s="3" t="s">
        <v>94</v>
      </c>
      <c r="G50" s="23">
        <v>1.0000000000000001E-5</v>
      </c>
      <c r="H50" t="s">
        <v>227</v>
      </c>
      <c r="I50" s="23">
        <v>9.9999999999999995E-7</v>
      </c>
      <c r="J50" s="23">
        <v>1.0000000000000001E-5</v>
      </c>
      <c r="K50" t="s">
        <v>228</v>
      </c>
      <c r="L50" s="23">
        <v>1E-3</v>
      </c>
      <c r="U50" s="24" t="s">
        <v>229</v>
      </c>
      <c r="V50" s="25" t="s">
        <v>105</v>
      </c>
      <c r="W50" t="s">
        <v>227</v>
      </c>
      <c r="X50" t="s">
        <v>228</v>
      </c>
    </row>
    <row r="51" spans="6:24" ht="15.75">
      <c r="F51" s="3" t="s">
        <v>38</v>
      </c>
      <c r="G51" s="23">
        <v>9.9999999999999995E-7</v>
      </c>
      <c r="H51" t="s">
        <v>227</v>
      </c>
      <c r="I51" s="23">
        <v>9.9999999999999995E-7</v>
      </c>
      <c r="J51" s="23">
        <v>9.9999999999999995E-7</v>
      </c>
      <c r="K51" t="s">
        <v>228</v>
      </c>
      <c r="L51" s="23">
        <v>1E-3</v>
      </c>
      <c r="U51" s="24" t="s">
        <v>229</v>
      </c>
      <c r="V51" s="25" t="s">
        <v>105</v>
      </c>
      <c r="W51" t="s">
        <v>227</v>
      </c>
      <c r="X51" t="s">
        <v>228</v>
      </c>
    </row>
    <row r="52" spans="6:24" ht="15.75">
      <c r="F52" s="3" t="s">
        <v>95</v>
      </c>
      <c r="G52" s="23">
        <v>1E-4</v>
      </c>
      <c r="H52" t="s">
        <v>106</v>
      </c>
      <c r="I52" s="23">
        <v>1.0000000000000001E-9</v>
      </c>
      <c r="J52" s="23">
        <v>1E-4</v>
      </c>
      <c r="K52" t="s">
        <v>230</v>
      </c>
      <c r="L52" s="23">
        <v>9.9999999999999995E-7</v>
      </c>
      <c r="U52" s="25" t="s">
        <v>106</v>
      </c>
      <c r="V52" s="24" t="s">
        <v>231</v>
      </c>
      <c r="W52" t="s">
        <v>106</v>
      </c>
      <c r="X52" t="s">
        <v>230</v>
      </c>
    </row>
    <row r="53" spans="6:24" ht="15.75">
      <c r="F53" s="3" t="s">
        <v>42</v>
      </c>
      <c r="G53" s="23">
        <v>1.0000000000000001E-5</v>
      </c>
      <c r="H53" t="s">
        <v>106</v>
      </c>
      <c r="I53" s="23">
        <v>1.0000000000000001E-9</v>
      </c>
      <c r="J53" s="23">
        <v>1.0000000000000001E-5</v>
      </c>
      <c r="K53" t="s">
        <v>230</v>
      </c>
      <c r="L53" s="23">
        <v>9.9999999999999995E-7</v>
      </c>
      <c r="U53" s="25" t="s">
        <v>106</v>
      </c>
      <c r="V53" s="24" t="s">
        <v>231</v>
      </c>
      <c r="W53" t="s">
        <v>106</v>
      </c>
      <c r="X53" t="s">
        <v>230</v>
      </c>
    </row>
    <row r="54" spans="6:24" ht="15.75">
      <c r="F54" s="3" t="s">
        <v>37</v>
      </c>
      <c r="G54" s="23">
        <v>1E-3</v>
      </c>
      <c r="H54" t="s">
        <v>107</v>
      </c>
      <c r="I54" s="23">
        <v>9.9999999999999998E-13</v>
      </c>
      <c r="J54" s="23">
        <v>1E-3</v>
      </c>
      <c r="K54" t="s">
        <v>1</v>
      </c>
      <c r="L54" s="23">
        <v>1.0000000000000001E-9</v>
      </c>
      <c r="U54" s="25" t="s">
        <v>107</v>
      </c>
      <c r="V54" s="25" t="s">
        <v>1</v>
      </c>
      <c r="W54" t="s">
        <v>107</v>
      </c>
      <c r="X54" t="s">
        <v>1</v>
      </c>
    </row>
    <row r="55" spans="6:24" ht="15.75">
      <c r="F55" s="3" t="s">
        <v>44</v>
      </c>
      <c r="G55" s="23">
        <v>1E-4</v>
      </c>
      <c r="H55" t="s">
        <v>107</v>
      </c>
      <c r="I55" s="23">
        <v>9.9999999999999998E-13</v>
      </c>
      <c r="J55" s="23">
        <v>1E-4</v>
      </c>
      <c r="K55" t="s">
        <v>1</v>
      </c>
      <c r="L55" s="23">
        <v>1.0000000000000001E-9</v>
      </c>
      <c r="U55" s="25" t="s">
        <v>107</v>
      </c>
      <c r="V55" s="25" t="s">
        <v>1</v>
      </c>
      <c r="W55" t="s">
        <v>107</v>
      </c>
      <c r="X55" t="s">
        <v>1</v>
      </c>
    </row>
    <row r="56" spans="6:24" ht="15.75">
      <c r="G56" s="23"/>
      <c r="H56" s="25"/>
      <c r="I56" s="23"/>
      <c r="J56" s="23"/>
      <c r="K56" s="24"/>
      <c r="L56" s="23"/>
    </row>
  </sheetData>
  <phoneticPr fontId="0" type="noConversion"/>
  <pageMargins left="0.75" right="0.75" top="1" bottom="1" header="0.5" footer="0.5"/>
  <pageSetup paperSize="9" scale="95" orientation="portrait" r:id="rId1"/>
  <headerFooter alignWithMargins="0">
    <oddHeader>&amp;A</oddHeader>
    <oddFooter>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X80"/>
  <sheetViews>
    <sheetView topLeftCell="O1" workbookViewId="0">
      <selection activeCell="W5" sqref="W5:W7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7" t="s">
        <v>6</v>
      </c>
      <c r="F1" s="28" t="s">
        <v>7</v>
      </c>
      <c r="S1" t="s">
        <v>252</v>
      </c>
      <c r="AB1" s="13" t="s">
        <v>253</v>
      </c>
      <c r="AQ1" s="13" t="s">
        <v>254</v>
      </c>
      <c r="AR1" s="13"/>
      <c r="AU1" s="13" t="s">
        <v>255</v>
      </c>
      <c r="AV1" s="13"/>
    </row>
    <row r="2" spans="1:50">
      <c r="A2" s="29" t="s">
        <v>8</v>
      </c>
      <c r="F2" s="29" t="s">
        <v>9</v>
      </c>
      <c r="AB2" t="s">
        <v>256</v>
      </c>
      <c r="AP2" s="175"/>
      <c r="AQ2" s="29" t="s">
        <v>326</v>
      </c>
      <c r="AS2" s="29" t="s">
        <v>325</v>
      </c>
    </row>
    <row r="3" spans="1:50">
      <c r="A3" s="30" t="s">
        <v>257</v>
      </c>
      <c r="C3" s="31"/>
      <c r="F3" s="29" t="s">
        <v>10</v>
      </c>
      <c r="G3">
        <v>1.96</v>
      </c>
      <c r="L3" t="s">
        <v>108</v>
      </c>
      <c r="S3" s="3" t="s">
        <v>16</v>
      </c>
      <c r="T3" t="s">
        <v>258</v>
      </c>
      <c r="U3" t="s">
        <v>259</v>
      </c>
      <c r="V3" t="s">
        <v>260</v>
      </c>
      <c r="W3" t="s">
        <v>261</v>
      </c>
      <c r="X3" t="s">
        <v>262</v>
      </c>
      <c r="Y3" t="s">
        <v>263</v>
      </c>
      <c r="AB3" s="3" t="s">
        <v>16</v>
      </c>
      <c r="AC3" s="3" t="s">
        <v>264</v>
      </c>
      <c r="AD3" s="3" t="s">
        <v>17</v>
      </c>
      <c r="AE3" s="3" t="s">
        <v>307</v>
      </c>
      <c r="AF3" s="3" t="s">
        <v>17</v>
      </c>
      <c r="AG3" s="3" t="s">
        <v>308</v>
      </c>
      <c r="AH3" s="3" t="s">
        <v>33</v>
      </c>
      <c r="AI3" s="3" t="s">
        <v>265</v>
      </c>
      <c r="AJ3" s="3" t="s">
        <v>266</v>
      </c>
      <c r="AK3" s="3" t="s">
        <v>267</v>
      </c>
      <c r="AL3" s="3" t="s">
        <v>268</v>
      </c>
      <c r="AM3" s="3" t="s">
        <v>266</v>
      </c>
      <c r="AN3" s="3" t="s">
        <v>269</v>
      </c>
      <c r="AO3" s="3" t="s">
        <v>270</v>
      </c>
      <c r="AP3" s="176"/>
      <c r="AQ3" s="29" t="s">
        <v>107</v>
      </c>
      <c r="AR3" s="3" t="s">
        <v>271</v>
      </c>
      <c r="AS3" s="29"/>
      <c r="AT3" s="3" t="s">
        <v>271</v>
      </c>
      <c r="AU3" t="s">
        <v>0</v>
      </c>
      <c r="AW3" t="s">
        <v>204</v>
      </c>
    </row>
    <row r="4" spans="1:50">
      <c r="F4" s="29" t="s">
        <v>11</v>
      </c>
      <c r="G4">
        <v>2.3719999999999999</v>
      </c>
      <c r="L4" t="s">
        <v>110</v>
      </c>
      <c r="S4" s="89"/>
      <c r="AB4" s="89"/>
      <c r="AC4" s="177">
        <f>F80</f>
        <v>4.2890875344783289E-5</v>
      </c>
      <c r="AD4" s="178">
        <f>F78</f>
        <v>2.2947813825905605</v>
      </c>
      <c r="AE4" s="177">
        <f>F66</f>
        <v>3.4529157039965488E-4</v>
      </c>
      <c r="AF4" s="178">
        <f>F64</f>
        <v>2.1500453529048937</v>
      </c>
      <c r="AG4" s="261" t="s">
        <v>317</v>
      </c>
    </row>
    <row r="5" spans="1:50">
      <c r="A5" s="29" t="s">
        <v>12</v>
      </c>
      <c r="B5" s="34"/>
      <c r="F5" s="29" t="s">
        <v>13</v>
      </c>
      <c r="G5">
        <v>1.2737000000000001</v>
      </c>
      <c r="S5" s="89" t="s">
        <v>237</v>
      </c>
      <c r="T5">
        <v>0</v>
      </c>
      <c r="U5">
        <v>0</v>
      </c>
      <c r="V5">
        <f>AVERAGE(-20,35)</f>
        <v>7.5</v>
      </c>
      <c r="W5">
        <f>(35+20)/2</f>
        <v>27.5</v>
      </c>
      <c r="X5">
        <v>0</v>
      </c>
      <c r="Y5">
        <v>0</v>
      </c>
      <c r="AB5" s="89" t="s">
        <v>237</v>
      </c>
      <c r="AC5" s="177">
        <f t="dataTable" ref="AC5:AF18" dt2D="0" dtr="0" r1="B9"/>
        <v>4.2889463255012688E-5</v>
      </c>
      <c r="AD5" s="178">
        <v>2.29478101323987</v>
      </c>
      <c r="AE5" s="177">
        <v>3.4528022889137835E-4</v>
      </c>
      <c r="AF5" s="178">
        <v>2.1500451472830382</v>
      </c>
      <c r="AG5" s="262">
        <f t="shared" ref="AG5:AG18" si="0">AE5*AM5/(2*PI()*AO5*AI5*AJ5)*1000</f>
        <v>3.4533533078245963E-2</v>
      </c>
      <c r="AH5" t="str">
        <f t="shared" ref="AH5:AH36" si="1">VLOOKUP(AB5, Results,2,FALSE)</f>
        <v>3Y</v>
      </c>
      <c r="AI5">
        <f>VLOOKUP(AB5,Results,5,FALSE)</f>
        <v>0.99987149383343499</v>
      </c>
      <c r="AJ5" s="179">
        <f t="shared" ref="AJ5:AJ36" si="2">VLOOKUP(AH5,multiplier,4,FALSE)</f>
        <v>9.9999999999999995E-7</v>
      </c>
      <c r="AK5" s="179">
        <f t="shared" ref="AK5:AK36" si="3">VLOOKUP(AH5,multiplier,8,FALSE)</f>
        <v>0</v>
      </c>
      <c r="AL5">
        <f>VLOOKUP(AB5,Results,7,FALSE)</f>
        <v>1.6998986058252695E-3</v>
      </c>
      <c r="AM5" s="179">
        <f t="shared" ref="AM5:AM36" si="4">VLOOKUP(AH5,multiplier,7,FALSE)</f>
        <v>1E-3</v>
      </c>
      <c r="AN5" s="179">
        <f t="shared" ref="AN5:AN36" si="5">VLOOKUP(AH5,multiplier,9,FALSE)</f>
        <v>0</v>
      </c>
      <c r="AO5">
        <f t="shared" ref="AO5:AO36" si="6">VLOOKUP(AB5,Results,9,FALSE)</f>
        <v>1591.5</v>
      </c>
      <c r="AQ5" s="179">
        <f>0.2/AO5+22*AI5*AJ5*1000000</f>
        <v>21.997298531944743</v>
      </c>
      <c r="AR5" s="83">
        <f>AQ5*0.000000000001/(AC5*AJ5)</f>
        <v>0.51288351176495117</v>
      </c>
      <c r="AS5" s="222">
        <f>0.000027+0.00027/(AI5*AJ5*1000000000000)</f>
        <v>2.7000270034701125E-5</v>
      </c>
      <c r="AT5" s="87">
        <f>AS5*1000/AG5</f>
        <v>0.78185657903939343</v>
      </c>
      <c r="AU5" s="180">
        <f>AQ5</f>
        <v>21.997298531944743</v>
      </c>
      <c r="AV5" s="83">
        <f>AU5*0.000000000001/(AC5*AJ5)</f>
        <v>0.51288351176495117</v>
      </c>
      <c r="AW5" s="180">
        <f>0.00003*1000</f>
        <v>3.0000000000000002E-2</v>
      </c>
      <c r="AX5" s="87">
        <f>AW5/AG5</f>
        <v>0.86872084394105009</v>
      </c>
    </row>
    <row r="6" spans="1:50">
      <c r="A6" s="29" t="s">
        <v>14</v>
      </c>
      <c r="B6" s="34"/>
      <c r="F6" s="29" t="s">
        <v>15</v>
      </c>
      <c r="G6">
        <v>7.0961999999999996</v>
      </c>
      <c r="S6" s="89" t="s">
        <v>238</v>
      </c>
      <c r="T6">
        <v>0</v>
      </c>
      <c r="U6">
        <v>0</v>
      </c>
      <c r="V6">
        <f>AVERAGE(-20,35)</f>
        <v>7.5</v>
      </c>
      <c r="W6">
        <f>(35+20)/2</f>
        <v>27.5</v>
      </c>
      <c r="X6">
        <v>0</v>
      </c>
      <c r="Y6">
        <v>0</v>
      </c>
      <c r="AB6" s="89" t="s">
        <v>238</v>
      </c>
      <c r="AC6" s="177">
        <v>4.2894897514207274E-3</v>
      </c>
      <c r="AD6" s="178">
        <v>2.2947824504553562</v>
      </c>
      <c r="AE6" s="177">
        <v>3.453238562865802E-2</v>
      </c>
      <c r="AF6" s="178">
        <v>2.1500460152872138</v>
      </c>
      <c r="AG6" s="262">
        <f t="shared" si="0"/>
        <v>3.4533509885303758E-2</v>
      </c>
      <c r="AH6" t="str">
        <f t="shared" si="1"/>
        <v>4Y</v>
      </c>
      <c r="AI6">
        <f t="shared" ref="AI6:AI59" si="7">VLOOKUP(AB6,Results,5,FALSE)</f>
        <v>99.999850278793389</v>
      </c>
      <c r="AJ6" s="179">
        <f t="shared" si="2"/>
        <v>1.0000000000000001E-9</v>
      </c>
      <c r="AK6" s="179">
        <f t="shared" si="3"/>
        <v>0</v>
      </c>
      <c r="AL6">
        <f t="shared" ref="AL6:AL59" si="8">VLOOKUP(AB6,Results,7,FALSE)</f>
        <v>3.9697632147801885E-2</v>
      </c>
      <c r="AM6" s="179">
        <f t="shared" si="4"/>
        <v>9.9999999999999995E-7</v>
      </c>
      <c r="AN6" s="179">
        <f t="shared" si="5"/>
        <v>0</v>
      </c>
      <c r="AO6">
        <f t="shared" si="6"/>
        <v>1591.5</v>
      </c>
      <c r="AQ6" s="179">
        <f t="shared" ref="AQ6:AQ11" si="9">0.2/AO6+22*AI6*AJ6*1000000</f>
        <v>2.2001223737426288</v>
      </c>
      <c r="AR6" s="83">
        <f t="shared" ref="AR6:AR11" si="10">AQ6*0.000000000001/(AC6*AJ6)</f>
        <v>0.51291004320826816</v>
      </c>
      <c r="AS6" s="222">
        <f t="shared" ref="AS6:AS11" si="11">0.000027+0.00027/(AI6*AJ6*1000000000000)</f>
        <v>2.7002700004042476E-5</v>
      </c>
      <c r="AT6" s="87">
        <f t="shared" ref="AT6:AT11" si="12">AS6*1000/AG6</f>
        <v>0.78192746968746063</v>
      </c>
      <c r="AU6" s="180">
        <f t="shared" ref="AU6:AU11" si="13">AQ6</f>
        <v>2.2001223737426288</v>
      </c>
      <c r="AV6" s="83">
        <f t="shared" ref="AV6:AV11" si="14">AU6*0.000000000001/(AC6*AJ6)</f>
        <v>0.51291004320826816</v>
      </c>
      <c r="AW6" s="180">
        <f t="shared" ref="AW6:AW11" si="15">0.00003*1000</f>
        <v>3.0000000000000002E-2</v>
      </c>
      <c r="AX6" s="87">
        <f t="shared" ref="AX6:AX11" si="16">AW6/AG6</f>
        <v>0.86872142737992997</v>
      </c>
    </row>
    <row r="7" spans="1:50">
      <c r="A7" s="29" t="s">
        <v>18</v>
      </c>
      <c r="B7" s="34"/>
      <c r="O7" s="3"/>
      <c r="P7" s="3"/>
      <c r="Q7" s="3"/>
      <c r="R7" s="3"/>
      <c r="S7" s="89" t="s">
        <v>239</v>
      </c>
      <c r="T7">
        <v>0</v>
      </c>
      <c r="U7">
        <v>0</v>
      </c>
      <c r="V7">
        <f>AVERAGE(-20,35)</f>
        <v>7.5</v>
      </c>
      <c r="W7">
        <f>(35+20)/2</f>
        <v>27.5</v>
      </c>
      <c r="X7">
        <v>0</v>
      </c>
      <c r="Y7">
        <v>0</v>
      </c>
      <c r="Z7" s="3"/>
      <c r="AA7" s="3"/>
      <c r="AB7" s="89" t="s">
        <v>239</v>
      </c>
      <c r="AC7" s="177">
        <v>4.2897379371845785E-4</v>
      </c>
      <c r="AD7" s="178">
        <v>2.2947830991429141</v>
      </c>
      <c r="AE7" s="177">
        <v>3.4534379012508601E-3</v>
      </c>
      <c r="AF7" s="178">
        <v>2.150046375526939</v>
      </c>
      <c r="AG7" s="262">
        <f t="shared" si="0"/>
        <v>3.4533465712866321E-2</v>
      </c>
      <c r="AH7" t="str">
        <f t="shared" si="1"/>
        <v>5Y</v>
      </c>
      <c r="AI7">
        <f t="shared" si="7"/>
        <v>10.000575069478979</v>
      </c>
      <c r="AJ7" s="179">
        <f t="shared" si="2"/>
        <v>1.0000000000000001E-9</v>
      </c>
      <c r="AK7" s="179">
        <f t="shared" si="3"/>
        <v>0</v>
      </c>
      <c r="AL7">
        <f t="shared" si="8"/>
        <v>4.9297059568932829E-3</v>
      </c>
      <c r="AM7" s="179">
        <f t="shared" si="4"/>
        <v>9.9999999999999995E-7</v>
      </c>
      <c r="AN7" s="179">
        <f t="shared" si="5"/>
        <v>0</v>
      </c>
      <c r="AO7">
        <f t="shared" si="6"/>
        <v>1591.5</v>
      </c>
      <c r="AQ7" s="179">
        <f t="shared" si="9"/>
        <v>0.22013831913771129</v>
      </c>
      <c r="AR7" s="83">
        <f t="shared" si="10"/>
        <v>0.5131742832807904</v>
      </c>
      <c r="AS7" s="222">
        <f t="shared" si="11"/>
        <v>2.702699844740169E-5</v>
      </c>
      <c r="AT7" s="87">
        <f t="shared" si="12"/>
        <v>0.78263209004626755</v>
      </c>
      <c r="AU7" s="180">
        <f t="shared" si="13"/>
        <v>0.22013831913771129</v>
      </c>
      <c r="AV7" s="83">
        <f t="shared" si="14"/>
        <v>0.5131742832807904</v>
      </c>
      <c r="AW7" s="180">
        <f t="shared" si="15"/>
        <v>3.0000000000000002E-2</v>
      </c>
      <c r="AX7" s="87">
        <f t="shared" si="16"/>
        <v>0.86872253857865012</v>
      </c>
    </row>
    <row r="8" spans="1:50">
      <c r="A8" s="29" t="s">
        <v>19</v>
      </c>
      <c r="B8" s="34"/>
      <c r="O8" s="3"/>
      <c r="P8" s="35"/>
      <c r="Q8" s="36"/>
      <c r="R8" s="37"/>
      <c r="S8" s="89" t="s">
        <v>242</v>
      </c>
      <c r="T8">
        <v>0</v>
      </c>
      <c r="U8">
        <v>0</v>
      </c>
      <c r="V8">
        <v>30</v>
      </c>
      <c r="W8">
        <f>0.3*V8</f>
        <v>9</v>
      </c>
      <c r="X8">
        <v>0</v>
      </c>
      <c r="Y8">
        <v>0</v>
      </c>
      <c r="Z8" s="37"/>
      <c r="AA8" s="36"/>
      <c r="AB8" s="89" t="s">
        <v>242</v>
      </c>
      <c r="AC8" s="177">
        <v>5.0847041452844258E-2</v>
      </c>
      <c r="AD8" s="178">
        <v>2.1617190787570473</v>
      </c>
      <c r="AE8" s="177">
        <v>0.34523175046254656</v>
      </c>
      <c r="AF8" s="178">
        <v>2.1500443416506778</v>
      </c>
      <c r="AG8" s="262">
        <f t="shared" si="0"/>
        <v>3.4531345474904045E-2</v>
      </c>
      <c r="AH8" t="str">
        <f t="shared" si="1"/>
        <v>6Y</v>
      </c>
      <c r="AI8">
        <f t="shared" si="7"/>
        <v>999.79444293385575</v>
      </c>
      <c r="AJ8" s="179">
        <f t="shared" si="2"/>
        <v>9.9999999999999998E-13</v>
      </c>
      <c r="AK8" s="179">
        <f t="shared" si="3"/>
        <v>0</v>
      </c>
      <c r="AL8">
        <f t="shared" si="8"/>
        <v>-0.22800098887323367</v>
      </c>
      <c r="AM8" s="179">
        <f t="shared" si="4"/>
        <v>1.0000000000000001E-9</v>
      </c>
      <c r="AN8" s="179">
        <f t="shared" si="5"/>
        <v>0</v>
      </c>
      <c r="AO8">
        <f t="shared" si="6"/>
        <v>1591.5</v>
      </c>
      <c r="AQ8" s="179">
        <f t="shared" si="9"/>
        <v>2.212114535371856E-2</v>
      </c>
      <c r="AR8" s="83">
        <f t="shared" si="10"/>
        <v>0.43505275275915112</v>
      </c>
      <c r="AS8" s="222">
        <f t="shared" si="11"/>
        <v>2.7270055511818705E-5</v>
      </c>
      <c r="AT8" s="87">
        <f t="shared" si="12"/>
        <v>0.78971888111447763</v>
      </c>
      <c r="AU8" s="180">
        <f t="shared" si="13"/>
        <v>2.212114535371856E-2</v>
      </c>
      <c r="AV8" s="83">
        <f t="shared" si="14"/>
        <v>0.43505275275915112</v>
      </c>
      <c r="AW8" s="180">
        <f t="shared" si="15"/>
        <v>3.0000000000000002E-2</v>
      </c>
      <c r="AX8" s="87">
        <f t="shared" si="16"/>
        <v>0.86877587847837445</v>
      </c>
    </row>
    <row r="9" spans="1:50">
      <c r="A9" s="38" t="s">
        <v>272</v>
      </c>
      <c r="B9" s="39" t="s">
        <v>376</v>
      </c>
      <c r="O9" s="3"/>
      <c r="P9" s="32"/>
      <c r="Q9" s="33"/>
      <c r="R9" s="32"/>
      <c r="S9" s="89" t="s">
        <v>336</v>
      </c>
      <c r="T9">
        <v>0</v>
      </c>
      <c r="U9">
        <v>0</v>
      </c>
      <c r="V9">
        <v>30</v>
      </c>
      <c r="W9">
        <f>0.3*V9</f>
        <v>9</v>
      </c>
      <c r="X9">
        <v>0</v>
      </c>
      <c r="Y9">
        <v>0</v>
      </c>
      <c r="Z9" s="32"/>
      <c r="AA9" s="33"/>
      <c r="AB9" s="89" t="s">
        <v>336</v>
      </c>
      <c r="AC9" s="177">
        <v>5.0857439775214754E-3</v>
      </c>
      <c r="AD9" s="178">
        <v>2.1617198857142985</v>
      </c>
      <c r="AE9" s="177">
        <v>3.4530224960962426E-2</v>
      </c>
      <c r="AF9" s="178">
        <v>2.1500454509494515</v>
      </c>
      <c r="AG9" s="262">
        <f t="shared" si="0"/>
        <v>3.4534183379623794E-2</v>
      </c>
      <c r="AH9" t="str">
        <f t="shared" si="1"/>
        <v>7Y</v>
      </c>
      <c r="AI9">
        <f t="shared" si="7"/>
        <v>99.991643256536634</v>
      </c>
      <c r="AJ9" s="179">
        <f t="shared" si="2"/>
        <v>9.9999999999999998E-13</v>
      </c>
      <c r="AK9" s="179">
        <f t="shared" si="3"/>
        <v>0</v>
      </c>
      <c r="AL9">
        <f t="shared" si="8"/>
        <v>0.25258163324378774</v>
      </c>
      <c r="AM9" s="179">
        <f t="shared" si="4"/>
        <v>1.0000000000000001E-9</v>
      </c>
      <c r="AN9" s="179">
        <f t="shared" si="5"/>
        <v>0</v>
      </c>
      <c r="AO9">
        <f t="shared" si="6"/>
        <v>1591.5</v>
      </c>
      <c r="AQ9" s="179">
        <f t="shared" si="9"/>
        <v>2.3254837608175415E-3</v>
      </c>
      <c r="AR9" s="83">
        <f t="shared" si="10"/>
        <v>0.45725537327399246</v>
      </c>
      <c r="AS9" s="222">
        <f t="shared" si="11"/>
        <v>2.9700225650930579E-5</v>
      </c>
      <c r="AT9" s="87">
        <f t="shared" si="12"/>
        <v>0.86002397463536384</v>
      </c>
      <c r="AU9" s="180">
        <f t="shared" si="13"/>
        <v>2.3254837608175415E-3</v>
      </c>
      <c r="AV9" s="83">
        <f t="shared" si="14"/>
        <v>0.45725537327399246</v>
      </c>
      <c r="AW9" s="180">
        <f t="shared" si="15"/>
        <v>3.0000000000000002E-2</v>
      </c>
      <c r="AX9" s="87">
        <f t="shared" si="16"/>
        <v>0.86870448535641076</v>
      </c>
    </row>
    <row r="10" spans="1:50" ht="15.75">
      <c r="A10" s="40" t="s">
        <v>273</v>
      </c>
      <c r="B10" s="41"/>
      <c r="C10" s="42"/>
      <c r="D10" s="43"/>
      <c r="F10" s="29" t="s">
        <v>20</v>
      </c>
      <c r="O10" s="3"/>
      <c r="P10" s="32"/>
      <c r="Q10" s="33"/>
      <c r="R10" s="32"/>
      <c r="S10" s="89" t="s">
        <v>245</v>
      </c>
      <c r="T10">
        <v>0</v>
      </c>
      <c r="U10">
        <v>0</v>
      </c>
      <c r="V10">
        <v>30</v>
      </c>
      <c r="W10">
        <f>0.3*V10</f>
        <v>9</v>
      </c>
      <c r="X10">
        <v>0</v>
      </c>
      <c r="Y10">
        <v>0</v>
      </c>
      <c r="Z10" s="32"/>
      <c r="AA10" s="33"/>
      <c r="AB10" s="89" t="s">
        <v>245</v>
      </c>
      <c r="AC10" s="177">
        <v>5.9905445665134728E-4</v>
      </c>
      <c r="AD10" s="178">
        <v>2.1066296139117031</v>
      </c>
      <c r="AE10" s="177">
        <v>4.4009234279125892E-3</v>
      </c>
      <c r="AF10" s="178">
        <v>2.0612796688923471</v>
      </c>
      <c r="AG10" s="262">
        <f t="shared" si="0"/>
        <v>4.4024362337415079E-2</v>
      </c>
      <c r="AH10" t="str">
        <f t="shared" si="1"/>
        <v>7Y</v>
      </c>
      <c r="AI10">
        <f t="shared" si="7"/>
        <v>9.9968741941145414</v>
      </c>
      <c r="AJ10" s="179">
        <f t="shared" si="2"/>
        <v>9.9999999999999998E-13</v>
      </c>
      <c r="AK10" s="179">
        <f t="shared" si="3"/>
        <v>0</v>
      </c>
      <c r="AL10">
        <f t="shared" si="8"/>
        <v>2.4598211313528018E-2</v>
      </c>
      <c r="AM10" s="179">
        <f t="shared" si="4"/>
        <v>1.0000000000000001E-9</v>
      </c>
      <c r="AN10" s="179">
        <f t="shared" si="5"/>
        <v>0</v>
      </c>
      <c r="AO10">
        <f t="shared" si="6"/>
        <v>1591.5</v>
      </c>
      <c r="AQ10" s="179">
        <f t="shared" si="9"/>
        <v>3.4559884144425539E-4</v>
      </c>
      <c r="AR10" s="83">
        <f t="shared" si="10"/>
        <v>0.57690722038212905</v>
      </c>
      <c r="AS10" s="222">
        <f t="shared" si="11"/>
        <v>5.4008442314794466E-5</v>
      </c>
      <c r="AT10" s="87">
        <f t="shared" si="12"/>
        <v>1.2267853399183524</v>
      </c>
      <c r="AU10" s="180">
        <f t="shared" si="13"/>
        <v>3.4559884144425539E-4</v>
      </c>
      <c r="AV10" s="83">
        <f t="shared" si="14"/>
        <v>0.57690722038212905</v>
      </c>
      <c r="AW10" s="180">
        <f t="shared" si="15"/>
        <v>3.0000000000000002E-2</v>
      </c>
      <c r="AX10" s="87">
        <f t="shared" si="16"/>
        <v>0.68144087516978835</v>
      </c>
    </row>
    <row r="11" spans="1:50">
      <c r="A11" s="44"/>
      <c r="B11" s="45" t="s">
        <v>21</v>
      </c>
      <c r="C11" s="181" t="s">
        <v>274</v>
      </c>
      <c r="D11" s="182">
        <f>VLOOKUP(label,Results,3,FALSE)</f>
        <v>999834</v>
      </c>
      <c r="E11" s="183" t="s">
        <v>311</v>
      </c>
      <c r="F11" s="44"/>
      <c r="O11" s="3"/>
      <c r="P11" s="32"/>
      <c r="Q11" s="33"/>
      <c r="R11" s="32"/>
      <c r="S11" s="89" t="s">
        <v>247</v>
      </c>
      <c r="T11">
        <v>0</v>
      </c>
      <c r="U11">
        <v>0</v>
      </c>
      <c r="V11">
        <v>40</v>
      </c>
      <c r="W11">
        <f>0.3*V11</f>
        <v>12</v>
      </c>
      <c r="X11">
        <v>0</v>
      </c>
      <c r="Y11">
        <v>0</v>
      </c>
      <c r="Z11" s="32"/>
      <c r="AA11" s="33"/>
      <c r="AB11" s="89" t="s">
        <v>247</v>
      </c>
      <c r="AC11" s="177">
        <v>4.1579058305861336E-4</v>
      </c>
      <c r="AD11" s="178">
        <v>2.5532362675585478</v>
      </c>
      <c r="AE11" s="177">
        <v>3.1065770098091931E-3</v>
      </c>
      <c r="AF11" s="178">
        <v>2.1827453963008949</v>
      </c>
      <c r="AG11" s="262">
        <f t="shared" si="0"/>
        <v>0.31071164821564407</v>
      </c>
      <c r="AH11" t="str">
        <f t="shared" si="1"/>
        <v>7Y</v>
      </c>
      <c r="AI11">
        <f t="shared" si="7"/>
        <v>0.99985742917636711</v>
      </c>
      <c r="AJ11" s="179">
        <f t="shared" si="2"/>
        <v>9.9999999999999998E-13</v>
      </c>
      <c r="AK11" s="179">
        <f t="shared" si="3"/>
        <v>0</v>
      </c>
      <c r="AL11">
        <f t="shared" si="8"/>
        <v>2.5998109518362948E-3</v>
      </c>
      <c r="AM11" s="179">
        <f t="shared" si="4"/>
        <v>1.0000000000000001E-9</v>
      </c>
      <c r="AN11" s="179">
        <f t="shared" si="5"/>
        <v>0</v>
      </c>
      <c r="AO11">
        <f t="shared" si="6"/>
        <v>1591.5</v>
      </c>
      <c r="AQ11" s="179">
        <f t="shared" si="9"/>
        <v>1.4766447261561555E-4</v>
      </c>
      <c r="AR11" s="83">
        <f t="shared" si="10"/>
        <v>0.35514145493477789</v>
      </c>
      <c r="AS11" s="222">
        <f t="shared" si="11"/>
        <v>2.9703849961130216E-4</v>
      </c>
      <c r="AT11" s="87">
        <f t="shared" si="12"/>
        <v>0.95599409071766661</v>
      </c>
      <c r="AU11" s="180">
        <f t="shared" si="13"/>
        <v>1.4766447261561555E-4</v>
      </c>
      <c r="AV11" s="83">
        <f t="shared" si="14"/>
        <v>0.35514145493477789</v>
      </c>
      <c r="AW11" s="180">
        <f t="shared" si="15"/>
        <v>3.0000000000000002E-2</v>
      </c>
      <c r="AX11" s="87">
        <f t="shared" si="16"/>
        <v>9.6552543724331252E-2</v>
      </c>
    </row>
    <row r="12" spans="1:50">
      <c r="A12" s="46" t="s">
        <v>22</v>
      </c>
      <c r="B12" s="45" t="s">
        <v>23</v>
      </c>
      <c r="E12" s="47" t="s">
        <v>24</v>
      </c>
      <c r="S12" s="89" t="s">
        <v>376</v>
      </c>
      <c r="T12">
        <v>0</v>
      </c>
      <c r="U12">
        <v>0</v>
      </c>
      <c r="V12">
        <f>AVERAGE(-20,35)</f>
        <v>7.5</v>
      </c>
      <c r="W12">
        <f>(35+20)/2</f>
        <v>27.5</v>
      </c>
      <c r="X12">
        <v>0</v>
      </c>
      <c r="Y12">
        <v>0</v>
      </c>
      <c r="AB12" s="260" t="s">
        <v>376</v>
      </c>
      <c r="AC12" s="177">
        <v>4.2890875344783289E-5</v>
      </c>
      <c r="AD12" s="178">
        <v>2.2947813825905605</v>
      </c>
      <c r="AE12" s="177">
        <v>3.4529157039965488E-4</v>
      </c>
      <c r="AF12" s="178">
        <v>2.1500453529048937</v>
      </c>
      <c r="AG12" s="262">
        <f t="shared" si="0"/>
        <v>3.4533527576831355E-2</v>
      </c>
      <c r="AH12" t="str">
        <f t="shared" si="1"/>
        <v>3Y</v>
      </c>
      <c r="AI12">
        <f t="shared" si="7"/>
        <v>0.9999044961601945</v>
      </c>
      <c r="AJ12" s="179">
        <f t="shared" si="2"/>
        <v>9.9999999999999995E-7</v>
      </c>
      <c r="AK12" s="179">
        <f t="shared" si="3"/>
        <v>0</v>
      </c>
      <c r="AL12">
        <f t="shared" si="8"/>
        <v>1.7088980690325797E-3</v>
      </c>
      <c r="AM12" s="179">
        <f t="shared" si="4"/>
        <v>1E-3</v>
      </c>
      <c r="AN12" s="179">
        <f t="shared" si="5"/>
        <v>0</v>
      </c>
      <c r="AO12">
        <f t="shared" si="6"/>
        <v>1591.5</v>
      </c>
      <c r="AQ12" s="179"/>
      <c r="AR12" s="87"/>
      <c r="AS12" s="179"/>
      <c r="AT12" s="87"/>
      <c r="AU12" s="180"/>
      <c r="AV12" s="87"/>
      <c r="AW12" s="180"/>
      <c r="AX12" s="87"/>
    </row>
    <row r="13" spans="1:50" ht="15.75">
      <c r="A13" s="48"/>
      <c r="B13" s="45" t="s">
        <v>275</v>
      </c>
      <c r="C13" s="46" t="s">
        <v>25</v>
      </c>
      <c r="D13" s="46" t="s">
        <v>26</v>
      </c>
      <c r="E13" s="46" t="s">
        <v>27</v>
      </c>
      <c r="F13" s="46" t="s">
        <v>28</v>
      </c>
      <c r="K13" s="184" t="s">
        <v>142</v>
      </c>
      <c r="S13" s="89" t="s">
        <v>377</v>
      </c>
      <c r="T13">
        <v>0</v>
      </c>
      <c r="U13">
        <v>0</v>
      </c>
      <c r="V13">
        <f>AVERAGE(-20,35)</f>
        <v>7.5</v>
      </c>
      <c r="W13">
        <f>(35+20)/2</f>
        <v>27.5</v>
      </c>
      <c r="X13">
        <v>0</v>
      </c>
      <c r="Y13">
        <v>0</v>
      </c>
      <c r="AB13" s="260" t="s">
        <v>377</v>
      </c>
      <c r="AC13" s="177">
        <v>4.2896352394125098E-3</v>
      </c>
      <c r="AD13" s="178">
        <v>2.2947828309607781</v>
      </c>
      <c r="AE13" s="177">
        <v>3.4533554135186113E-2</v>
      </c>
      <c r="AF13" s="178">
        <v>2.1500462275608814</v>
      </c>
      <c r="AG13" s="262">
        <f t="shared" si="0"/>
        <v>3.453350420618731E-2</v>
      </c>
      <c r="AH13" t="str">
        <f t="shared" si="1"/>
        <v>4Y</v>
      </c>
      <c r="AI13">
        <f t="shared" si="7"/>
        <v>100.00325051852012</v>
      </c>
      <c r="AJ13" s="179">
        <f t="shared" si="2"/>
        <v>1.0000000000000001E-9</v>
      </c>
      <c r="AK13" s="179">
        <f t="shared" si="3"/>
        <v>0</v>
      </c>
      <c r="AL13">
        <f t="shared" si="8"/>
        <v>4.1297536717990378E-2</v>
      </c>
      <c r="AM13" s="179">
        <f t="shared" si="4"/>
        <v>9.9999999999999995E-7</v>
      </c>
      <c r="AN13" s="179">
        <f t="shared" si="5"/>
        <v>0</v>
      </c>
      <c r="AO13">
        <f t="shared" si="6"/>
        <v>1591.5</v>
      </c>
      <c r="AQ13" s="179"/>
      <c r="AR13" s="87"/>
      <c r="AS13" s="179"/>
      <c r="AT13" s="87"/>
      <c r="AU13" s="180"/>
      <c r="AV13" s="87"/>
      <c r="AW13" s="180"/>
      <c r="AX13" s="87"/>
    </row>
    <row r="14" spans="1:50">
      <c r="A14" s="49" t="s">
        <v>111</v>
      </c>
      <c r="B14" s="185">
        <f>2.5*0.000001*D11</f>
        <v>2.4995849999999997</v>
      </c>
      <c r="C14" s="186">
        <f t="shared" ref="C14:C22" si="17">B14^2</f>
        <v>6.2479251722249982</v>
      </c>
      <c r="D14" s="52">
        <v>30</v>
      </c>
      <c r="E14" s="54">
        <f t="shared" ref="E14:E22" si="18">0.5*(1/(0.01*D14)^2)</f>
        <v>5.5555555555555554</v>
      </c>
      <c r="F14" s="51">
        <f t="shared" ref="F14:F22" si="19">B14^4/E14</f>
        <v>7.0265824123900993</v>
      </c>
      <c r="G14" t="s">
        <v>112</v>
      </c>
      <c r="K14" s="187"/>
      <c r="S14" s="89" t="s">
        <v>378</v>
      </c>
      <c r="T14">
        <v>0</v>
      </c>
      <c r="U14">
        <v>0</v>
      </c>
      <c r="V14">
        <f>AVERAGE(-20,35)</f>
        <v>7.5</v>
      </c>
      <c r="W14">
        <f>(35+20)/2</f>
        <v>27.5</v>
      </c>
      <c r="X14">
        <v>0</v>
      </c>
      <c r="Y14">
        <v>0</v>
      </c>
      <c r="AB14" s="260" t="s">
        <v>378</v>
      </c>
      <c r="AC14" s="177">
        <v>4.2898748670594457E-4</v>
      </c>
      <c r="AD14" s="178">
        <v>2.2947834572291717</v>
      </c>
      <c r="AE14" s="177">
        <v>3.4535478780739729E-3</v>
      </c>
      <c r="AF14" s="178">
        <v>2.1500465753917521</v>
      </c>
      <c r="AG14" s="262">
        <f t="shared" si="0"/>
        <v>3.4533460366915014E-2</v>
      </c>
      <c r="AH14" t="str">
        <f t="shared" si="1"/>
        <v>5Y</v>
      </c>
      <c r="AI14">
        <f t="shared" si="7"/>
        <v>10.000895092041496</v>
      </c>
      <c r="AJ14" s="179">
        <f t="shared" si="2"/>
        <v>1.0000000000000001E-9</v>
      </c>
      <c r="AK14" s="179">
        <f t="shared" si="3"/>
        <v>0</v>
      </c>
      <c r="AL14">
        <f t="shared" si="8"/>
        <v>5.0097011854027063E-3</v>
      </c>
      <c r="AM14" s="179">
        <f t="shared" si="4"/>
        <v>9.9999999999999995E-7</v>
      </c>
      <c r="AN14" s="179">
        <f t="shared" si="5"/>
        <v>0</v>
      </c>
      <c r="AO14">
        <f t="shared" si="6"/>
        <v>1591.5</v>
      </c>
      <c r="AQ14" s="179"/>
      <c r="AR14" s="87"/>
      <c r="AS14" s="179"/>
      <c r="AT14" s="87"/>
      <c r="AU14" s="180"/>
      <c r="AV14" s="87"/>
      <c r="AW14" s="180"/>
      <c r="AX14" s="87"/>
    </row>
    <row r="15" spans="1:50">
      <c r="A15" s="49" t="s">
        <v>113</v>
      </c>
      <c r="B15" s="188">
        <v>1</v>
      </c>
      <c r="C15" s="186">
        <f t="shared" si="17"/>
        <v>1</v>
      </c>
      <c r="D15" s="52">
        <v>30</v>
      </c>
      <c r="E15" s="54">
        <f t="shared" si="18"/>
        <v>5.5555555555555554</v>
      </c>
      <c r="F15" s="51">
        <f t="shared" si="19"/>
        <v>0.18</v>
      </c>
      <c r="G15" t="s">
        <v>114</v>
      </c>
      <c r="K15" s="187"/>
      <c r="S15" s="89" t="s">
        <v>379</v>
      </c>
      <c r="T15">
        <v>0</v>
      </c>
      <c r="U15">
        <v>0</v>
      </c>
      <c r="V15">
        <v>30</v>
      </c>
      <c r="W15">
        <f>0.3*V15</f>
        <v>9</v>
      </c>
      <c r="X15">
        <v>0</v>
      </c>
      <c r="Y15">
        <v>0</v>
      </c>
      <c r="AB15" s="260" t="s">
        <v>379</v>
      </c>
      <c r="AC15" s="177">
        <v>5.0848715255551305E-2</v>
      </c>
      <c r="AD15" s="178">
        <v>2.1617192107800678</v>
      </c>
      <c r="AE15" s="177">
        <v>0.34524309168708495</v>
      </c>
      <c r="AF15" s="178">
        <v>2.150044548401937</v>
      </c>
      <c r="AG15" s="262">
        <f t="shared" si="0"/>
        <v>3.4531339943973463E-2</v>
      </c>
      <c r="AH15" t="str">
        <f t="shared" si="1"/>
        <v>6Y</v>
      </c>
      <c r="AI15">
        <f t="shared" si="7"/>
        <v>999.82744737198152</v>
      </c>
      <c r="AJ15" s="179">
        <f t="shared" si="2"/>
        <v>9.9999999999999998E-13</v>
      </c>
      <c r="AK15" s="179">
        <f t="shared" si="3"/>
        <v>0</v>
      </c>
      <c r="AL15">
        <f t="shared" si="8"/>
        <v>-0.20700089779280428</v>
      </c>
      <c r="AM15" s="179">
        <f t="shared" si="4"/>
        <v>1.0000000000000001E-9</v>
      </c>
      <c r="AN15" s="179">
        <f t="shared" si="5"/>
        <v>0</v>
      </c>
      <c r="AO15">
        <f t="shared" si="6"/>
        <v>1591.5</v>
      </c>
      <c r="AQ15" s="179"/>
      <c r="AR15" s="87"/>
      <c r="AS15" s="179"/>
      <c r="AT15" s="87"/>
      <c r="AU15" s="180"/>
      <c r="AV15" s="87"/>
      <c r="AW15" s="180"/>
      <c r="AX15" s="87"/>
    </row>
    <row r="16" spans="1:50">
      <c r="A16" s="49" t="s">
        <v>115</v>
      </c>
      <c r="B16" s="185">
        <f>17*0.000001*D11</f>
        <v>16.997177999999998</v>
      </c>
      <c r="C16" s="186">
        <f t="shared" si="17"/>
        <v>288.90405996368395</v>
      </c>
      <c r="D16" s="52">
        <v>30</v>
      </c>
      <c r="E16" s="54">
        <f t="shared" si="18"/>
        <v>5.5555555555555554</v>
      </c>
      <c r="F16" s="51">
        <f t="shared" si="19"/>
        <v>15023.80005542998</v>
      </c>
      <c r="G16" t="s">
        <v>276</v>
      </c>
      <c r="K16" s="189" t="s">
        <v>277</v>
      </c>
      <c r="S16" s="89" t="s">
        <v>380</v>
      </c>
      <c r="T16">
        <v>0</v>
      </c>
      <c r="U16">
        <v>0</v>
      </c>
      <c r="V16">
        <v>30</v>
      </c>
      <c r="W16">
        <f>0.3*V16</f>
        <v>9</v>
      </c>
      <c r="X16">
        <v>0</v>
      </c>
      <c r="Y16">
        <v>0</v>
      </c>
      <c r="AB16" s="260" t="s">
        <v>380</v>
      </c>
      <c r="AC16" s="177">
        <v>5.0861142226006463E-3</v>
      </c>
      <c r="AD16" s="178">
        <v>2.1617201834571733</v>
      </c>
      <c r="AE16" s="177">
        <v>3.4532731691749106E-2</v>
      </c>
      <c r="AF16" s="178">
        <v>2.1500459872489377</v>
      </c>
      <c r="AG16" s="262">
        <f t="shared" si="0"/>
        <v>3.4534169047922086E-2</v>
      </c>
      <c r="AH16" t="str">
        <f t="shared" si="1"/>
        <v>7Y</v>
      </c>
      <c r="AI16">
        <f t="shared" si="7"/>
        <v>99.998943675853482</v>
      </c>
      <c r="AJ16" s="179">
        <f t="shared" si="2"/>
        <v>9.9999999999999998E-13</v>
      </c>
      <c r="AK16" s="179">
        <f t="shared" si="3"/>
        <v>0</v>
      </c>
      <c r="AL16">
        <f t="shared" si="8"/>
        <v>0.18578649032737829</v>
      </c>
      <c r="AM16" s="179">
        <f t="shared" si="4"/>
        <v>1.0000000000000001E-9</v>
      </c>
      <c r="AN16" s="179">
        <f t="shared" si="5"/>
        <v>0</v>
      </c>
      <c r="AO16">
        <f t="shared" si="6"/>
        <v>1591.5</v>
      </c>
      <c r="AQ16" s="179"/>
      <c r="AR16" s="87"/>
      <c r="AS16" s="179"/>
      <c r="AT16" s="87"/>
      <c r="AU16" s="180"/>
      <c r="AV16" s="87"/>
      <c r="AW16" s="180"/>
      <c r="AX16" s="87"/>
    </row>
    <row r="17" spans="1:50">
      <c r="A17" s="55" t="s">
        <v>116</v>
      </c>
      <c r="B17" s="190">
        <f>2*0.000001*D11</f>
        <v>1.999668</v>
      </c>
      <c r="C17" s="186">
        <f t="shared" si="17"/>
        <v>3.9986721102240002</v>
      </c>
      <c r="D17" s="52">
        <v>50</v>
      </c>
      <c r="E17" s="54">
        <f t="shared" si="18"/>
        <v>2</v>
      </c>
      <c r="F17" s="51">
        <f t="shared" si="19"/>
        <v>7.9946893225416291</v>
      </c>
      <c r="G17" t="s">
        <v>117</v>
      </c>
      <c r="K17" s="187"/>
      <c r="S17" s="89" t="s">
        <v>381</v>
      </c>
      <c r="T17">
        <v>0</v>
      </c>
      <c r="U17">
        <v>0</v>
      </c>
      <c r="V17">
        <v>30</v>
      </c>
      <c r="W17">
        <f>0.3*V17</f>
        <v>9</v>
      </c>
      <c r="X17">
        <v>0</v>
      </c>
      <c r="Y17">
        <v>0</v>
      </c>
      <c r="AB17" s="260" t="s">
        <v>381</v>
      </c>
      <c r="AC17" s="177">
        <v>5.9909041198663896E-4</v>
      </c>
      <c r="AD17" s="178">
        <v>2.1066268982039187</v>
      </c>
      <c r="AE17" s="177">
        <v>4.401147382909869E-3</v>
      </c>
      <c r="AF17" s="178">
        <v>2.0612805126053386</v>
      </c>
      <c r="AG17" s="262">
        <f t="shared" si="0"/>
        <v>4.4022639153207005E-2</v>
      </c>
      <c r="AH17" t="str">
        <f t="shared" si="1"/>
        <v>7Y</v>
      </c>
      <c r="AI17">
        <f t="shared" si="7"/>
        <v>9.99777424581114</v>
      </c>
      <c r="AJ17" s="179">
        <f t="shared" si="2"/>
        <v>9.9999999999999998E-13</v>
      </c>
      <c r="AK17" s="179">
        <f t="shared" si="3"/>
        <v>0</v>
      </c>
      <c r="AL17">
        <f t="shared" si="8"/>
        <v>1.8798633036354748E-2</v>
      </c>
      <c r="AM17" s="179">
        <f t="shared" si="4"/>
        <v>1.0000000000000001E-9</v>
      </c>
      <c r="AN17" s="179">
        <f t="shared" si="5"/>
        <v>0</v>
      </c>
      <c r="AO17">
        <f t="shared" si="6"/>
        <v>1591.5</v>
      </c>
      <c r="AQ17" s="179"/>
      <c r="AR17" s="87"/>
      <c r="AS17" s="179"/>
      <c r="AT17" s="87"/>
      <c r="AU17" s="180"/>
      <c r="AV17" s="87"/>
      <c r="AW17" s="180"/>
      <c r="AX17" s="87"/>
    </row>
    <row r="18" spans="1:50">
      <c r="A18" s="55" t="s">
        <v>118</v>
      </c>
      <c r="B18" s="190">
        <f>2*0.5*0.000001*D11</f>
        <v>0.999834</v>
      </c>
      <c r="C18" s="186">
        <f t="shared" si="17"/>
        <v>0.99966802755600004</v>
      </c>
      <c r="D18" s="52">
        <v>30</v>
      </c>
      <c r="E18" s="54">
        <f t="shared" si="18"/>
        <v>5.5555555555555554</v>
      </c>
      <c r="F18" s="51">
        <f t="shared" si="19"/>
        <v>0.17988050975718667</v>
      </c>
      <c r="G18" t="s">
        <v>119</v>
      </c>
      <c r="K18" s="187"/>
      <c r="S18" s="89" t="s">
        <v>382</v>
      </c>
      <c r="T18">
        <v>0</v>
      </c>
      <c r="U18">
        <v>0</v>
      </c>
      <c r="V18">
        <v>40</v>
      </c>
      <c r="W18">
        <f>0.3*V18</f>
        <v>12</v>
      </c>
      <c r="X18">
        <v>0</v>
      </c>
      <c r="Y18">
        <v>0</v>
      </c>
      <c r="AB18" s="260" t="s">
        <v>382</v>
      </c>
      <c r="AC18" s="177">
        <v>4.1579058307347614E-4</v>
      </c>
      <c r="AD18" s="178">
        <v>2.5532362681119465</v>
      </c>
      <c r="AE18" s="177">
        <v>3.1065770070675277E-3</v>
      </c>
      <c r="AF18" s="178">
        <v>2.1827453978375804</v>
      </c>
      <c r="AG18" s="262">
        <f t="shared" si="0"/>
        <v>0.31071164794142986</v>
      </c>
      <c r="AH18" t="str">
        <f t="shared" si="1"/>
        <v>7Y</v>
      </c>
      <c r="AI18">
        <f t="shared" si="7"/>
        <v>0.99985742917636711</v>
      </c>
      <c r="AJ18" s="179">
        <f t="shared" si="2"/>
        <v>9.9999999999999998E-13</v>
      </c>
      <c r="AK18" s="179">
        <f t="shared" si="3"/>
        <v>0</v>
      </c>
      <c r="AL18">
        <f t="shared" si="8"/>
        <v>2.0998473072523921E-3</v>
      </c>
      <c r="AM18" s="179">
        <f t="shared" si="4"/>
        <v>1.0000000000000001E-9</v>
      </c>
      <c r="AN18" s="179">
        <f t="shared" si="5"/>
        <v>0</v>
      </c>
      <c r="AO18">
        <f t="shared" si="6"/>
        <v>1591.5</v>
      </c>
      <c r="AQ18" s="179"/>
      <c r="AR18" s="87"/>
      <c r="AS18" s="179"/>
      <c r="AT18" s="87"/>
      <c r="AU18" s="180"/>
      <c r="AV18" s="87"/>
      <c r="AW18" s="180"/>
      <c r="AX18" s="87"/>
    </row>
    <row r="19" spans="1:50">
      <c r="A19" s="55" t="s">
        <v>120</v>
      </c>
      <c r="B19" s="190">
        <f>5*0.000001*D11</f>
        <v>4.9991699999999994</v>
      </c>
      <c r="C19" s="186">
        <f t="shared" si="17"/>
        <v>24.991700688899993</v>
      </c>
      <c r="D19" s="52">
        <v>50</v>
      </c>
      <c r="E19" s="54">
        <f t="shared" si="18"/>
        <v>2</v>
      </c>
      <c r="F19" s="51">
        <f t="shared" si="19"/>
        <v>312.29255166178217</v>
      </c>
      <c r="G19" t="s">
        <v>278</v>
      </c>
      <c r="K19" s="189" t="s">
        <v>143</v>
      </c>
      <c r="S19" s="89"/>
      <c r="AB19" s="89"/>
      <c r="AC19" s="177"/>
      <c r="AD19" s="178"/>
      <c r="AE19" s="177"/>
      <c r="AF19" s="178"/>
      <c r="AG19" s="261"/>
      <c r="AH19" t="e">
        <f t="shared" si="1"/>
        <v>#N/A</v>
      </c>
      <c r="AI19" t="e">
        <f t="shared" si="7"/>
        <v>#N/A</v>
      </c>
      <c r="AJ19" s="179" t="e">
        <f t="shared" si="2"/>
        <v>#N/A</v>
      </c>
      <c r="AK19" s="179" t="e">
        <f t="shared" si="3"/>
        <v>#N/A</v>
      </c>
      <c r="AL19" t="e">
        <f t="shared" si="8"/>
        <v>#N/A</v>
      </c>
      <c r="AM19" s="179" t="e">
        <f t="shared" si="4"/>
        <v>#N/A</v>
      </c>
      <c r="AN19" s="179" t="e">
        <f t="shared" si="5"/>
        <v>#N/A</v>
      </c>
      <c r="AO19" t="e">
        <f t="shared" si="6"/>
        <v>#N/A</v>
      </c>
      <c r="AQ19" s="179"/>
      <c r="AR19" s="87"/>
      <c r="AS19" s="179"/>
      <c r="AT19" s="87"/>
      <c r="AU19" s="180"/>
      <c r="AV19" s="87"/>
      <c r="AW19" s="180"/>
      <c r="AX19" s="87"/>
    </row>
    <row r="20" spans="1:50">
      <c r="A20" s="55" t="s">
        <v>313</v>
      </c>
      <c r="B20" s="190">
        <f>16*D34/10000000</f>
        <v>2.728E-3</v>
      </c>
      <c r="C20" s="186">
        <f t="shared" si="17"/>
        <v>7.4419839999999996E-6</v>
      </c>
      <c r="D20" s="52" t="s">
        <v>126</v>
      </c>
      <c r="E20" s="53">
        <v>13</v>
      </c>
      <c r="F20" s="51">
        <f t="shared" si="19"/>
        <v>4.26024045048123E-12</v>
      </c>
      <c r="G20" t="s">
        <v>279</v>
      </c>
      <c r="K20" s="189" t="s">
        <v>280</v>
      </c>
      <c r="S20" s="89"/>
      <c r="AB20" s="89"/>
      <c r="AC20" s="177"/>
      <c r="AD20" s="178"/>
      <c r="AE20" s="177"/>
      <c r="AF20" s="178"/>
      <c r="AG20" s="261"/>
      <c r="AH20" t="e">
        <f t="shared" si="1"/>
        <v>#N/A</v>
      </c>
      <c r="AI20" t="e">
        <f t="shared" si="7"/>
        <v>#N/A</v>
      </c>
      <c r="AJ20" s="179" t="e">
        <f t="shared" si="2"/>
        <v>#N/A</v>
      </c>
      <c r="AK20" s="179" t="e">
        <f t="shared" si="3"/>
        <v>#N/A</v>
      </c>
      <c r="AL20" t="e">
        <f t="shared" si="8"/>
        <v>#N/A</v>
      </c>
      <c r="AM20" s="179" t="e">
        <f t="shared" si="4"/>
        <v>#N/A</v>
      </c>
      <c r="AN20" s="179" t="e">
        <f t="shared" si="5"/>
        <v>#N/A</v>
      </c>
      <c r="AO20" t="e">
        <f t="shared" si="6"/>
        <v>#N/A</v>
      </c>
      <c r="AQ20" s="179"/>
      <c r="AR20" s="87"/>
      <c r="AS20" s="179"/>
      <c r="AT20" s="87"/>
      <c r="AU20" s="180"/>
      <c r="AV20" s="87"/>
      <c r="AW20" s="180"/>
      <c r="AX20" s="87"/>
    </row>
    <row r="21" spans="1:50">
      <c r="A21" s="55" t="s">
        <v>121</v>
      </c>
      <c r="B21" s="191">
        <f>2000/(VLOOKUP(label,Results,9,FALSE))</f>
        <v>1.2566760917373547</v>
      </c>
      <c r="C21" s="186">
        <f t="shared" si="17"/>
        <v>1.5792347995442724</v>
      </c>
      <c r="D21" s="56">
        <v>50</v>
      </c>
      <c r="E21" s="54">
        <f t="shared" si="18"/>
        <v>2</v>
      </c>
      <c r="F21" s="51">
        <f t="shared" si="19"/>
        <v>1.2469912760458191</v>
      </c>
      <c r="G21" t="s">
        <v>122</v>
      </c>
      <c r="K21" s="192" t="s">
        <v>281</v>
      </c>
      <c r="S21" s="89"/>
      <c r="AB21" s="89"/>
      <c r="AC21" s="177"/>
      <c r="AD21" s="178"/>
      <c r="AE21" s="177"/>
      <c r="AF21" s="178"/>
      <c r="AG21" s="261"/>
      <c r="AH21" t="e">
        <f t="shared" si="1"/>
        <v>#N/A</v>
      </c>
      <c r="AI21" t="e">
        <f t="shared" si="7"/>
        <v>#N/A</v>
      </c>
      <c r="AJ21" s="179" t="e">
        <f t="shared" si="2"/>
        <v>#N/A</v>
      </c>
      <c r="AK21" s="179" t="e">
        <f t="shared" si="3"/>
        <v>#N/A</v>
      </c>
      <c r="AL21" t="e">
        <f t="shared" si="8"/>
        <v>#N/A</v>
      </c>
      <c r="AM21" s="179" t="e">
        <f t="shared" si="4"/>
        <v>#N/A</v>
      </c>
      <c r="AN21" s="179" t="e">
        <f t="shared" si="5"/>
        <v>#N/A</v>
      </c>
      <c r="AO21" t="e">
        <f t="shared" si="6"/>
        <v>#N/A</v>
      </c>
      <c r="AQ21" s="179"/>
      <c r="AR21" s="87"/>
      <c r="AS21" s="179"/>
      <c r="AT21" s="87"/>
      <c r="AU21" s="180"/>
      <c r="AV21" s="87"/>
      <c r="AW21" s="180"/>
      <c r="AX21" s="87"/>
    </row>
    <row r="22" spans="1:50">
      <c r="A22" s="55"/>
      <c r="B22" s="54">
        <v>0</v>
      </c>
      <c r="C22" s="186">
        <f t="shared" si="17"/>
        <v>0</v>
      </c>
      <c r="D22" s="52">
        <v>1</v>
      </c>
      <c r="E22" s="53">
        <f t="shared" si="18"/>
        <v>5000</v>
      </c>
      <c r="F22" s="51">
        <f t="shared" si="19"/>
        <v>0</v>
      </c>
      <c r="S22" s="89"/>
      <c r="AB22" s="89"/>
      <c r="AC22" s="177"/>
      <c r="AD22" s="178"/>
      <c r="AE22" s="177"/>
      <c r="AF22" s="178"/>
      <c r="AG22" s="261"/>
      <c r="AH22" t="e">
        <f t="shared" si="1"/>
        <v>#N/A</v>
      </c>
      <c r="AI22" t="e">
        <f t="shared" si="7"/>
        <v>#N/A</v>
      </c>
      <c r="AJ22" s="179" t="e">
        <f t="shared" si="2"/>
        <v>#N/A</v>
      </c>
      <c r="AK22" s="179" t="e">
        <f t="shared" si="3"/>
        <v>#N/A</v>
      </c>
      <c r="AL22" t="e">
        <f t="shared" si="8"/>
        <v>#N/A</v>
      </c>
      <c r="AM22" s="179" t="e">
        <f t="shared" si="4"/>
        <v>#N/A</v>
      </c>
      <c r="AN22" s="179" t="e">
        <f t="shared" si="5"/>
        <v>#N/A</v>
      </c>
      <c r="AO22" t="e">
        <f t="shared" si="6"/>
        <v>#N/A</v>
      </c>
      <c r="AQ22" s="179"/>
      <c r="AR22" s="87"/>
      <c r="AS22" s="179"/>
      <c r="AT22" s="87"/>
      <c r="AU22" s="180"/>
      <c r="AV22" s="87"/>
      <c r="AW22" s="180"/>
      <c r="AX22" s="87"/>
    </row>
    <row r="23" spans="1:50" ht="13.5" thickBot="1">
      <c r="B23" s="57" t="s">
        <v>29</v>
      </c>
      <c r="C23" s="186">
        <f>SUM(C14:C22)</f>
        <v>327.72126820411722</v>
      </c>
      <c r="E23" s="27" t="s">
        <v>30</v>
      </c>
      <c r="F23" s="186">
        <f>SUM(F14:F22)</f>
        <v>15352.7207506125</v>
      </c>
      <c r="S23" s="89"/>
      <c r="AB23" s="89"/>
      <c r="AC23" s="177"/>
      <c r="AD23" s="178"/>
      <c r="AE23" s="177"/>
      <c r="AF23" s="178"/>
      <c r="AG23" s="261"/>
      <c r="AH23" t="e">
        <f t="shared" si="1"/>
        <v>#N/A</v>
      </c>
      <c r="AI23" t="e">
        <f t="shared" si="7"/>
        <v>#N/A</v>
      </c>
      <c r="AJ23" s="179" t="e">
        <f t="shared" si="2"/>
        <v>#N/A</v>
      </c>
      <c r="AK23" s="179" t="e">
        <f t="shared" si="3"/>
        <v>#N/A</v>
      </c>
      <c r="AL23" t="e">
        <f t="shared" si="8"/>
        <v>#N/A</v>
      </c>
      <c r="AM23" s="179" t="e">
        <f t="shared" si="4"/>
        <v>#N/A</v>
      </c>
      <c r="AN23" s="179" t="e">
        <f t="shared" si="5"/>
        <v>#N/A</v>
      </c>
      <c r="AO23" t="e">
        <f t="shared" si="6"/>
        <v>#N/A</v>
      </c>
      <c r="AQ23" s="179"/>
      <c r="AR23" s="87"/>
      <c r="AS23" s="179"/>
      <c r="AT23" s="87"/>
      <c r="AU23" s="180"/>
      <c r="AV23" s="87"/>
      <c r="AW23" s="180"/>
      <c r="AX23" s="87"/>
    </row>
    <row r="24" spans="1:50">
      <c r="B24" s="57" t="s">
        <v>282</v>
      </c>
      <c r="C24" s="193">
        <f>SQRT(C23)</f>
        <v>18.103073446354827</v>
      </c>
      <c r="E24" s="58" t="s">
        <v>31</v>
      </c>
      <c r="F24" s="194">
        <f>L_standard_uncertainty^4/F23</f>
        <v>6.9955828271695841</v>
      </c>
      <c r="S24" s="89"/>
      <c r="AB24" s="89"/>
      <c r="AC24" s="177"/>
      <c r="AD24" s="178"/>
      <c r="AE24" s="177"/>
      <c r="AF24" s="178"/>
      <c r="AG24" s="261"/>
      <c r="AH24" t="e">
        <f t="shared" si="1"/>
        <v>#N/A</v>
      </c>
      <c r="AI24" t="e">
        <f t="shared" si="7"/>
        <v>#N/A</v>
      </c>
      <c r="AJ24" s="179" t="e">
        <f t="shared" si="2"/>
        <v>#N/A</v>
      </c>
      <c r="AK24" s="179" t="e">
        <f t="shared" si="3"/>
        <v>#N/A</v>
      </c>
      <c r="AL24" t="e">
        <f t="shared" si="8"/>
        <v>#N/A</v>
      </c>
      <c r="AM24" s="179" t="e">
        <f t="shared" si="4"/>
        <v>#N/A</v>
      </c>
      <c r="AN24" s="179" t="e">
        <f t="shared" si="5"/>
        <v>#N/A</v>
      </c>
      <c r="AO24" t="e">
        <f t="shared" si="6"/>
        <v>#N/A</v>
      </c>
      <c r="AQ24" s="179"/>
      <c r="AR24" s="87"/>
      <c r="AS24" s="179"/>
      <c r="AT24" s="87"/>
      <c r="AU24" s="180"/>
      <c r="AV24" s="87"/>
      <c r="AW24" s="180"/>
      <c r="AX24" s="87"/>
    </row>
    <row r="25" spans="1:50">
      <c r="B25" s="34"/>
      <c r="E25" s="59" t="s">
        <v>17</v>
      </c>
      <c r="F25" s="195">
        <f>$G$3+$G$4/F24+$G$5/F24^2+$G$6/F24^3</f>
        <v>2.3458256636084833</v>
      </c>
      <c r="S25" s="89"/>
      <c r="AB25" s="89"/>
      <c r="AC25" s="177"/>
      <c r="AD25" s="178"/>
      <c r="AE25" s="177"/>
      <c r="AF25" s="178"/>
      <c r="AG25" s="261"/>
      <c r="AH25" t="e">
        <f t="shared" si="1"/>
        <v>#N/A</v>
      </c>
      <c r="AI25" t="e">
        <f t="shared" si="7"/>
        <v>#N/A</v>
      </c>
      <c r="AJ25" s="179" t="e">
        <f t="shared" si="2"/>
        <v>#N/A</v>
      </c>
      <c r="AK25" s="179" t="e">
        <f t="shared" si="3"/>
        <v>#N/A</v>
      </c>
      <c r="AL25" t="e">
        <f t="shared" si="8"/>
        <v>#N/A</v>
      </c>
      <c r="AM25" s="179" t="e">
        <f t="shared" si="4"/>
        <v>#N/A</v>
      </c>
      <c r="AN25" s="179" t="e">
        <f t="shared" si="5"/>
        <v>#N/A</v>
      </c>
      <c r="AO25" t="e">
        <f t="shared" si="6"/>
        <v>#N/A</v>
      </c>
      <c r="AQ25" s="179"/>
      <c r="AR25" s="87"/>
      <c r="AS25" s="179"/>
      <c r="AT25" s="87"/>
      <c r="AU25" s="180"/>
      <c r="AV25" s="87"/>
      <c r="AW25" s="180"/>
      <c r="AX25" s="87"/>
    </row>
    <row r="26" spans="1:50" ht="13.5" thickBot="1">
      <c r="A26" s="27" t="s">
        <v>32</v>
      </c>
      <c r="B26" s="34"/>
      <c r="E26" s="60" t="s">
        <v>123</v>
      </c>
      <c r="F26" s="196">
        <f>F25*L_standard_uncertainty</f>
        <v>42.466654280648427</v>
      </c>
      <c r="S26" s="89"/>
      <c r="AB26" s="89"/>
      <c r="AC26" s="177"/>
      <c r="AD26" s="178"/>
      <c r="AE26" s="177"/>
      <c r="AF26" s="178"/>
      <c r="AG26" s="261"/>
      <c r="AH26" t="e">
        <f t="shared" si="1"/>
        <v>#N/A</v>
      </c>
      <c r="AI26" t="e">
        <f t="shared" si="7"/>
        <v>#N/A</v>
      </c>
      <c r="AJ26" s="179" t="e">
        <f t="shared" si="2"/>
        <v>#N/A</v>
      </c>
      <c r="AK26" s="179" t="e">
        <f t="shared" si="3"/>
        <v>#N/A</v>
      </c>
      <c r="AL26" t="e">
        <f t="shared" si="8"/>
        <v>#N/A</v>
      </c>
      <c r="AM26" s="179" t="e">
        <f t="shared" si="4"/>
        <v>#N/A</v>
      </c>
      <c r="AN26" s="179" t="e">
        <f t="shared" si="5"/>
        <v>#N/A</v>
      </c>
      <c r="AO26" t="e">
        <f t="shared" si="6"/>
        <v>#N/A</v>
      </c>
      <c r="AQ26" s="179"/>
      <c r="AR26" s="87"/>
      <c r="AS26" s="179"/>
      <c r="AT26" s="87"/>
      <c r="AU26" s="180"/>
      <c r="AV26" s="87"/>
      <c r="AW26" s="180"/>
      <c r="AX26" s="87"/>
    </row>
    <row r="27" spans="1:50">
      <c r="A27" s="29" t="s">
        <v>283</v>
      </c>
      <c r="B27" s="34"/>
      <c r="S27" s="89"/>
      <c r="AB27" s="89"/>
      <c r="AC27" s="177"/>
      <c r="AD27" s="178"/>
      <c r="AE27" s="177"/>
      <c r="AF27" s="178"/>
      <c r="AG27" s="261"/>
      <c r="AH27" t="e">
        <f t="shared" si="1"/>
        <v>#N/A</v>
      </c>
      <c r="AI27" t="e">
        <f t="shared" si="7"/>
        <v>#N/A</v>
      </c>
      <c r="AJ27" s="179" t="e">
        <f t="shared" si="2"/>
        <v>#N/A</v>
      </c>
      <c r="AK27" s="179" t="e">
        <f t="shared" si="3"/>
        <v>#N/A</v>
      </c>
      <c r="AL27" t="e">
        <f t="shared" si="8"/>
        <v>#N/A</v>
      </c>
      <c r="AM27" s="179" t="e">
        <f t="shared" si="4"/>
        <v>#N/A</v>
      </c>
      <c r="AN27" s="179" t="e">
        <f t="shared" si="5"/>
        <v>#N/A</v>
      </c>
      <c r="AO27" t="e">
        <f t="shared" si="6"/>
        <v>#N/A</v>
      </c>
      <c r="AQ27" s="179"/>
      <c r="AR27" s="87"/>
      <c r="AS27" s="179"/>
      <c r="AT27" s="87"/>
      <c r="AU27" s="180"/>
      <c r="AV27" s="87"/>
      <c r="AW27" s="180"/>
      <c r="AX27" s="87"/>
    </row>
    <row r="28" spans="1:50">
      <c r="A28" t="s">
        <v>124</v>
      </c>
      <c r="B28" s="34"/>
      <c r="E28" s="29"/>
      <c r="F28" s="61"/>
      <c r="S28" s="89"/>
      <c r="AB28" s="89"/>
      <c r="AC28" s="177"/>
      <c r="AD28" s="178"/>
      <c r="AE28" s="177"/>
      <c r="AF28" s="178"/>
      <c r="AG28" s="261"/>
      <c r="AH28" t="e">
        <f t="shared" si="1"/>
        <v>#N/A</v>
      </c>
      <c r="AI28" t="e">
        <f t="shared" si="7"/>
        <v>#N/A</v>
      </c>
      <c r="AJ28" s="179" t="e">
        <f t="shared" si="2"/>
        <v>#N/A</v>
      </c>
      <c r="AK28" s="179" t="e">
        <f t="shared" si="3"/>
        <v>#N/A</v>
      </c>
      <c r="AL28" t="e">
        <f t="shared" si="8"/>
        <v>#N/A</v>
      </c>
      <c r="AM28" s="179" t="e">
        <f t="shared" si="4"/>
        <v>#N/A</v>
      </c>
      <c r="AN28" s="179" t="e">
        <f t="shared" si="5"/>
        <v>#N/A</v>
      </c>
      <c r="AO28" t="e">
        <f t="shared" si="6"/>
        <v>#N/A</v>
      </c>
      <c r="AQ28" s="179"/>
      <c r="AR28" s="87"/>
      <c r="AS28" s="179"/>
      <c r="AT28" s="87"/>
      <c r="AU28" s="180"/>
      <c r="AV28" s="87"/>
      <c r="AW28" s="180"/>
      <c r="AX28" s="87"/>
    </row>
    <row r="29" spans="1:50">
      <c r="A29" t="s">
        <v>125</v>
      </c>
      <c r="B29" s="34"/>
      <c r="S29" s="89"/>
      <c r="AB29" s="89"/>
      <c r="AC29" s="177"/>
      <c r="AD29" s="178"/>
      <c r="AE29" s="177"/>
      <c r="AF29" s="178"/>
      <c r="AG29" s="261"/>
      <c r="AH29" t="e">
        <f t="shared" si="1"/>
        <v>#N/A</v>
      </c>
      <c r="AI29" t="e">
        <f t="shared" si="7"/>
        <v>#N/A</v>
      </c>
      <c r="AJ29" s="179" t="e">
        <f t="shared" si="2"/>
        <v>#N/A</v>
      </c>
      <c r="AK29" s="179" t="e">
        <f t="shared" si="3"/>
        <v>#N/A</v>
      </c>
      <c r="AL29" t="e">
        <f t="shared" si="8"/>
        <v>#N/A</v>
      </c>
      <c r="AM29" s="179" t="e">
        <f t="shared" si="4"/>
        <v>#N/A</v>
      </c>
      <c r="AN29" s="179" t="e">
        <f t="shared" si="5"/>
        <v>#N/A</v>
      </c>
      <c r="AO29" t="e">
        <f t="shared" si="6"/>
        <v>#N/A</v>
      </c>
      <c r="AQ29" s="179"/>
      <c r="AR29" s="87"/>
      <c r="AS29" s="179"/>
      <c r="AT29" s="87"/>
      <c r="AU29" s="180"/>
      <c r="AV29" s="87"/>
      <c r="AW29" s="180"/>
      <c r="AX29" s="87"/>
    </row>
    <row r="30" spans="1:50">
      <c r="A30" t="s">
        <v>284</v>
      </c>
      <c r="S30" s="89"/>
      <c r="AB30" s="89"/>
      <c r="AC30" s="177"/>
      <c r="AD30" s="178"/>
      <c r="AE30" s="177"/>
      <c r="AF30" s="178"/>
      <c r="AG30" s="261"/>
      <c r="AH30" t="e">
        <f t="shared" si="1"/>
        <v>#N/A</v>
      </c>
      <c r="AI30" t="e">
        <f t="shared" si="7"/>
        <v>#N/A</v>
      </c>
      <c r="AJ30" s="179" t="e">
        <f t="shared" si="2"/>
        <v>#N/A</v>
      </c>
      <c r="AK30" s="179" t="e">
        <f t="shared" si="3"/>
        <v>#N/A</v>
      </c>
      <c r="AL30" t="e">
        <f t="shared" si="8"/>
        <v>#N/A</v>
      </c>
      <c r="AM30" s="179" t="e">
        <f t="shared" si="4"/>
        <v>#N/A</v>
      </c>
      <c r="AN30" s="179" t="e">
        <f t="shared" si="5"/>
        <v>#N/A</v>
      </c>
      <c r="AO30" t="e">
        <f t="shared" si="6"/>
        <v>#N/A</v>
      </c>
      <c r="AQ30" s="179"/>
      <c r="AR30" s="87"/>
      <c r="AS30" s="179"/>
      <c r="AT30" s="87"/>
      <c r="AU30" s="180"/>
      <c r="AV30" s="87"/>
      <c r="AW30" s="180"/>
      <c r="AX30" s="87"/>
    </row>
    <row r="31" spans="1:50">
      <c r="S31" s="89"/>
      <c r="AB31" s="89"/>
      <c r="AC31" s="177"/>
      <c r="AD31" s="178"/>
      <c r="AE31" s="177"/>
      <c r="AF31" s="178"/>
      <c r="AG31" s="261"/>
      <c r="AH31" t="e">
        <f t="shared" si="1"/>
        <v>#N/A</v>
      </c>
      <c r="AI31" t="e">
        <f t="shared" si="7"/>
        <v>#N/A</v>
      </c>
      <c r="AJ31" s="179" t="e">
        <f t="shared" si="2"/>
        <v>#N/A</v>
      </c>
      <c r="AK31" s="179" t="e">
        <f t="shared" si="3"/>
        <v>#N/A</v>
      </c>
      <c r="AL31" t="e">
        <f t="shared" si="8"/>
        <v>#N/A</v>
      </c>
      <c r="AM31" s="179" t="e">
        <f t="shared" si="4"/>
        <v>#N/A</v>
      </c>
      <c r="AN31" s="179" t="e">
        <f t="shared" si="5"/>
        <v>#N/A</v>
      </c>
      <c r="AO31" t="e">
        <f t="shared" si="6"/>
        <v>#N/A</v>
      </c>
      <c r="AQ31" s="179"/>
      <c r="AR31" s="87"/>
      <c r="AS31" s="179"/>
      <c r="AT31" s="87"/>
      <c r="AU31" s="180"/>
      <c r="AV31" s="87"/>
      <c r="AW31" s="180"/>
      <c r="AX31" s="87"/>
    </row>
    <row r="32" spans="1:50">
      <c r="S32" s="89"/>
      <c r="AB32" s="89"/>
      <c r="AC32" s="177"/>
      <c r="AD32" s="178"/>
      <c r="AE32" s="177"/>
      <c r="AF32" s="178"/>
      <c r="AG32" s="261"/>
      <c r="AH32" t="e">
        <f t="shared" si="1"/>
        <v>#N/A</v>
      </c>
      <c r="AI32" t="e">
        <f t="shared" si="7"/>
        <v>#N/A</v>
      </c>
      <c r="AJ32" s="179" t="e">
        <f t="shared" si="2"/>
        <v>#N/A</v>
      </c>
      <c r="AK32" s="179" t="e">
        <f t="shared" si="3"/>
        <v>#N/A</v>
      </c>
      <c r="AL32" t="e">
        <f t="shared" si="8"/>
        <v>#N/A</v>
      </c>
      <c r="AM32" s="179" t="e">
        <f t="shared" si="4"/>
        <v>#N/A</v>
      </c>
      <c r="AN32" s="179" t="e">
        <f t="shared" si="5"/>
        <v>#N/A</v>
      </c>
      <c r="AO32" t="e">
        <f t="shared" si="6"/>
        <v>#N/A</v>
      </c>
      <c r="AQ32" s="179"/>
      <c r="AR32" s="87"/>
      <c r="AS32" s="179"/>
      <c r="AT32" s="87"/>
      <c r="AU32" s="180"/>
      <c r="AV32" s="87"/>
      <c r="AW32" s="180"/>
      <c r="AX32" s="87"/>
    </row>
    <row r="33" spans="1:50" ht="15.75">
      <c r="A33" s="40" t="s">
        <v>285</v>
      </c>
      <c r="B33" s="41"/>
      <c r="C33" s="42"/>
      <c r="D33" s="43"/>
      <c r="F33" s="29" t="s">
        <v>20</v>
      </c>
      <c r="S33" s="89"/>
      <c r="AB33" s="89"/>
      <c r="AC33" s="177"/>
      <c r="AD33" s="178"/>
      <c r="AE33" s="177"/>
      <c r="AF33" s="178"/>
      <c r="AG33" s="261"/>
      <c r="AH33" t="e">
        <f t="shared" si="1"/>
        <v>#N/A</v>
      </c>
      <c r="AI33" t="e">
        <f t="shared" si="7"/>
        <v>#N/A</v>
      </c>
      <c r="AJ33" s="179" t="e">
        <f t="shared" si="2"/>
        <v>#N/A</v>
      </c>
      <c r="AK33" s="179" t="e">
        <f t="shared" si="3"/>
        <v>#N/A</v>
      </c>
      <c r="AL33" t="e">
        <f t="shared" si="8"/>
        <v>#N/A</v>
      </c>
      <c r="AM33" s="179" t="e">
        <f t="shared" si="4"/>
        <v>#N/A</v>
      </c>
      <c r="AN33" s="179" t="e">
        <f t="shared" si="5"/>
        <v>#N/A</v>
      </c>
      <c r="AO33" t="e">
        <f t="shared" si="6"/>
        <v>#N/A</v>
      </c>
      <c r="AQ33" s="179"/>
      <c r="AR33" s="87"/>
      <c r="AS33" s="179"/>
      <c r="AT33" s="87"/>
      <c r="AU33" s="180"/>
      <c r="AV33" s="87"/>
      <c r="AW33" s="180"/>
      <c r="AX33" s="87"/>
    </row>
    <row r="34" spans="1:50">
      <c r="A34" s="44"/>
      <c r="B34" s="45" t="s">
        <v>21</v>
      </c>
      <c r="C34" s="197" t="s">
        <v>274</v>
      </c>
      <c r="D34" s="198">
        <f>VLOOKUP(label,Results,4,FALSE)</f>
        <v>1705</v>
      </c>
      <c r="E34" s="199" t="s">
        <v>286</v>
      </c>
      <c r="F34" s="200"/>
      <c r="G34" s="189" t="s">
        <v>287</v>
      </c>
      <c r="S34" s="89"/>
      <c r="AB34" s="89"/>
      <c r="AC34" s="177"/>
      <c r="AD34" s="178"/>
      <c r="AE34" s="177"/>
      <c r="AF34" s="178"/>
      <c r="AG34" s="261"/>
      <c r="AH34" t="e">
        <f t="shared" si="1"/>
        <v>#N/A</v>
      </c>
      <c r="AI34" t="e">
        <f t="shared" si="7"/>
        <v>#N/A</v>
      </c>
      <c r="AJ34" s="179" t="e">
        <f t="shared" si="2"/>
        <v>#N/A</v>
      </c>
      <c r="AK34" s="179" t="e">
        <f t="shared" si="3"/>
        <v>#N/A</v>
      </c>
      <c r="AL34" t="e">
        <f t="shared" si="8"/>
        <v>#N/A</v>
      </c>
      <c r="AM34" s="179" t="e">
        <f t="shared" si="4"/>
        <v>#N/A</v>
      </c>
      <c r="AN34" s="179" t="e">
        <f t="shared" si="5"/>
        <v>#N/A</v>
      </c>
      <c r="AO34" t="e">
        <f t="shared" si="6"/>
        <v>#N/A</v>
      </c>
      <c r="AQ34" s="179"/>
      <c r="AR34" s="87"/>
      <c r="AS34" s="179"/>
      <c r="AT34" s="87"/>
      <c r="AU34" s="180"/>
      <c r="AV34" s="87"/>
      <c r="AW34" s="180"/>
      <c r="AX34" s="87"/>
    </row>
    <row r="35" spans="1:50">
      <c r="A35" s="46" t="s">
        <v>22</v>
      </c>
      <c r="B35" s="45" t="s">
        <v>23</v>
      </c>
      <c r="E35" s="46" t="s">
        <v>24</v>
      </c>
      <c r="S35" s="89"/>
      <c r="AB35" s="89"/>
      <c r="AC35" s="177"/>
      <c r="AD35" s="178"/>
      <c r="AE35" s="177"/>
      <c r="AF35" s="178"/>
      <c r="AG35" s="261"/>
      <c r="AH35" t="e">
        <f t="shared" si="1"/>
        <v>#N/A</v>
      </c>
      <c r="AI35" t="e">
        <f t="shared" si="7"/>
        <v>#N/A</v>
      </c>
      <c r="AJ35" s="179" t="e">
        <f t="shared" si="2"/>
        <v>#N/A</v>
      </c>
      <c r="AK35" s="179" t="e">
        <f t="shared" si="3"/>
        <v>#N/A</v>
      </c>
      <c r="AL35" t="e">
        <f t="shared" si="8"/>
        <v>#N/A</v>
      </c>
      <c r="AM35" s="179" t="e">
        <f t="shared" si="4"/>
        <v>#N/A</v>
      </c>
      <c r="AN35" s="179" t="e">
        <f t="shared" si="5"/>
        <v>#N/A</v>
      </c>
      <c r="AO35" t="e">
        <f t="shared" si="6"/>
        <v>#N/A</v>
      </c>
      <c r="AQ35" s="179"/>
      <c r="AR35" s="87"/>
      <c r="AS35" s="179"/>
      <c r="AT35" s="87"/>
      <c r="AU35" s="180"/>
      <c r="AV35" s="87"/>
      <c r="AW35" s="180"/>
      <c r="AX35" s="87"/>
    </row>
    <row r="36" spans="1:50" ht="15.75">
      <c r="A36" s="48"/>
      <c r="B36" s="45" t="s">
        <v>275</v>
      </c>
      <c r="C36" s="46" t="s">
        <v>25</v>
      </c>
      <c r="D36" s="46" t="s">
        <v>26</v>
      </c>
      <c r="E36" s="46" t="s">
        <v>27</v>
      </c>
      <c r="F36" s="46" t="s">
        <v>28</v>
      </c>
      <c r="K36" s="184" t="s">
        <v>142</v>
      </c>
      <c r="S36" s="89"/>
      <c r="AB36" s="89"/>
      <c r="AC36" s="177"/>
      <c r="AD36" s="178"/>
      <c r="AE36" s="177"/>
      <c r="AF36" s="178"/>
      <c r="AG36" s="261"/>
      <c r="AH36" t="e">
        <f t="shared" si="1"/>
        <v>#N/A</v>
      </c>
      <c r="AI36" t="e">
        <f t="shared" si="7"/>
        <v>#N/A</v>
      </c>
      <c r="AJ36" s="179" t="e">
        <f t="shared" si="2"/>
        <v>#N/A</v>
      </c>
      <c r="AK36" s="179" t="e">
        <f t="shared" si="3"/>
        <v>#N/A</v>
      </c>
      <c r="AL36" t="e">
        <f t="shared" si="8"/>
        <v>#N/A</v>
      </c>
      <c r="AM36" s="179" t="e">
        <f t="shared" si="4"/>
        <v>#N/A</v>
      </c>
      <c r="AN36" s="179" t="e">
        <f t="shared" si="5"/>
        <v>#N/A</v>
      </c>
      <c r="AO36" t="e">
        <f t="shared" si="6"/>
        <v>#N/A</v>
      </c>
      <c r="AQ36" s="179"/>
      <c r="AR36" s="87"/>
      <c r="AS36" s="179"/>
      <c r="AT36" s="87"/>
      <c r="AU36" s="180"/>
      <c r="AV36" s="87"/>
      <c r="AW36" s="180"/>
      <c r="AX36" s="87"/>
    </row>
    <row r="37" spans="1:50">
      <c r="A37" s="49" t="s">
        <v>312</v>
      </c>
      <c r="B37" s="50">
        <f>10*0.000016*D11</f>
        <v>159.97343999999998</v>
      </c>
      <c r="C37" s="51">
        <f t="shared" ref="C37:C45" si="20">B37^2</f>
        <v>25591.501505433593</v>
      </c>
      <c r="D37" s="62" t="s">
        <v>126</v>
      </c>
      <c r="E37" s="53">
        <v>13</v>
      </c>
      <c r="F37" s="51">
        <f t="shared" ref="F37:F45" si="21">B37^4/E37</f>
        <v>50378842.25404691</v>
      </c>
      <c r="G37" t="s">
        <v>127</v>
      </c>
      <c r="K37" s="189" t="s">
        <v>288</v>
      </c>
      <c r="L37" t="s">
        <v>327</v>
      </c>
      <c r="S37" s="89"/>
      <c r="AB37" s="89"/>
      <c r="AC37" s="177"/>
      <c r="AD37" s="178"/>
      <c r="AE37" s="177"/>
      <c r="AF37" s="178"/>
      <c r="AG37" s="261"/>
      <c r="AH37" t="e">
        <f t="shared" ref="AH37:AH59" si="22">VLOOKUP(AB37, Results,2,FALSE)</f>
        <v>#N/A</v>
      </c>
      <c r="AI37" t="e">
        <f t="shared" si="7"/>
        <v>#N/A</v>
      </c>
      <c r="AJ37" s="179" t="e">
        <f t="shared" ref="AJ37:AJ59" si="23">VLOOKUP(AH37,multiplier,4,FALSE)</f>
        <v>#N/A</v>
      </c>
      <c r="AK37" s="179" t="e">
        <f t="shared" ref="AK37:AK59" si="24">VLOOKUP(AH37,multiplier,8,FALSE)</f>
        <v>#N/A</v>
      </c>
      <c r="AL37" t="e">
        <f t="shared" si="8"/>
        <v>#N/A</v>
      </c>
      <c r="AM37" s="179" t="e">
        <f t="shared" ref="AM37:AM59" si="25">VLOOKUP(AH37,multiplier,7,FALSE)</f>
        <v>#N/A</v>
      </c>
      <c r="AN37" s="179" t="e">
        <f t="shared" ref="AN37:AN59" si="26">VLOOKUP(AH37,multiplier,9,FALSE)</f>
        <v>#N/A</v>
      </c>
      <c r="AO37" t="e">
        <f t="shared" ref="AO37:AO59" si="27">VLOOKUP(AB37,Results,9,FALSE)</f>
        <v>#N/A</v>
      </c>
      <c r="AQ37" s="179"/>
      <c r="AR37" s="87"/>
      <c r="AS37" s="179"/>
      <c r="AT37" s="87"/>
      <c r="AU37" s="180"/>
      <c r="AV37" s="87"/>
      <c r="AW37" s="180"/>
      <c r="AX37" s="87"/>
    </row>
    <row r="38" spans="1:50">
      <c r="A38" s="49" t="s">
        <v>113</v>
      </c>
      <c r="B38" s="188">
        <v>10</v>
      </c>
      <c r="C38" s="51">
        <f t="shared" si="20"/>
        <v>100</v>
      </c>
      <c r="D38" s="52">
        <v>30</v>
      </c>
      <c r="E38" s="53">
        <f t="shared" ref="E38:E44" si="28">0.5*(1/(0.01*D38)^2)</f>
        <v>5.5555555555555554</v>
      </c>
      <c r="F38" s="51">
        <f t="shared" si="21"/>
        <v>1800</v>
      </c>
      <c r="K38" s="189" t="s">
        <v>289</v>
      </c>
      <c r="S38" s="89"/>
      <c r="AB38" s="89"/>
      <c r="AC38" s="177"/>
      <c r="AD38" s="178"/>
      <c r="AE38" s="177"/>
      <c r="AF38" s="178"/>
      <c r="AG38" s="261"/>
      <c r="AH38" t="e">
        <f t="shared" si="22"/>
        <v>#N/A</v>
      </c>
      <c r="AI38" t="e">
        <f t="shared" si="7"/>
        <v>#N/A</v>
      </c>
      <c r="AJ38" s="179" t="e">
        <f t="shared" si="23"/>
        <v>#N/A</v>
      </c>
      <c r="AK38" s="179" t="e">
        <f t="shared" si="24"/>
        <v>#N/A</v>
      </c>
      <c r="AL38" t="e">
        <f t="shared" si="8"/>
        <v>#N/A</v>
      </c>
      <c r="AM38" s="179" t="e">
        <f t="shared" si="25"/>
        <v>#N/A</v>
      </c>
      <c r="AN38" s="179" t="e">
        <f t="shared" si="26"/>
        <v>#N/A</v>
      </c>
      <c r="AO38" t="e">
        <f t="shared" si="27"/>
        <v>#N/A</v>
      </c>
      <c r="AQ38" s="179"/>
      <c r="AR38" s="87"/>
      <c r="AS38" s="179"/>
      <c r="AT38" s="87"/>
      <c r="AU38" s="180"/>
      <c r="AV38" s="87"/>
      <c r="AW38" s="180"/>
      <c r="AX38" s="87"/>
    </row>
    <row r="39" spans="1:50">
      <c r="A39" s="49" t="s">
        <v>111</v>
      </c>
      <c r="B39" s="185">
        <f>2.5*0.000001*D34*10</f>
        <v>4.2624999999999996E-2</v>
      </c>
      <c r="C39" s="51">
        <f t="shared" si="20"/>
        <v>1.8168906249999997E-3</v>
      </c>
      <c r="D39" s="52">
        <v>30</v>
      </c>
      <c r="E39" s="53">
        <f t="shared" si="28"/>
        <v>5.5555555555555554</v>
      </c>
      <c r="F39" s="51">
        <f t="shared" si="21"/>
        <v>5.9419647777832014E-7</v>
      </c>
      <c r="G39" t="s">
        <v>112</v>
      </c>
      <c r="K39" s="187"/>
      <c r="S39" s="89"/>
      <c r="AB39" s="89"/>
      <c r="AC39" s="177"/>
      <c r="AD39" s="178"/>
      <c r="AE39" s="177"/>
      <c r="AF39" s="178"/>
      <c r="AG39" s="261"/>
      <c r="AH39" t="e">
        <f t="shared" si="22"/>
        <v>#N/A</v>
      </c>
      <c r="AI39" t="e">
        <f t="shared" si="7"/>
        <v>#N/A</v>
      </c>
      <c r="AJ39" s="179" t="e">
        <f t="shared" si="23"/>
        <v>#N/A</v>
      </c>
      <c r="AK39" s="179" t="e">
        <f t="shared" si="24"/>
        <v>#N/A</v>
      </c>
      <c r="AL39" t="e">
        <f t="shared" si="8"/>
        <v>#N/A</v>
      </c>
      <c r="AM39" s="179" t="e">
        <f t="shared" si="25"/>
        <v>#N/A</v>
      </c>
      <c r="AN39" s="179" t="e">
        <f t="shared" si="26"/>
        <v>#N/A</v>
      </c>
      <c r="AO39" t="e">
        <f t="shared" si="27"/>
        <v>#N/A</v>
      </c>
      <c r="AQ39" s="179"/>
      <c r="AR39" s="87"/>
      <c r="AS39" s="179"/>
      <c r="AT39" s="87"/>
      <c r="AU39" s="180"/>
      <c r="AV39" s="87"/>
      <c r="AW39" s="180"/>
      <c r="AX39" s="87"/>
    </row>
    <row r="40" spans="1:50">
      <c r="A40" s="55" t="s">
        <v>121</v>
      </c>
      <c r="B40" s="191">
        <v>10</v>
      </c>
      <c r="C40" s="51">
        <f t="shared" si="20"/>
        <v>100</v>
      </c>
      <c r="D40" s="52">
        <v>30</v>
      </c>
      <c r="E40" s="53">
        <f t="shared" si="28"/>
        <v>5.5555555555555554</v>
      </c>
      <c r="F40" s="51">
        <f t="shared" si="21"/>
        <v>1800</v>
      </c>
      <c r="G40" t="s">
        <v>290</v>
      </c>
      <c r="L40" s="223" t="s">
        <v>328</v>
      </c>
      <c r="S40" s="89"/>
      <c r="AB40" s="89"/>
      <c r="AC40" s="177"/>
      <c r="AD40" s="178"/>
      <c r="AE40" s="177"/>
      <c r="AF40" s="178"/>
      <c r="AG40" s="261"/>
      <c r="AH40" t="e">
        <f t="shared" si="22"/>
        <v>#N/A</v>
      </c>
      <c r="AI40" t="e">
        <f t="shared" si="7"/>
        <v>#N/A</v>
      </c>
      <c r="AJ40" s="179" t="e">
        <f t="shared" si="23"/>
        <v>#N/A</v>
      </c>
      <c r="AK40" s="179" t="e">
        <f t="shared" si="24"/>
        <v>#N/A</v>
      </c>
      <c r="AL40" t="e">
        <f t="shared" si="8"/>
        <v>#N/A</v>
      </c>
      <c r="AM40" s="179" t="e">
        <f t="shared" si="25"/>
        <v>#N/A</v>
      </c>
      <c r="AN40" s="179" t="e">
        <f t="shared" si="26"/>
        <v>#N/A</v>
      </c>
      <c r="AO40" t="e">
        <f t="shared" si="27"/>
        <v>#N/A</v>
      </c>
      <c r="AQ40" s="179"/>
      <c r="AR40" s="87"/>
      <c r="AS40" s="179"/>
      <c r="AT40" s="87"/>
      <c r="AU40" s="180"/>
      <c r="AV40" s="87"/>
      <c r="AW40" s="180"/>
      <c r="AX40" s="87"/>
    </row>
    <row r="41" spans="1:50">
      <c r="A41" s="49" t="s">
        <v>115</v>
      </c>
      <c r="B41" s="185">
        <f>17*0.000001*D34</f>
        <v>2.8985E-2</v>
      </c>
      <c r="C41" s="51">
        <f t="shared" si="20"/>
        <v>8.4013022499999999E-4</v>
      </c>
      <c r="D41" s="52">
        <v>30</v>
      </c>
      <c r="E41" s="53">
        <f t="shared" si="28"/>
        <v>5.5555555555555554</v>
      </c>
      <c r="F41" s="51">
        <f t="shared" si="21"/>
        <v>1.2704738309253912E-7</v>
      </c>
      <c r="G41" t="s">
        <v>291</v>
      </c>
      <c r="K41" s="189" t="s">
        <v>277</v>
      </c>
      <c r="S41" s="89"/>
      <c r="AB41" s="89"/>
      <c r="AC41" s="177"/>
      <c r="AD41" s="178"/>
      <c r="AE41" s="177"/>
      <c r="AF41" s="178"/>
      <c r="AG41" s="263"/>
      <c r="AH41" t="e">
        <f t="shared" si="22"/>
        <v>#N/A</v>
      </c>
      <c r="AI41" t="e">
        <f t="shared" si="7"/>
        <v>#N/A</v>
      </c>
      <c r="AJ41" s="179" t="e">
        <f t="shared" si="23"/>
        <v>#N/A</v>
      </c>
      <c r="AK41" s="179" t="e">
        <f t="shared" si="24"/>
        <v>#N/A</v>
      </c>
      <c r="AL41" t="e">
        <f t="shared" si="8"/>
        <v>#N/A</v>
      </c>
      <c r="AM41" s="179" t="e">
        <f t="shared" si="25"/>
        <v>#N/A</v>
      </c>
      <c r="AN41" s="179" t="e">
        <f t="shared" si="26"/>
        <v>#N/A</v>
      </c>
      <c r="AO41" t="e">
        <f t="shared" si="27"/>
        <v>#N/A</v>
      </c>
      <c r="AQ41" s="179"/>
      <c r="AR41" s="87"/>
      <c r="AS41" s="179"/>
      <c r="AT41" s="87"/>
      <c r="AU41" s="180"/>
      <c r="AV41" s="87"/>
      <c r="AW41" s="180"/>
      <c r="AX41" s="87"/>
    </row>
    <row r="42" spans="1:50">
      <c r="A42" s="55" t="s">
        <v>116</v>
      </c>
      <c r="B42" s="190">
        <f>2*0.000001*D34*10</f>
        <v>3.4099999999999998E-2</v>
      </c>
      <c r="C42" s="51">
        <f t="shared" si="20"/>
        <v>1.1628099999999998E-3</v>
      </c>
      <c r="D42" s="52">
        <v>50</v>
      </c>
      <c r="E42" s="53">
        <f t="shared" si="28"/>
        <v>2</v>
      </c>
      <c r="F42" s="51">
        <f t="shared" si="21"/>
        <v>6.7606354804999981E-7</v>
      </c>
      <c r="G42" t="s">
        <v>117</v>
      </c>
      <c r="K42" s="187"/>
      <c r="S42" s="89"/>
      <c r="AB42" s="89"/>
      <c r="AC42" s="177"/>
      <c r="AD42" s="178"/>
      <c r="AE42" s="177"/>
      <c r="AF42" s="178"/>
      <c r="AG42" s="263"/>
      <c r="AH42" t="e">
        <f t="shared" si="22"/>
        <v>#N/A</v>
      </c>
      <c r="AI42" t="e">
        <f t="shared" si="7"/>
        <v>#N/A</v>
      </c>
      <c r="AJ42" s="179" t="e">
        <f t="shared" si="23"/>
        <v>#N/A</v>
      </c>
      <c r="AK42" s="179" t="e">
        <f t="shared" si="24"/>
        <v>#N/A</v>
      </c>
      <c r="AL42" t="e">
        <f t="shared" si="8"/>
        <v>#N/A</v>
      </c>
      <c r="AM42" s="179" t="e">
        <f t="shared" si="25"/>
        <v>#N/A</v>
      </c>
      <c r="AN42" s="179" t="e">
        <f t="shared" si="26"/>
        <v>#N/A</v>
      </c>
      <c r="AO42" t="e">
        <f t="shared" si="27"/>
        <v>#N/A</v>
      </c>
      <c r="AQ42" s="179"/>
      <c r="AR42" s="87"/>
      <c r="AS42" s="179"/>
      <c r="AT42" s="87"/>
      <c r="AU42" s="180"/>
      <c r="AV42" s="87"/>
      <c r="AW42" s="180"/>
      <c r="AX42" s="87"/>
    </row>
    <row r="43" spans="1:50">
      <c r="A43" s="55" t="s">
        <v>120</v>
      </c>
      <c r="B43" s="190">
        <f>2*0.000001*D34*10</f>
        <v>3.4099999999999998E-2</v>
      </c>
      <c r="C43" s="186">
        <f t="shared" si="20"/>
        <v>1.1628099999999998E-3</v>
      </c>
      <c r="D43" s="52">
        <v>30</v>
      </c>
      <c r="E43" s="53">
        <f t="shared" si="28"/>
        <v>5.5555555555555554</v>
      </c>
      <c r="F43" s="51">
        <f t="shared" si="21"/>
        <v>2.4338287729799996E-7</v>
      </c>
      <c r="G43" t="s">
        <v>128</v>
      </c>
      <c r="K43" s="187"/>
      <c r="S43" s="89"/>
      <c r="AB43" s="89"/>
      <c r="AC43" s="177"/>
      <c r="AD43" s="178"/>
      <c r="AE43" s="177"/>
      <c r="AF43" s="178"/>
      <c r="AG43" s="263"/>
      <c r="AH43" t="e">
        <f t="shared" si="22"/>
        <v>#N/A</v>
      </c>
      <c r="AI43" t="e">
        <f t="shared" si="7"/>
        <v>#N/A</v>
      </c>
      <c r="AJ43" s="179" t="e">
        <f t="shared" si="23"/>
        <v>#N/A</v>
      </c>
      <c r="AK43" s="179" t="e">
        <f t="shared" si="24"/>
        <v>#N/A</v>
      </c>
      <c r="AL43" t="e">
        <f t="shared" si="8"/>
        <v>#N/A</v>
      </c>
      <c r="AM43" s="179" t="e">
        <f t="shared" si="25"/>
        <v>#N/A</v>
      </c>
      <c r="AN43" s="179" t="e">
        <f t="shared" si="26"/>
        <v>#N/A</v>
      </c>
      <c r="AO43" t="e">
        <f t="shared" si="27"/>
        <v>#N/A</v>
      </c>
      <c r="AQ43" s="179"/>
      <c r="AR43" s="87"/>
      <c r="AS43" s="179"/>
      <c r="AT43" s="87"/>
      <c r="AU43" s="180"/>
      <c r="AV43" s="87"/>
      <c r="AW43" s="180"/>
      <c r="AX43" s="87"/>
    </row>
    <row r="44" spans="1:50">
      <c r="B44" s="54">
        <v>0</v>
      </c>
      <c r="C44" s="51">
        <f t="shared" si="20"/>
        <v>0</v>
      </c>
      <c r="D44" s="52">
        <v>50</v>
      </c>
      <c r="E44" s="53">
        <f t="shared" si="28"/>
        <v>2</v>
      </c>
      <c r="F44" s="51">
        <f t="shared" si="21"/>
        <v>0</v>
      </c>
      <c r="K44" s="189" t="s">
        <v>292</v>
      </c>
      <c r="S44" s="89"/>
      <c r="AB44" s="89"/>
      <c r="AC44" s="177"/>
      <c r="AD44" s="178"/>
      <c r="AE44" s="177"/>
      <c r="AF44" s="178"/>
      <c r="AG44" s="261"/>
      <c r="AH44" t="e">
        <f t="shared" si="22"/>
        <v>#N/A</v>
      </c>
      <c r="AI44" t="e">
        <f t="shared" si="7"/>
        <v>#N/A</v>
      </c>
      <c r="AJ44" s="179" t="e">
        <f t="shared" si="23"/>
        <v>#N/A</v>
      </c>
      <c r="AK44" s="179" t="e">
        <f t="shared" si="24"/>
        <v>#N/A</v>
      </c>
      <c r="AL44" t="e">
        <f t="shared" si="8"/>
        <v>#N/A</v>
      </c>
      <c r="AM44" s="179" t="e">
        <f t="shared" si="25"/>
        <v>#N/A</v>
      </c>
      <c r="AN44" s="179" t="e">
        <f t="shared" si="26"/>
        <v>#N/A</v>
      </c>
      <c r="AO44" t="e">
        <f t="shared" si="27"/>
        <v>#N/A</v>
      </c>
      <c r="AQ44" s="179"/>
      <c r="AR44" s="87"/>
      <c r="AS44" s="179"/>
      <c r="AT44" s="87"/>
      <c r="AU44" s="180"/>
      <c r="AV44" s="87"/>
      <c r="AW44" s="180"/>
      <c r="AX44" s="87"/>
    </row>
    <row r="45" spans="1:50">
      <c r="A45" s="55"/>
      <c r="B45" s="54">
        <v>0</v>
      </c>
      <c r="C45" s="51">
        <f t="shared" si="20"/>
        <v>0</v>
      </c>
      <c r="D45" s="52">
        <v>1</v>
      </c>
      <c r="E45" s="53">
        <f>0.5*(1/(0.01*D45)^2)</f>
        <v>5000</v>
      </c>
      <c r="F45" s="51">
        <f t="shared" si="21"/>
        <v>0</v>
      </c>
      <c r="S45" s="89"/>
      <c r="AB45" s="89"/>
      <c r="AC45" s="177"/>
      <c r="AD45" s="178"/>
      <c r="AE45" s="177"/>
      <c r="AF45" s="178"/>
      <c r="AG45" s="261"/>
      <c r="AH45" t="e">
        <f t="shared" si="22"/>
        <v>#N/A</v>
      </c>
      <c r="AI45" t="e">
        <f t="shared" si="7"/>
        <v>#N/A</v>
      </c>
      <c r="AJ45" s="179" t="e">
        <f t="shared" si="23"/>
        <v>#N/A</v>
      </c>
      <c r="AK45" s="179" t="e">
        <f t="shared" si="24"/>
        <v>#N/A</v>
      </c>
      <c r="AL45" t="e">
        <f t="shared" si="8"/>
        <v>#N/A</v>
      </c>
      <c r="AM45" s="179" t="e">
        <f t="shared" si="25"/>
        <v>#N/A</v>
      </c>
      <c r="AN45" s="179" t="e">
        <f t="shared" si="26"/>
        <v>#N/A</v>
      </c>
      <c r="AO45" t="e">
        <f t="shared" si="27"/>
        <v>#N/A</v>
      </c>
      <c r="AQ45" s="179"/>
      <c r="AR45" s="87"/>
      <c r="AS45" s="179"/>
      <c r="AT45" s="87"/>
      <c r="AU45" s="180"/>
      <c r="AV45" s="87"/>
      <c r="AW45" s="180"/>
      <c r="AX45" s="87"/>
    </row>
    <row r="46" spans="1:50" ht="13.5" thickBot="1">
      <c r="B46" s="57" t="s">
        <v>29</v>
      </c>
      <c r="C46" s="201">
        <f>SUM(C37:C45)</f>
        <v>25791.506488074443</v>
      </c>
      <c r="E46" s="27" t="s">
        <v>30</v>
      </c>
      <c r="F46" s="186">
        <f>SUM(F37:F45)</f>
        <v>50382442.254048556</v>
      </c>
      <c r="S46" s="89"/>
      <c r="AB46" s="89"/>
      <c r="AC46" s="177"/>
      <c r="AD46" s="178"/>
      <c r="AE46" s="177"/>
      <c r="AF46" s="178"/>
      <c r="AG46" s="261"/>
      <c r="AH46" t="e">
        <f t="shared" si="22"/>
        <v>#N/A</v>
      </c>
      <c r="AI46" t="e">
        <f t="shared" si="7"/>
        <v>#N/A</v>
      </c>
      <c r="AJ46" s="179" t="e">
        <f t="shared" si="23"/>
        <v>#N/A</v>
      </c>
      <c r="AK46" s="179" t="e">
        <f t="shared" si="24"/>
        <v>#N/A</v>
      </c>
      <c r="AL46" t="e">
        <f t="shared" si="8"/>
        <v>#N/A</v>
      </c>
      <c r="AM46" s="179" t="e">
        <f t="shared" si="25"/>
        <v>#N/A</v>
      </c>
      <c r="AN46" s="179" t="e">
        <f t="shared" si="26"/>
        <v>#N/A</v>
      </c>
      <c r="AO46" t="e">
        <f t="shared" si="27"/>
        <v>#N/A</v>
      </c>
      <c r="AQ46" s="179"/>
      <c r="AR46" s="87"/>
      <c r="AS46" s="179"/>
      <c r="AT46" s="87"/>
      <c r="AU46" s="180"/>
      <c r="AV46" s="87"/>
      <c r="AW46" s="180"/>
      <c r="AX46" s="87"/>
    </row>
    <row r="47" spans="1:50">
      <c r="B47" s="57" t="s">
        <v>282</v>
      </c>
      <c r="C47" s="202">
        <f>SQRT(C46)</f>
        <v>160.59734271797416</v>
      </c>
      <c r="E47" s="58" t="s">
        <v>31</v>
      </c>
      <c r="F47" s="194">
        <f>R_standard_uncertainty^4/F46</f>
        <v>13.203048069209725</v>
      </c>
      <c r="S47" s="89"/>
      <c r="AB47" s="89"/>
      <c r="AC47" s="177"/>
      <c r="AD47" s="178"/>
      <c r="AE47" s="177"/>
      <c r="AF47" s="178"/>
      <c r="AG47" s="262"/>
      <c r="AH47" t="e">
        <f t="shared" si="22"/>
        <v>#N/A</v>
      </c>
      <c r="AI47" t="e">
        <f t="shared" si="7"/>
        <v>#N/A</v>
      </c>
      <c r="AJ47" s="179" t="e">
        <f t="shared" si="23"/>
        <v>#N/A</v>
      </c>
      <c r="AK47" s="179" t="e">
        <f t="shared" si="24"/>
        <v>#N/A</v>
      </c>
      <c r="AL47" t="e">
        <f t="shared" si="8"/>
        <v>#N/A</v>
      </c>
      <c r="AM47" s="179" t="e">
        <f t="shared" si="25"/>
        <v>#N/A</v>
      </c>
      <c r="AN47" s="179" t="e">
        <f t="shared" si="26"/>
        <v>#N/A</v>
      </c>
      <c r="AO47" t="e">
        <f t="shared" si="27"/>
        <v>#N/A</v>
      </c>
      <c r="AQ47" s="179"/>
      <c r="AR47" s="87"/>
      <c r="AS47" s="179"/>
      <c r="AT47" s="87"/>
      <c r="AU47" s="180"/>
      <c r="AV47" s="87"/>
      <c r="AW47" s="180"/>
      <c r="AX47" s="87"/>
    </row>
    <row r="48" spans="1:50">
      <c r="B48" s="34"/>
      <c r="E48" s="59" t="s">
        <v>17</v>
      </c>
      <c r="F48" s="195">
        <f>$G$3+$G$4/F47+$G$5/F47^2+$G$6/F47^3</f>
        <v>2.1500453529048937</v>
      </c>
      <c r="S48" s="89"/>
      <c r="AB48" s="89"/>
      <c r="AC48" s="177"/>
      <c r="AD48" s="178"/>
      <c r="AE48" s="177"/>
      <c r="AF48" s="178"/>
      <c r="AG48" s="262"/>
      <c r="AH48" t="e">
        <f t="shared" si="22"/>
        <v>#N/A</v>
      </c>
      <c r="AI48" t="e">
        <f t="shared" si="7"/>
        <v>#N/A</v>
      </c>
      <c r="AJ48" s="179" t="e">
        <f t="shared" si="23"/>
        <v>#N/A</v>
      </c>
      <c r="AK48" s="179" t="e">
        <f t="shared" si="24"/>
        <v>#N/A</v>
      </c>
      <c r="AL48" t="e">
        <f t="shared" si="8"/>
        <v>#N/A</v>
      </c>
      <c r="AM48" s="179" t="e">
        <f t="shared" si="25"/>
        <v>#N/A</v>
      </c>
      <c r="AN48" s="179" t="e">
        <f t="shared" si="26"/>
        <v>#N/A</v>
      </c>
      <c r="AO48" t="e">
        <f t="shared" si="27"/>
        <v>#N/A</v>
      </c>
      <c r="AQ48" s="179"/>
      <c r="AR48" s="87"/>
      <c r="AS48" s="179"/>
      <c r="AT48" s="87"/>
      <c r="AU48" s="180"/>
      <c r="AV48" s="87"/>
      <c r="AW48" s="180"/>
      <c r="AX48" s="87"/>
    </row>
    <row r="49" spans="1:50" ht="13.5" thickBot="1">
      <c r="A49" s="27" t="s">
        <v>32</v>
      </c>
      <c r="B49" s="34"/>
      <c r="E49" s="60" t="s">
        <v>123</v>
      </c>
      <c r="F49" s="196">
        <f>F48*R_standard_uncertainty</f>
        <v>345.29157039965492</v>
      </c>
      <c r="S49" s="89"/>
      <c r="AB49" s="89"/>
      <c r="AC49" s="177"/>
      <c r="AD49" s="178"/>
      <c r="AE49" s="177"/>
      <c r="AF49" s="178"/>
      <c r="AG49" s="262"/>
      <c r="AH49" t="e">
        <f t="shared" si="22"/>
        <v>#N/A</v>
      </c>
      <c r="AI49" t="e">
        <f t="shared" si="7"/>
        <v>#N/A</v>
      </c>
      <c r="AJ49" s="179" t="e">
        <f t="shared" si="23"/>
        <v>#N/A</v>
      </c>
      <c r="AK49" s="179" t="e">
        <f t="shared" si="24"/>
        <v>#N/A</v>
      </c>
      <c r="AL49" t="e">
        <f t="shared" si="8"/>
        <v>#N/A</v>
      </c>
      <c r="AM49" s="179" t="e">
        <f t="shared" si="25"/>
        <v>#N/A</v>
      </c>
      <c r="AN49" s="179" t="e">
        <f t="shared" si="26"/>
        <v>#N/A</v>
      </c>
      <c r="AO49" t="e">
        <f t="shared" si="27"/>
        <v>#N/A</v>
      </c>
      <c r="AQ49" s="179"/>
      <c r="AR49" s="87"/>
      <c r="AS49" s="179"/>
      <c r="AT49" s="87"/>
      <c r="AU49" s="180"/>
      <c r="AV49" s="87"/>
      <c r="AW49" s="180"/>
      <c r="AX49" s="87"/>
    </row>
    <row r="50" spans="1:50">
      <c r="A50" s="29" t="s">
        <v>293</v>
      </c>
      <c r="B50" s="34"/>
      <c r="S50" s="89"/>
      <c r="AB50" s="89"/>
      <c r="AC50" s="177"/>
      <c r="AD50" s="178"/>
      <c r="AE50" s="177"/>
      <c r="AF50" s="178"/>
      <c r="AG50" s="261"/>
      <c r="AH50" t="e">
        <f t="shared" si="22"/>
        <v>#N/A</v>
      </c>
      <c r="AI50" t="e">
        <f t="shared" si="7"/>
        <v>#N/A</v>
      </c>
      <c r="AJ50" s="179" t="e">
        <f t="shared" si="23"/>
        <v>#N/A</v>
      </c>
      <c r="AK50" s="179" t="e">
        <f t="shared" si="24"/>
        <v>#N/A</v>
      </c>
      <c r="AL50" t="e">
        <f t="shared" si="8"/>
        <v>#N/A</v>
      </c>
      <c r="AM50" s="179" t="e">
        <f t="shared" si="25"/>
        <v>#N/A</v>
      </c>
      <c r="AN50" s="179" t="e">
        <f t="shared" si="26"/>
        <v>#N/A</v>
      </c>
      <c r="AO50" t="e">
        <f t="shared" si="27"/>
        <v>#N/A</v>
      </c>
      <c r="AQ50" s="179"/>
      <c r="AR50" s="87"/>
      <c r="AS50" s="179"/>
      <c r="AT50" s="87"/>
      <c r="AU50" s="180"/>
      <c r="AV50" s="87"/>
      <c r="AW50" s="180"/>
      <c r="AX50" s="87"/>
    </row>
    <row r="51" spans="1:50">
      <c r="A51" t="s">
        <v>294</v>
      </c>
      <c r="B51" s="34"/>
      <c r="E51" s="29"/>
      <c r="F51" s="61"/>
      <c r="S51" s="89"/>
      <c r="AB51" s="89"/>
      <c r="AC51" s="177"/>
      <c r="AD51" s="178"/>
      <c r="AE51" s="177"/>
      <c r="AF51" s="178"/>
      <c r="AG51" s="261"/>
      <c r="AH51" t="e">
        <f t="shared" si="22"/>
        <v>#N/A</v>
      </c>
      <c r="AI51" t="e">
        <f t="shared" si="7"/>
        <v>#N/A</v>
      </c>
      <c r="AJ51" s="179" t="e">
        <f t="shared" si="23"/>
        <v>#N/A</v>
      </c>
      <c r="AK51" s="179" t="e">
        <f t="shared" si="24"/>
        <v>#N/A</v>
      </c>
      <c r="AL51" t="e">
        <f t="shared" si="8"/>
        <v>#N/A</v>
      </c>
      <c r="AM51" s="179" t="e">
        <f t="shared" si="25"/>
        <v>#N/A</v>
      </c>
      <c r="AN51" s="179" t="e">
        <f t="shared" si="26"/>
        <v>#N/A</v>
      </c>
      <c r="AO51" t="e">
        <f t="shared" si="27"/>
        <v>#N/A</v>
      </c>
      <c r="AQ51" s="179"/>
      <c r="AR51" s="87"/>
      <c r="AS51" s="179"/>
      <c r="AT51" s="87"/>
      <c r="AU51" s="180"/>
      <c r="AV51" s="87"/>
      <c r="AW51" s="180"/>
      <c r="AX51" s="87"/>
    </row>
    <row r="52" spans="1:50">
      <c r="B52" s="34"/>
      <c r="S52" s="89"/>
      <c r="AB52" s="89"/>
      <c r="AC52" s="177"/>
      <c r="AD52" s="178"/>
      <c r="AE52" s="177"/>
      <c r="AF52" s="178"/>
      <c r="AG52" s="261"/>
      <c r="AH52" t="e">
        <f t="shared" si="22"/>
        <v>#N/A</v>
      </c>
      <c r="AI52" t="e">
        <f t="shared" si="7"/>
        <v>#N/A</v>
      </c>
      <c r="AJ52" s="179" t="e">
        <f t="shared" si="23"/>
        <v>#N/A</v>
      </c>
      <c r="AK52" s="179" t="e">
        <f t="shared" si="24"/>
        <v>#N/A</v>
      </c>
      <c r="AL52" t="e">
        <f t="shared" si="8"/>
        <v>#N/A</v>
      </c>
      <c r="AM52" s="179" t="e">
        <f t="shared" si="25"/>
        <v>#N/A</v>
      </c>
      <c r="AN52" s="179" t="e">
        <f t="shared" si="26"/>
        <v>#N/A</v>
      </c>
      <c r="AO52" t="e">
        <f t="shared" si="27"/>
        <v>#N/A</v>
      </c>
      <c r="AQ52" s="179"/>
      <c r="AR52" s="87"/>
      <c r="AS52" s="179"/>
      <c r="AT52" s="87"/>
      <c r="AU52" s="180"/>
      <c r="AV52" s="87"/>
      <c r="AW52" s="180"/>
      <c r="AX52" s="87"/>
    </row>
    <row r="53" spans="1:50">
      <c r="S53" s="89"/>
      <c r="AB53" s="89"/>
      <c r="AC53" s="177"/>
      <c r="AD53" s="178"/>
      <c r="AE53" s="177"/>
      <c r="AF53" s="178"/>
      <c r="AG53" s="261"/>
      <c r="AH53" t="e">
        <f t="shared" si="22"/>
        <v>#N/A</v>
      </c>
      <c r="AI53" t="e">
        <f t="shared" si="7"/>
        <v>#N/A</v>
      </c>
      <c r="AJ53" s="179" t="e">
        <f t="shared" si="23"/>
        <v>#N/A</v>
      </c>
      <c r="AK53" s="179" t="e">
        <f t="shared" si="24"/>
        <v>#N/A</v>
      </c>
      <c r="AL53" t="e">
        <f t="shared" si="8"/>
        <v>#N/A</v>
      </c>
      <c r="AM53" s="179" t="e">
        <f t="shared" si="25"/>
        <v>#N/A</v>
      </c>
      <c r="AN53" s="179" t="e">
        <f t="shared" si="26"/>
        <v>#N/A</v>
      </c>
      <c r="AO53" t="e">
        <f t="shared" si="27"/>
        <v>#N/A</v>
      </c>
      <c r="AQ53" s="179"/>
      <c r="AR53" s="87"/>
      <c r="AS53" s="179"/>
      <c r="AT53" s="87"/>
      <c r="AU53" s="180"/>
      <c r="AV53" s="87"/>
      <c r="AW53" s="180"/>
      <c r="AX53" s="87"/>
    </row>
    <row r="54" spans="1:50" ht="15.75">
      <c r="A54" s="40" t="s">
        <v>314</v>
      </c>
      <c r="B54" s="41"/>
      <c r="C54" s="42"/>
      <c r="D54" s="43"/>
      <c r="F54" s="29" t="s">
        <v>20</v>
      </c>
      <c r="I54" s="203"/>
      <c r="S54" s="89"/>
      <c r="AB54" s="89"/>
      <c r="AC54" s="177"/>
      <c r="AD54" s="178"/>
      <c r="AE54" s="177"/>
      <c r="AF54" s="178"/>
      <c r="AG54" s="261"/>
      <c r="AH54" t="e">
        <f t="shared" si="22"/>
        <v>#N/A</v>
      </c>
      <c r="AI54" t="e">
        <f t="shared" si="7"/>
        <v>#N/A</v>
      </c>
      <c r="AJ54" s="179" t="e">
        <f t="shared" si="23"/>
        <v>#N/A</v>
      </c>
      <c r="AK54" s="179" t="e">
        <f t="shared" si="24"/>
        <v>#N/A</v>
      </c>
      <c r="AL54" t="e">
        <f t="shared" si="8"/>
        <v>#N/A</v>
      </c>
      <c r="AM54" s="179" t="e">
        <f t="shared" si="25"/>
        <v>#N/A</v>
      </c>
      <c r="AN54" s="179" t="e">
        <f t="shared" si="26"/>
        <v>#N/A</v>
      </c>
      <c r="AO54" t="e">
        <f t="shared" si="27"/>
        <v>#N/A</v>
      </c>
      <c r="AQ54" s="204"/>
      <c r="AR54" s="205"/>
      <c r="AT54" s="87"/>
    </row>
    <row r="55" spans="1:50">
      <c r="A55" s="44"/>
      <c r="B55" s="45" t="s">
        <v>21</v>
      </c>
      <c r="C55" s="63"/>
      <c r="D55" s="64"/>
      <c r="E55" s="44"/>
      <c r="F55" s="44"/>
      <c r="S55" s="89"/>
      <c r="AB55" s="89"/>
      <c r="AC55" s="177"/>
      <c r="AD55" s="178"/>
      <c r="AE55" s="177"/>
      <c r="AF55" s="178"/>
      <c r="AG55" s="261"/>
      <c r="AH55" t="e">
        <f t="shared" si="22"/>
        <v>#N/A</v>
      </c>
      <c r="AI55" t="e">
        <f t="shared" si="7"/>
        <v>#N/A</v>
      </c>
      <c r="AJ55" s="179" t="e">
        <f t="shared" si="23"/>
        <v>#N/A</v>
      </c>
      <c r="AK55" s="179" t="e">
        <f t="shared" si="24"/>
        <v>#N/A</v>
      </c>
      <c r="AL55" t="e">
        <f t="shared" si="8"/>
        <v>#N/A</v>
      </c>
      <c r="AM55" s="179" t="e">
        <f t="shared" si="25"/>
        <v>#N/A</v>
      </c>
      <c r="AN55" s="179" t="e">
        <f t="shared" si="26"/>
        <v>#N/A</v>
      </c>
      <c r="AO55" t="e">
        <f t="shared" si="27"/>
        <v>#N/A</v>
      </c>
      <c r="AQ55" s="204"/>
      <c r="AR55" s="205"/>
      <c r="AT55" s="87"/>
    </row>
    <row r="56" spans="1:50">
      <c r="A56" s="46" t="s">
        <v>22</v>
      </c>
      <c r="B56" s="45" t="s">
        <v>23</v>
      </c>
      <c r="E56" s="46" t="s">
        <v>24</v>
      </c>
      <c r="S56" s="89"/>
      <c r="AB56" s="89"/>
      <c r="AC56" s="177"/>
      <c r="AD56" s="178"/>
      <c r="AE56" s="177"/>
      <c r="AF56" s="178"/>
      <c r="AG56" s="261"/>
      <c r="AH56" t="e">
        <f t="shared" si="22"/>
        <v>#N/A</v>
      </c>
      <c r="AI56" t="e">
        <f t="shared" si="7"/>
        <v>#N/A</v>
      </c>
      <c r="AJ56" s="179" t="e">
        <f t="shared" si="23"/>
        <v>#N/A</v>
      </c>
      <c r="AK56" s="179" t="e">
        <f t="shared" si="24"/>
        <v>#N/A</v>
      </c>
      <c r="AL56" t="e">
        <f t="shared" si="8"/>
        <v>#N/A</v>
      </c>
      <c r="AM56" s="179" t="e">
        <f t="shared" si="25"/>
        <v>#N/A</v>
      </c>
      <c r="AN56" s="179" t="e">
        <f t="shared" si="26"/>
        <v>#N/A</v>
      </c>
      <c r="AO56" t="e">
        <f t="shared" si="27"/>
        <v>#N/A</v>
      </c>
      <c r="AQ56" s="204"/>
      <c r="AR56" s="205"/>
      <c r="AT56" s="87"/>
    </row>
    <row r="57" spans="1:50" ht="15.75">
      <c r="A57" s="48"/>
      <c r="B57" s="45" t="s">
        <v>275</v>
      </c>
      <c r="C57" s="46" t="s">
        <v>25</v>
      </c>
      <c r="D57" s="46" t="s">
        <v>26</v>
      </c>
      <c r="E57" s="46" t="s">
        <v>27</v>
      </c>
      <c r="F57" s="46" t="s">
        <v>28</v>
      </c>
      <c r="S57" s="89"/>
      <c r="AB57" s="89"/>
      <c r="AC57" s="177"/>
      <c r="AD57" s="178"/>
      <c r="AE57" s="177"/>
      <c r="AF57" s="178"/>
      <c r="AG57" s="261"/>
      <c r="AH57" t="e">
        <f t="shared" si="22"/>
        <v>#N/A</v>
      </c>
      <c r="AI57" t="e">
        <f t="shared" si="7"/>
        <v>#N/A</v>
      </c>
      <c r="AJ57" s="179" t="e">
        <f t="shared" si="23"/>
        <v>#N/A</v>
      </c>
      <c r="AK57" s="179" t="e">
        <f t="shared" si="24"/>
        <v>#N/A</v>
      </c>
      <c r="AL57" t="e">
        <f t="shared" si="8"/>
        <v>#N/A</v>
      </c>
      <c r="AM57" s="179" t="e">
        <f t="shared" si="25"/>
        <v>#N/A</v>
      </c>
      <c r="AN57" s="179" t="e">
        <f t="shared" si="26"/>
        <v>#N/A</v>
      </c>
      <c r="AO57" t="e">
        <f t="shared" si="27"/>
        <v>#N/A</v>
      </c>
      <c r="AQ57" s="204"/>
      <c r="AR57" s="205"/>
      <c r="AT57" s="87"/>
    </row>
    <row r="58" spans="1:50">
      <c r="A58" s="49" t="s">
        <v>129</v>
      </c>
      <c r="B58" s="191">
        <f>R_standard_uncertainty</f>
        <v>160.59734271797416</v>
      </c>
      <c r="C58" s="51">
        <f>B58^2</f>
        <v>25791.506488074447</v>
      </c>
      <c r="D58" s="62" t="s">
        <v>126</v>
      </c>
      <c r="E58" s="206">
        <f>R_v</f>
        <v>13.203048069209725</v>
      </c>
      <c r="F58" s="51">
        <f>B58^4/E58</f>
        <v>50382442.254048556</v>
      </c>
      <c r="G58" t="s">
        <v>295</v>
      </c>
      <c r="S58" s="89"/>
      <c r="AB58" s="89"/>
      <c r="AC58" s="177"/>
      <c r="AD58" s="178"/>
      <c r="AE58" s="177"/>
      <c r="AF58" s="178"/>
      <c r="AG58" s="261"/>
      <c r="AH58" t="e">
        <f t="shared" si="22"/>
        <v>#N/A</v>
      </c>
      <c r="AI58" t="e">
        <f t="shared" si="7"/>
        <v>#N/A</v>
      </c>
      <c r="AJ58" s="179" t="e">
        <f t="shared" si="23"/>
        <v>#N/A</v>
      </c>
      <c r="AK58" s="179" t="e">
        <f t="shared" si="24"/>
        <v>#N/A</v>
      </c>
      <c r="AL58" t="e">
        <f t="shared" si="8"/>
        <v>#N/A</v>
      </c>
      <c r="AM58" s="179" t="e">
        <f t="shared" si="25"/>
        <v>#N/A</v>
      </c>
      <c r="AN58" s="179" t="e">
        <f t="shared" si="26"/>
        <v>#N/A</v>
      </c>
      <c r="AO58" t="e">
        <f t="shared" si="27"/>
        <v>#N/A</v>
      </c>
      <c r="AQ58" s="204"/>
      <c r="AR58" s="205"/>
      <c r="AT58" s="87"/>
    </row>
    <row r="59" spans="1:50">
      <c r="A59" s="49" t="s">
        <v>296</v>
      </c>
      <c r="B59" s="207">
        <v>0</v>
      </c>
      <c r="C59" s="51">
        <f>B59^2</f>
        <v>0</v>
      </c>
      <c r="D59" s="52">
        <v>30</v>
      </c>
      <c r="E59" s="53">
        <f>0.5*(1/(0.01*D59)^2)</f>
        <v>5.5555555555555554</v>
      </c>
      <c r="F59" s="51">
        <f>B59^4/E59</f>
        <v>0</v>
      </c>
      <c r="S59" s="89"/>
      <c r="AB59" s="89"/>
      <c r="AC59" s="177"/>
      <c r="AD59" s="178"/>
      <c r="AE59" s="177"/>
      <c r="AF59" s="178"/>
      <c r="AG59" s="261"/>
      <c r="AH59" t="e">
        <f t="shared" si="22"/>
        <v>#N/A</v>
      </c>
      <c r="AI59" t="e">
        <f t="shared" si="7"/>
        <v>#N/A</v>
      </c>
      <c r="AJ59" s="179" t="e">
        <f t="shared" si="23"/>
        <v>#N/A</v>
      </c>
      <c r="AK59" s="179" t="e">
        <f t="shared" si="24"/>
        <v>#N/A</v>
      </c>
      <c r="AL59" t="e">
        <f t="shared" si="8"/>
        <v>#N/A</v>
      </c>
      <c r="AM59" s="179" t="e">
        <f t="shared" si="25"/>
        <v>#N/A</v>
      </c>
      <c r="AN59" s="179" t="e">
        <f t="shared" si="26"/>
        <v>#N/A</v>
      </c>
      <c r="AO59" t="e">
        <f t="shared" si="27"/>
        <v>#N/A</v>
      </c>
      <c r="AQ59" s="204"/>
      <c r="AR59" s="205"/>
      <c r="AT59" s="87"/>
    </row>
    <row r="60" spans="1:50">
      <c r="A60" s="49" t="s">
        <v>130</v>
      </c>
      <c r="B60" s="185">
        <f>SQRT((VLOOKUP(label, Params,2,FALSE)*0.5)^2+(0.5*0.2*VLOOKUP(label, Params,3,FALSE))^2)*0.000001*D34</f>
        <v>0</v>
      </c>
      <c r="C60" s="51">
        <f>B60^2</f>
        <v>0</v>
      </c>
      <c r="D60" s="52">
        <v>20</v>
      </c>
      <c r="E60" s="53">
        <f>0.5*(1/(0.01*D60)^2)</f>
        <v>12.499999999999998</v>
      </c>
      <c r="F60" s="51">
        <f>B60^4/E60</f>
        <v>0</v>
      </c>
      <c r="G60" t="s">
        <v>297</v>
      </c>
    </row>
    <row r="61" spans="1:50">
      <c r="A61" s="49" t="s">
        <v>298</v>
      </c>
      <c r="B61" s="185">
        <f>VLOOKUP(label,Params,7,FALSE)</f>
        <v>0</v>
      </c>
      <c r="C61" s="186">
        <f>B61^2</f>
        <v>0</v>
      </c>
      <c r="D61" s="52">
        <v>30</v>
      </c>
      <c r="E61" s="53">
        <f>0.5*(1/(0.01*D61)^2)</f>
        <v>5.5555555555555554</v>
      </c>
      <c r="F61" s="51">
        <f>B61^4/E61</f>
        <v>0</v>
      </c>
      <c r="G61" t="s">
        <v>299</v>
      </c>
      <c r="AQ61" s="29" t="s">
        <v>300</v>
      </c>
    </row>
    <row r="62" spans="1:50" ht="13.5" thickBot="1">
      <c r="B62" s="57" t="s">
        <v>29</v>
      </c>
      <c r="C62" s="201">
        <f>SUM(C58:C61)</f>
        <v>25791.506488074447</v>
      </c>
      <c r="E62" s="27" t="s">
        <v>30</v>
      </c>
      <c r="F62" s="51">
        <f>SUM(F58:F61)</f>
        <v>50382442.254048556</v>
      </c>
    </row>
    <row r="63" spans="1:50">
      <c r="B63" s="57" t="s">
        <v>282</v>
      </c>
      <c r="C63" s="188">
        <f>SQRT(C62)</f>
        <v>160.59734271797416</v>
      </c>
      <c r="E63" s="58" t="s">
        <v>31</v>
      </c>
      <c r="F63" s="194">
        <f>C63^4/F62</f>
        <v>13.203048069209725</v>
      </c>
      <c r="G63" s="203"/>
    </row>
    <row r="64" spans="1:50">
      <c r="B64" s="34"/>
      <c r="E64" s="59" t="s">
        <v>17</v>
      </c>
      <c r="F64" s="208">
        <f>$G$3+$G$4/F63+$G$5/F63^2+$G$6/F63^3</f>
        <v>2.1500453529048937</v>
      </c>
      <c r="G64" s="203"/>
    </row>
    <row r="65" spans="1:7" ht="13.5" thickBot="1">
      <c r="A65" s="27" t="s">
        <v>32</v>
      </c>
      <c r="B65" s="34"/>
      <c r="E65" s="60" t="s">
        <v>123</v>
      </c>
      <c r="F65" s="209">
        <f>F64*C63</f>
        <v>345.29157039965492</v>
      </c>
      <c r="G65" s="203"/>
    </row>
    <row r="66" spans="1:7">
      <c r="A66" s="29" t="s">
        <v>301</v>
      </c>
      <c r="B66" s="34"/>
      <c r="F66" s="210">
        <f>F65*VLOOKUP(VLOOKUP(label,Results,2,FALSE),multiplier,5,FALSE)</f>
        <v>3.4529157039965488E-4</v>
      </c>
      <c r="G66" s="210" t="str">
        <f>VLOOKUP(label,Results,8,FALSE)</f>
        <v>milliS</v>
      </c>
    </row>
    <row r="67" spans="1:7">
      <c r="B67" s="34"/>
      <c r="E67" s="29"/>
      <c r="F67" s="61"/>
    </row>
    <row r="68" spans="1:7" ht="15.75">
      <c r="A68" s="40" t="s">
        <v>315</v>
      </c>
      <c r="B68" s="41"/>
      <c r="C68" s="42"/>
      <c r="D68" s="65"/>
      <c r="F68" s="29" t="s">
        <v>20</v>
      </c>
    </row>
    <row r="69" spans="1:7">
      <c r="A69" s="44"/>
      <c r="B69" s="45" t="s">
        <v>21</v>
      </c>
      <c r="C69" s="44"/>
      <c r="D69" s="44"/>
      <c r="E69" s="44"/>
      <c r="F69" s="44"/>
    </row>
    <row r="70" spans="1:7">
      <c r="A70" s="46" t="s">
        <v>22</v>
      </c>
      <c r="B70" s="45" t="s">
        <v>23</v>
      </c>
      <c r="E70" s="46" t="s">
        <v>24</v>
      </c>
    </row>
    <row r="71" spans="1:7" ht="15.75">
      <c r="A71" s="48"/>
      <c r="B71" s="45" t="s">
        <v>275</v>
      </c>
      <c r="C71" s="46" t="s">
        <v>25</v>
      </c>
      <c r="D71" s="46" t="s">
        <v>26</v>
      </c>
      <c r="E71" s="46" t="s">
        <v>27</v>
      </c>
      <c r="F71" s="46" t="s">
        <v>28</v>
      </c>
    </row>
    <row r="72" spans="1:7">
      <c r="A72" s="49" t="s">
        <v>129</v>
      </c>
      <c r="B72" s="211">
        <f>L_standard_uncertainty</f>
        <v>18.103073446354827</v>
      </c>
      <c r="C72" s="186">
        <f>B72^2</f>
        <v>327.72126820411722</v>
      </c>
      <c r="D72" s="62" t="s">
        <v>126</v>
      </c>
      <c r="E72" s="206">
        <f>L_v</f>
        <v>6.9955828271695841</v>
      </c>
      <c r="F72" s="186">
        <f>B72^4/E72</f>
        <v>15352.7207506125</v>
      </c>
      <c r="G72" s="203"/>
    </row>
    <row r="73" spans="1:7">
      <c r="A73" s="49" t="s">
        <v>130</v>
      </c>
      <c r="B73" s="185">
        <f>SQRT((VLOOKUP(label, Params,4,FALSE)*0.5)^2+(0.5*0.2*VLOOKUP(label, Params,5,FALSE))^2)*0.000001*D11</f>
        <v>4.6494968648122024</v>
      </c>
      <c r="C73" s="186">
        <f>B73^2</f>
        <v>21.617821095898499</v>
      </c>
      <c r="D73" s="52">
        <v>30</v>
      </c>
      <c r="E73" s="206">
        <f>0.5*(1/(0.01*D73)^2)</f>
        <v>5.5555555555555554</v>
      </c>
      <c r="F73" s="186">
        <f>B73^4/E73</f>
        <v>84.119434008169364</v>
      </c>
      <c r="G73" s="256" t="s">
        <v>370</v>
      </c>
    </row>
    <row r="74" spans="1:7">
      <c r="A74" s="49" t="s">
        <v>302</v>
      </c>
      <c r="B74" s="185">
        <v>0</v>
      </c>
      <c r="C74" s="186">
        <f>B74^2</f>
        <v>0</v>
      </c>
      <c r="D74" s="52">
        <v>30</v>
      </c>
      <c r="E74" s="206">
        <f>0.5*(1/(0.01*D74)^2)</f>
        <v>5.5555555555555554</v>
      </c>
      <c r="F74" s="186">
        <f>B74^4/E74</f>
        <v>0</v>
      </c>
      <c r="G74" s="203"/>
    </row>
    <row r="75" spans="1:7">
      <c r="A75" s="49" t="s">
        <v>303</v>
      </c>
      <c r="B75" s="185">
        <f>VLOOKUP(label,Params,6,FALSE)</f>
        <v>0</v>
      </c>
      <c r="C75" s="186">
        <f>B75^2</f>
        <v>0</v>
      </c>
      <c r="D75" s="52">
        <v>30</v>
      </c>
      <c r="E75" s="206">
        <f>0.5*(1/(0.01*D75)^2)</f>
        <v>5.5555555555555554</v>
      </c>
      <c r="F75" s="186">
        <f>B75^4/E75</f>
        <v>0</v>
      </c>
      <c r="G75" s="203" t="s">
        <v>299</v>
      </c>
    </row>
    <row r="76" spans="1:7" ht="13.5" thickBot="1">
      <c r="B76" s="212" t="s">
        <v>29</v>
      </c>
      <c r="C76" s="201">
        <f>SUM(C72:C75)</f>
        <v>349.3390893000157</v>
      </c>
      <c r="E76" s="213" t="s">
        <v>30</v>
      </c>
      <c r="F76" s="186">
        <f>SUM(F72:F75)</f>
        <v>15436.840184620669</v>
      </c>
      <c r="G76" s="203"/>
    </row>
    <row r="77" spans="1:7">
      <c r="B77" s="212" t="s">
        <v>304</v>
      </c>
      <c r="C77" s="202">
        <f>SQRT(C76)</f>
        <v>18.690615005933211</v>
      </c>
      <c r="E77" s="214" t="s">
        <v>31</v>
      </c>
      <c r="F77" s="194">
        <f>C77^4/F76</f>
        <v>7.9056204413224087</v>
      </c>
      <c r="G77" s="203"/>
    </row>
    <row r="78" spans="1:7">
      <c r="B78" s="34"/>
      <c r="E78" s="215" t="s">
        <v>17</v>
      </c>
      <c r="F78" s="208">
        <f>$G$3+$G$4/F77+$G$5/F77^2+$G$6/F77^3</f>
        <v>2.2947813825905605</v>
      </c>
      <c r="G78" s="203"/>
    </row>
    <row r="79" spans="1:7" ht="13.5" thickBot="1">
      <c r="A79" s="27" t="s">
        <v>32</v>
      </c>
      <c r="B79" s="34"/>
      <c r="E79" s="216" t="s">
        <v>305</v>
      </c>
      <c r="F79" s="217">
        <f>F78*C77</f>
        <v>42.890875344783289</v>
      </c>
      <c r="G79" s="203"/>
    </row>
    <row r="80" spans="1:7">
      <c r="A80" s="29" t="s">
        <v>301</v>
      </c>
      <c r="B80" s="34"/>
      <c r="E80" s="203"/>
      <c r="F80" s="210">
        <f>F79*VLOOKUP(VLOOKUP(label,Results,2,FALSE),multiplier,2,FALSE)</f>
        <v>4.2890875344783289E-5</v>
      </c>
      <c r="G80" s="218" t="str">
        <f>VLOOKUP(label,Results,6,FALSE)</f>
        <v>microF</v>
      </c>
    </row>
  </sheetData>
  <phoneticPr fontId="0" type="noConversion"/>
  <conditionalFormatting sqref="AV5:AV53 AR5:AR59 AT5:AT59 AX5:AX53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60" orientation="portrait" r:id="rId1"/>
  <headerFooter alignWithMargins="0">
    <oddHeader>&amp;A</oddHeader>
    <oddFooter>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39"/>
  <sheetViews>
    <sheetView showGridLines="0" topLeftCell="A19" zoomScale="110" zoomScaleNormal="110" workbookViewId="0">
      <selection activeCell="B22" sqref="B22:I36"/>
    </sheetView>
  </sheetViews>
  <sheetFormatPr defaultRowHeight="12.75"/>
  <cols>
    <col min="1" max="1" width="11" customWidth="1"/>
    <col min="2" max="2" width="14" customWidth="1"/>
    <col min="3" max="3" width="13" customWidth="1"/>
    <col min="4" max="4" width="14.5703125" customWidth="1"/>
    <col min="5" max="5" width="12.28515625" customWidth="1"/>
    <col min="6" max="6" width="9.140625" customWidth="1"/>
    <col min="7" max="7" width="12.85546875" customWidth="1"/>
    <col min="8" max="8" width="12.5703125" customWidth="1"/>
    <col min="10" max="10" width="7.42578125" customWidth="1"/>
    <col min="11" max="11" width="12" customWidth="1"/>
    <col min="12" max="12" width="12.28515625" customWidth="1"/>
    <col min="13" max="13" width="14.28515625" customWidth="1"/>
    <col min="14" max="14" width="10" bestFit="1" customWidth="1"/>
  </cols>
  <sheetData>
    <row r="1" spans="1:14">
      <c r="A1" s="148" t="s">
        <v>199</v>
      </c>
      <c r="B1" s="92"/>
    </row>
    <row r="4" spans="1:14">
      <c r="A4" s="255">
        <f>Results!B4</f>
        <v>41791</v>
      </c>
      <c r="C4" s="16"/>
      <c r="D4" s="16"/>
      <c r="E4" s="16"/>
      <c r="F4" s="16"/>
      <c r="G4" s="16"/>
      <c r="H4" s="16"/>
      <c r="I4" s="86"/>
      <c r="J4" s="16"/>
      <c r="K4" s="246" t="s">
        <v>371</v>
      </c>
    </row>
    <row r="5" spans="1:14" ht="15">
      <c r="B5" s="84" t="s">
        <v>16</v>
      </c>
      <c r="C5" s="224" t="s">
        <v>197</v>
      </c>
      <c r="D5" s="224" t="s">
        <v>34</v>
      </c>
      <c r="E5" s="224" t="s">
        <v>131</v>
      </c>
      <c r="F5" s="225" t="s">
        <v>146</v>
      </c>
      <c r="G5" s="224" t="s">
        <v>109</v>
      </c>
      <c r="H5" s="224" t="s">
        <v>131</v>
      </c>
      <c r="I5" s="226" t="s">
        <v>190</v>
      </c>
    </row>
    <row r="6" spans="1:14" ht="15">
      <c r="B6" s="84"/>
      <c r="C6" s="227"/>
      <c r="D6" s="227"/>
      <c r="E6" s="227" t="s">
        <v>132</v>
      </c>
      <c r="F6" s="228" t="s">
        <v>198</v>
      </c>
      <c r="G6" s="227"/>
      <c r="H6" s="227" t="s">
        <v>132</v>
      </c>
      <c r="I6" s="229" t="s">
        <v>198</v>
      </c>
      <c r="L6" s="246" t="s">
        <v>372</v>
      </c>
      <c r="M6" s="259" t="s">
        <v>373</v>
      </c>
      <c r="N6" s="259" t="s">
        <v>374</v>
      </c>
    </row>
    <row r="7" spans="1:14" ht="15">
      <c r="B7" s="84"/>
      <c r="C7" s="230" t="s">
        <v>145</v>
      </c>
      <c r="D7" s="230" t="s">
        <v>145</v>
      </c>
      <c r="E7" s="230" t="s">
        <v>145</v>
      </c>
      <c r="F7" s="231"/>
      <c r="G7" s="230" t="s">
        <v>135</v>
      </c>
      <c r="H7" s="230" t="s">
        <v>135</v>
      </c>
      <c r="I7" s="232"/>
      <c r="L7" s="246" t="s">
        <v>310</v>
      </c>
    </row>
    <row r="8" spans="1:14" ht="15">
      <c r="B8" t="s">
        <v>242</v>
      </c>
      <c r="C8" s="227">
        <v>1000</v>
      </c>
      <c r="D8" s="233">
        <f>VLOOKUP(B8,Rangex,5,FALSE)</f>
        <v>999.79444293385575</v>
      </c>
      <c r="E8" s="233">
        <f>VLOOKUP($B8,ub_uncertainty,2,FALSE)</f>
        <v>5.0847041452844258E-2</v>
      </c>
      <c r="F8" s="226">
        <f>VLOOKUP($B8,ub_uncertainty,3,FALSE)</f>
        <v>2.1617190787570473</v>
      </c>
      <c r="G8" s="234">
        <f>VLOOKUP(B8,Rangex,13,FALSE)</f>
        <v>-1.8113472553878095E-3</v>
      </c>
      <c r="H8" s="235">
        <f>VLOOKUP($B8,ub_uncertainty,6,FALSE)</f>
        <v>3.4531345474904045E-2</v>
      </c>
      <c r="I8" s="226">
        <f>VLOOKUP($B8,ub_uncertainty,5,FALSE)</f>
        <v>2.1500443416506778</v>
      </c>
      <c r="K8">
        <v>19.71</v>
      </c>
      <c r="L8" s="87">
        <f>(D8-D25)/D8*1000000</f>
        <v>-33.011223816089604</v>
      </c>
      <c r="M8" s="83">
        <f>K8-K25</f>
        <v>-0.37999999999999901</v>
      </c>
      <c r="N8" s="88">
        <f>L8/M8</f>
        <v>86.87164162128866</v>
      </c>
    </row>
    <row r="9" spans="1:14" ht="15">
      <c r="B9" t="s">
        <v>336</v>
      </c>
      <c r="C9" s="227">
        <v>100</v>
      </c>
      <c r="D9" s="236">
        <f>VLOOKUP(B9,Rangex,12,FALSE)</f>
        <v>99.994855108658371</v>
      </c>
      <c r="E9" s="236">
        <f>VLOOKUP($B9,ub_uncertainty,2,FALSE)</f>
        <v>5.0857439775214754E-3</v>
      </c>
      <c r="F9" s="229">
        <f t="shared" ref="F9:F19" si="0">VLOOKUP($B9,ub_uncertainty,3,FALSE)</f>
        <v>2.1617198857142985</v>
      </c>
      <c r="G9" s="234">
        <f>VLOOKUP(B9,Rangex,13,FALSE)</f>
        <v>0.10866181066691974</v>
      </c>
      <c r="H9" s="236">
        <f>VLOOKUP($B9,ub_uncertainty,6,FALSE)</f>
        <v>3.4534183379623794E-2</v>
      </c>
      <c r="I9" s="229">
        <f t="shared" ref="I9:I19" si="1">VLOOKUP($B9,ub_uncertainty,5,FALSE)</f>
        <v>2.1500454509494515</v>
      </c>
      <c r="K9">
        <v>19.809999999999999</v>
      </c>
      <c r="L9" s="87">
        <f t="shared" ref="L9:L11" si="2">(D9-D26)/D9*1000000</f>
        <v>-73.01029445153678</v>
      </c>
      <c r="M9" s="83">
        <f t="shared" ref="M9:M11" si="3">K9-K26</f>
        <v>-0.28000000000000114</v>
      </c>
      <c r="N9" s="88">
        <f t="shared" ref="N9:N11" si="4">L9/M9</f>
        <v>260.75105161263031</v>
      </c>
    </row>
    <row r="10" spans="1:14" ht="15">
      <c r="B10" t="s">
        <v>245</v>
      </c>
      <c r="C10" s="227">
        <v>10</v>
      </c>
      <c r="D10" s="237">
        <f>VLOOKUP(B10,Rangex,12,FALSE)</f>
        <v>9.9971953057649294</v>
      </c>
      <c r="E10" s="237">
        <f>VLOOKUP($B10,ub_uncertainty,2,FALSE)</f>
        <v>5.9905445665134728E-4</v>
      </c>
      <c r="F10" s="229">
        <f t="shared" si="0"/>
        <v>2.1066296139117031</v>
      </c>
      <c r="G10" s="234">
        <f>VLOOKUP(B10,Rangex,13,FALSE)</f>
        <v>0.1021178912271023</v>
      </c>
      <c r="H10" s="236">
        <f>VLOOKUP($B10,ub_uncertainty,6,FALSE)</f>
        <v>4.4024362337415079E-2</v>
      </c>
      <c r="I10" s="229">
        <f t="shared" si="1"/>
        <v>2.0612796688923471</v>
      </c>
      <c r="K10">
        <v>19.71</v>
      </c>
      <c r="L10" s="87">
        <f t="shared" si="2"/>
        <v>-90.033312325652176</v>
      </c>
      <c r="M10" s="83">
        <f t="shared" si="3"/>
        <v>-0.34999999999999787</v>
      </c>
      <c r="N10" s="88">
        <f t="shared" si="4"/>
        <v>257.23803521615065</v>
      </c>
    </row>
    <row r="11" spans="1:14" ht="15">
      <c r="B11" t="s">
        <v>247</v>
      </c>
      <c r="C11" s="230">
        <v>1</v>
      </c>
      <c r="D11" s="238">
        <f>VLOOKUP(B11,Rangex,12,FALSE)</f>
        <v>0.99988954580232448</v>
      </c>
      <c r="E11" s="238">
        <f>VLOOKUP($B11,ub_uncertainty,2,FALSE)</f>
        <v>4.1579058305861336E-4</v>
      </c>
      <c r="F11" s="232">
        <f t="shared" si="0"/>
        <v>2.5532362675585478</v>
      </c>
      <c r="G11" s="239">
        <f>VLOOKUP(B11,Rangex,13,FALSE)</f>
        <v>0.11607746456575932</v>
      </c>
      <c r="H11" s="240">
        <f>VLOOKUP($B11,ub_uncertainty,6,FALSE)</f>
        <v>0.31071164821564407</v>
      </c>
      <c r="I11" s="232">
        <f t="shared" si="1"/>
        <v>2.1827453963008949</v>
      </c>
      <c r="K11">
        <v>19.7</v>
      </c>
      <c r="L11" s="87">
        <f t="shared" si="2"/>
        <v>0</v>
      </c>
      <c r="M11" s="83">
        <f t="shared" si="3"/>
        <v>-0.35000000000000142</v>
      </c>
      <c r="N11" s="88">
        <f t="shared" si="4"/>
        <v>0</v>
      </c>
    </row>
    <row r="12" spans="1:14" ht="15">
      <c r="B12" s="84"/>
      <c r="C12" s="241"/>
      <c r="D12" s="242"/>
      <c r="E12" s="242"/>
      <c r="F12" s="242"/>
      <c r="G12" s="243"/>
      <c r="H12" s="243"/>
      <c r="I12" s="242"/>
      <c r="L12" s="96"/>
      <c r="M12" s="88"/>
      <c r="N12" s="88"/>
    </row>
    <row r="13" spans="1:14" ht="15">
      <c r="B13" s="84"/>
      <c r="C13" s="241"/>
      <c r="D13" s="242"/>
      <c r="E13" s="242"/>
      <c r="F13" s="242"/>
      <c r="G13" s="243"/>
      <c r="H13" s="243"/>
      <c r="I13" s="242"/>
      <c r="L13" s="96"/>
      <c r="M13" s="88"/>
      <c r="N13" s="88"/>
    </row>
    <row r="14" spans="1:14" ht="15">
      <c r="B14" s="84"/>
      <c r="C14" s="224" t="s">
        <v>197</v>
      </c>
      <c r="D14" s="224" t="s">
        <v>34</v>
      </c>
      <c r="E14" s="224" t="s">
        <v>131</v>
      </c>
      <c r="F14" s="225" t="s">
        <v>146</v>
      </c>
      <c r="G14" s="224" t="s">
        <v>109</v>
      </c>
      <c r="H14" s="224" t="s">
        <v>131</v>
      </c>
      <c r="I14" s="226" t="s">
        <v>146</v>
      </c>
      <c r="L14" s="96"/>
      <c r="M14" s="88"/>
      <c r="N14" s="88"/>
    </row>
    <row r="15" spans="1:14" ht="15">
      <c r="B15" s="84"/>
      <c r="C15" s="227"/>
      <c r="D15" s="227"/>
      <c r="E15" s="227" t="s">
        <v>132</v>
      </c>
      <c r="F15" s="228" t="s">
        <v>198</v>
      </c>
      <c r="G15" s="227"/>
      <c r="H15" s="227" t="s">
        <v>132</v>
      </c>
      <c r="I15" s="229" t="s">
        <v>198</v>
      </c>
      <c r="L15" s="96"/>
      <c r="M15" s="88"/>
      <c r="N15" s="88"/>
    </row>
    <row r="16" spans="1:14" ht="15">
      <c r="B16" s="95"/>
      <c r="C16" s="230" t="s">
        <v>329</v>
      </c>
      <c r="D16" s="230" t="s">
        <v>329</v>
      </c>
      <c r="E16" s="230" t="s">
        <v>329</v>
      </c>
      <c r="F16" s="231"/>
      <c r="G16" s="230" t="s">
        <v>135</v>
      </c>
      <c r="H16" s="230" t="s">
        <v>135</v>
      </c>
      <c r="I16" s="232"/>
      <c r="J16" s="16"/>
      <c r="K16" s="16"/>
      <c r="L16" s="96"/>
      <c r="M16" s="88"/>
      <c r="N16" s="88"/>
    </row>
    <row r="17" spans="1:14" ht="15">
      <c r="B17" t="s">
        <v>237</v>
      </c>
      <c r="C17" s="227">
        <v>1</v>
      </c>
      <c r="D17" s="244">
        <f>VLOOKUP(B17,Rangex,5,FALSE)</f>
        <v>0.99987149383343499</v>
      </c>
      <c r="E17" s="244">
        <f>VLOOKUP($B17,ub_uncertainty,2,FALSE)</f>
        <v>4.2889463255012688E-5</v>
      </c>
      <c r="F17" s="228">
        <f t="shared" si="0"/>
        <v>2.29478101323987</v>
      </c>
      <c r="G17" s="234">
        <f>VLOOKUP(B17,Rangex,10,FALSE)</f>
        <v>0.17001698858465097</v>
      </c>
      <c r="H17" s="234">
        <f>VLOOKUP($B17,ub_uncertainty,6,FALSE)</f>
        <v>3.4533533078245963E-2</v>
      </c>
      <c r="I17" s="229">
        <f t="shared" si="1"/>
        <v>2.1500451472830382</v>
      </c>
      <c r="K17">
        <v>19.68</v>
      </c>
      <c r="L17" s="87">
        <f t="shared" ref="L17:L19" si="5">(D17-D34)/D17*1000000</f>
        <v>-33.006568307077139</v>
      </c>
      <c r="M17" s="83">
        <f t="shared" ref="M17:M19" si="6">K17-K34</f>
        <v>-0.25</v>
      </c>
      <c r="N17" s="88">
        <f t="shared" ref="N17:N19" si="7">L17/M17</f>
        <v>132.02627322830855</v>
      </c>
    </row>
    <row r="18" spans="1:14" ht="15">
      <c r="B18" t="s">
        <v>238</v>
      </c>
      <c r="C18" s="227">
        <v>0.1</v>
      </c>
      <c r="D18" s="257">
        <f>VLOOKUP(B18,Rangex,5,FALSE)/1000</f>
        <v>9.9999850278793392E-2</v>
      </c>
      <c r="E18" s="257">
        <f>VLOOKUP($B18,ub_uncertainty,2,FALSE)/1000</f>
        <v>4.2894897514207271E-6</v>
      </c>
      <c r="F18" s="228">
        <f t="shared" si="0"/>
        <v>2.2947824504553562</v>
      </c>
      <c r="G18" s="234">
        <f>VLOOKUP(B18,Rangex,10,FALSE)</f>
        <v>3.9698924567249584E-2</v>
      </c>
      <c r="H18" s="234">
        <f>VLOOKUP($B18,ub_uncertainty,6,FALSE)</f>
        <v>3.4533509885303758E-2</v>
      </c>
      <c r="I18" s="229">
        <f t="shared" si="1"/>
        <v>2.1500460152872138</v>
      </c>
      <c r="K18">
        <v>19.829999999999998</v>
      </c>
      <c r="L18" s="87">
        <f t="shared" si="5"/>
        <v>-34.002448176127757</v>
      </c>
      <c r="M18" s="83">
        <f t="shared" si="6"/>
        <v>0</v>
      </c>
      <c r="N18" s="88" t="e">
        <f t="shared" si="7"/>
        <v>#DIV/0!</v>
      </c>
    </row>
    <row r="19" spans="1:14" ht="15">
      <c r="B19" t="s">
        <v>239</v>
      </c>
      <c r="C19" s="230">
        <v>0.01</v>
      </c>
      <c r="D19" s="258">
        <f>VLOOKUP(B19,Rangex,5,FALSE)/1000</f>
        <v>1.0000575069478979E-2</v>
      </c>
      <c r="E19" s="258">
        <f>VLOOKUP($B19,ub_uncertainty,2,FALSE)/1000</f>
        <v>4.2897379371845785E-7</v>
      </c>
      <c r="F19" s="231">
        <f t="shared" si="0"/>
        <v>2.2947830991429141</v>
      </c>
      <c r="G19" s="245">
        <f>VLOOKUP(B19,Rangex,10,FALSE)</f>
        <v>4.9295755853963653E-2</v>
      </c>
      <c r="H19" s="245">
        <f>VLOOKUP($B19,ub_uncertainty,6,FALSE)</f>
        <v>3.4533465712866321E-2</v>
      </c>
      <c r="I19" s="232">
        <f t="shared" si="1"/>
        <v>2.150046375526939</v>
      </c>
      <c r="K19">
        <v>19.87</v>
      </c>
      <c r="L19" s="87">
        <f t="shared" si="5"/>
        <v>-32.000416005510118</v>
      </c>
      <c r="M19" s="83">
        <f t="shared" si="6"/>
        <v>0.10999999999999943</v>
      </c>
      <c r="N19" s="88">
        <f t="shared" si="7"/>
        <v>-290.9128727773662</v>
      </c>
    </row>
    <row r="21" spans="1:14">
      <c r="A21" s="255">
        <f>Results!B5</f>
        <v>41863</v>
      </c>
    </row>
    <row r="22" spans="1:14" ht="15">
      <c r="B22" s="84" t="s">
        <v>16</v>
      </c>
      <c r="C22" s="224" t="s">
        <v>197</v>
      </c>
      <c r="D22" s="224" t="s">
        <v>34</v>
      </c>
      <c r="E22" s="224" t="s">
        <v>131</v>
      </c>
      <c r="F22" s="225" t="s">
        <v>146</v>
      </c>
      <c r="G22" s="224" t="s">
        <v>109</v>
      </c>
      <c r="H22" s="224" t="s">
        <v>131</v>
      </c>
      <c r="I22" s="226" t="s">
        <v>190</v>
      </c>
    </row>
    <row r="23" spans="1:14" ht="15">
      <c r="B23" s="84"/>
      <c r="C23" s="227"/>
      <c r="D23" s="227"/>
      <c r="E23" s="227" t="s">
        <v>132</v>
      </c>
      <c r="F23" s="228" t="s">
        <v>198</v>
      </c>
      <c r="G23" s="227"/>
      <c r="H23" s="227" t="s">
        <v>132</v>
      </c>
      <c r="I23" s="229" t="s">
        <v>198</v>
      </c>
    </row>
    <row r="24" spans="1:14" ht="15">
      <c r="B24" s="84"/>
      <c r="C24" s="230" t="s">
        <v>145</v>
      </c>
      <c r="D24" s="230" t="s">
        <v>145</v>
      </c>
      <c r="E24" s="230" t="s">
        <v>145</v>
      </c>
      <c r="F24" s="231"/>
      <c r="G24" s="230" t="s">
        <v>135</v>
      </c>
      <c r="H24" s="230" t="s">
        <v>135</v>
      </c>
      <c r="I24" s="232"/>
    </row>
    <row r="25" spans="1:14" ht="15">
      <c r="B25" s="246" t="s">
        <v>379</v>
      </c>
      <c r="C25" s="227">
        <v>1000</v>
      </c>
      <c r="D25" s="233">
        <f>VLOOKUP(B25,Rangex,5,FALSE)</f>
        <v>999.82744737198152</v>
      </c>
      <c r="E25" s="233">
        <f>VLOOKUP($B25,ub_uncertainty,2,FALSE)</f>
        <v>5.0848715255551305E-2</v>
      </c>
      <c r="F25" s="226">
        <f>VLOOKUP($B25,ub_uncertainty,3,FALSE)</f>
        <v>2.1617192107800678</v>
      </c>
      <c r="G25" s="234">
        <f>VLOOKUP(B25,Rangex,13,FALSE)</f>
        <v>2.8984232585345382E-4</v>
      </c>
      <c r="H25" s="235">
        <f>VLOOKUP($B25,ub_uncertainty,6,FALSE)</f>
        <v>3.4531339943973463E-2</v>
      </c>
      <c r="I25" s="226">
        <f>VLOOKUP($B25,ub_uncertainty,5,FALSE)</f>
        <v>2.150044548401937</v>
      </c>
      <c r="K25">
        <v>20.09</v>
      </c>
    </row>
    <row r="26" spans="1:14" ht="15">
      <c r="B26" s="246" t="s">
        <v>380</v>
      </c>
      <c r="C26" s="227">
        <v>100</v>
      </c>
      <c r="D26" s="236">
        <f>VLOOKUP(B26,Rangex,12,FALSE)</f>
        <v>100.00215576247349</v>
      </c>
      <c r="E26" s="236">
        <f>VLOOKUP($B26,ub_uncertainty,2,FALSE)</f>
        <v>5.0861142226006463E-3</v>
      </c>
      <c r="F26" s="229">
        <f t="shared" ref="F26:F36" si="8">VLOOKUP($B26,ub_uncertainty,3,FALSE)</f>
        <v>2.1617201834571733</v>
      </c>
      <c r="G26" s="234">
        <f>VLOOKUP(B26,Rangex,16,FALSE)</f>
        <v>4.0501108048644557E-4</v>
      </c>
      <c r="H26" s="236">
        <f>VLOOKUP($B26,ub_uncertainty,6,FALSE)</f>
        <v>3.4534169047922086E-2</v>
      </c>
      <c r="I26" s="229">
        <f t="shared" ref="I26:I36" si="9">VLOOKUP($B26,ub_uncertainty,5,FALSE)</f>
        <v>2.1500459872489377</v>
      </c>
      <c r="K26">
        <v>20.09</v>
      </c>
    </row>
    <row r="27" spans="1:14" ht="15">
      <c r="B27" s="246" t="s">
        <v>381</v>
      </c>
      <c r="C27" s="227">
        <v>10</v>
      </c>
      <c r="D27" s="237">
        <f>VLOOKUP(B27,Rangex,12,FALSE)</f>
        <v>9.9980953863722739</v>
      </c>
      <c r="E27" s="237">
        <f>VLOOKUP($B27,ub_uncertainty,2,FALSE)</f>
        <v>5.9909041198663896E-4</v>
      </c>
      <c r="F27" s="229">
        <f t="shared" si="8"/>
        <v>2.1066268982039187</v>
      </c>
      <c r="G27" s="234">
        <f>VLOOKUP(B27,Rangex,16,FALSE)</f>
        <v>-1.5382483875996688E-3</v>
      </c>
      <c r="H27" s="236">
        <f>VLOOKUP($B27,ub_uncertainty,6,FALSE)</f>
        <v>4.4022639153207005E-2</v>
      </c>
      <c r="I27" s="229">
        <f t="shared" si="9"/>
        <v>2.0612805126053386</v>
      </c>
      <c r="K27">
        <v>20.059999999999999</v>
      </c>
    </row>
    <row r="28" spans="1:14" ht="15">
      <c r="B28" s="246" t="s">
        <v>382</v>
      </c>
      <c r="C28" s="230">
        <v>1</v>
      </c>
      <c r="D28" s="238">
        <f>VLOOKUP(B28,Rangex,12,FALSE)</f>
        <v>0.99988954580232448</v>
      </c>
      <c r="E28" s="238">
        <f>VLOOKUP($B28,ub_uncertainty,2,FALSE)</f>
        <v>4.1579058307347614E-4</v>
      </c>
      <c r="F28" s="232">
        <f t="shared" si="8"/>
        <v>2.5532362681119465</v>
      </c>
      <c r="G28" s="239">
        <f>VLOOKUP(B28,Rangex,16,FALSE)</f>
        <v>-9.7509912484205902E-3</v>
      </c>
      <c r="H28" s="240">
        <f>VLOOKUP($B28,ub_uncertainty,6,FALSE)</f>
        <v>0.31071164794142986</v>
      </c>
      <c r="I28" s="232">
        <f t="shared" si="9"/>
        <v>2.1827453978375804</v>
      </c>
      <c r="K28">
        <v>20.05</v>
      </c>
    </row>
    <row r="29" spans="1:14" ht="15">
      <c r="B29" s="84"/>
      <c r="C29" s="241"/>
      <c r="D29" s="242"/>
      <c r="E29" s="242"/>
      <c r="F29" s="242"/>
      <c r="G29" s="243"/>
      <c r="H29" s="243"/>
      <c r="I29" s="242"/>
    </row>
    <row r="30" spans="1:14" ht="15">
      <c r="B30" s="84"/>
      <c r="C30" s="241"/>
      <c r="D30" s="242"/>
      <c r="E30" s="242"/>
      <c r="F30" s="242"/>
      <c r="G30" s="243"/>
      <c r="H30" s="243"/>
      <c r="I30" s="242"/>
    </row>
    <row r="31" spans="1:14" ht="15">
      <c r="B31" s="84"/>
      <c r="C31" s="224" t="s">
        <v>197</v>
      </c>
      <c r="D31" s="224" t="s">
        <v>34</v>
      </c>
      <c r="E31" s="224" t="s">
        <v>131</v>
      </c>
      <c r="F31" s="225" t="s">
        <v>146</v>
      </c>
      <c r="G31" s="224" t="s">
        <v>109</v>
      </c>
      <c r="H31" s="224" t="s">
        <v>131</v>
      </c>
      <c r="I31" s="226" t="s">
        <v>146</v>
      </c>
    </row>
    <row r="32" spans="1:14" ht="15">
      <c r="B32" s="84"/>
      <c r="C32" s="227"/>
      <c r="D32" s="227"/>
      <c r="E32" s="227" t="s">
        <v>132</v>
      </c>
      <c r="F32" s="228" t="s">
        <v>198</v>
      </c>
      <c r="G32" s="227"/>
      <c r="H32" s="227" t="s">
        <v>132</v>
      </c>
      <c r="I32" s="229" t="s">
        <v>198</v>
      </c>
    </row>
    <row r="33" spans="2:11" ht="15">
      <c r="B33" s="95"/>
      <c r="C33" s="230" t="s">
        <v>329</v>
      </c>
      <c r="D33" s="230" t="s">
        <v>329</v>
      </c>
      <c r="E33" s="230" t="s">
        <v>329</v>
      </c>
      <c r="F33" s="231"/>
      <c r="G33" s="230" t="s">
        <v>135</v>
      </c>
      <c r="H33" s="230" t="s">
        <v>135</v>
      </c>
      <c r="I33" s="232"/>
    </row>
    <row r="34" spans="2:11" ht="15">
      <c r="B34" s="246" t="s">
        <v>376</v>
      </c>
      <c r="C34" s="227">
        <v>1</v>
      </c>
      <c r="D34" s="244">
        <f>VLOOKUP(B34,Rangex,5,FALSE)</f>
        <v>0.9999044961601945</v>
      </c>
      <c r="E34" s="244">
        <f>VLOOKUP($B34,ub_uncertainty,2,FALSE)</f>
        <v>4.2890875344783289E-5</v>
      </c>
      <c r="F34" s="228">
        <f t="shared" si="8"/>
        <v>2.2947813825905605</v>
      </c>
      <c r="G34" s="234">
        <f>VLOOKUP(B34,Rangex,10,FALSE)</f>
        <v>0.17091143732418621</v>
      </c>
      <c r="H34" s="234">
        <f>VLOOKUP($B34,ub_uncertainty,6,FALSE)</f>
        <v>3.4533527576831355E-2</v>
      </c>
      <c r="I34" s="229">
        <f t="shared" si="9"/>
        <v>2.1500453529048937</v>
      </c>
      <c r="K34">
        <v>19.93</v>
      </c>
    </row>
    <row r="35" spans="2:11" ht="15">
      <c r="B35" s="246" t="s">
        <v>377</v>
      </c>
      <c r="C35" s="227">
        <v>0.1</v>
      </c>
      <c r="D35" s="257">
        <f>VLOOKUP(B35,Rangex,5,FALSE)/1000</f>
        <v>0.10000325051852012</v>
      </c>
      <c r="E35" s="257">
        <f>VLOOKUP($B35,ub_uncertainty,2,FALSE)/1000</f>
        <v>4.2896352394125101E-6</v>
      </c>
      <c r="F35" s="228">
        <f t="shared" si="8"/>
        <v>2.2947828309607781</v>
      </c>
      <c r="G35" s="234">
        <f>VLOOKUP(B35,Rangex,10,FALSE)</f>
        <v>4.1297477009549902E-2</v>
      </c>
      <c r="H35" s="234">
        <f>VLOOKUP($B35,ub_uncertainty,6,FALSE)</f>
        <v>3.453350420618731E-2</v>
      </c>
      <c r="I35" s="229">
        <f t="shared" si="9"/>
        <v>2.1500462275608814</v>
      </c>
      <c r="K35">
        <v>19.829999999999998</v>
      </c>
    </row>
    <row r="36" spans="2:11" ht="15">
      <c r="B36" s="246" t="s">
        <v>378</v>
      </c>
      <c r="C36" s="230">
        <v>0.01</v>
      </c>
      <c r="D36" s="258">
        <f>VLOOKUP(B36,Rangex,5,FALSE)/1000</f>
        <v>1.0000895092041497E-2</v>
      </c>
      <c r="E36" s="258">
        <f>VLOOKUP($B36,ub_uncertainty,2,FALSE)/1000</f>
        <v>4.2898748670594459E-7</v>
      </c>
      <c r="F36" s="231">
        <f t="shared" si="8"/>
        <v>2.2947834572291717</v>
      </c>
      <c r="G36" s="245">
        <f>VLOOKUP(B36,Rangex,10,FALSE)</f>
        <v>5.0094083951913851E-2</v>
      </c>
      <c r="H36" s="245">
        <f>VLOOKUP($B36,ub_uncertainty,6,FALSE)</f>
        <v>3.4533460366915014E-2</v>
      </c>
      <c r="I36" s="232">
        <f t="shared" si="9"/>
        <v>2.1500465753917521</v>
      </c>
      <c r="K36">
        <v>19.760000000000002</v>
      </c>
    </row>
    <row r="38" spans="2:11">
      <c r="K38" s="269">
        <f>AVERAGE(K25:K36)</f>
        <v>19.972857142857144</v>
      </c>
    </row>
    <row r="39" spans="2:11">
      <c r="K39" s="269">
        <f>STDEV(K25:K36)</f>
        <v>0.13450084085416023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&amp;A</oddHeader>
    <oddFooter>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7"/>
  <sheetViews>
    <sheetView topLeftCell="A13" workbookViewId="0"/>
  </sheetViews>
  <sheetFormatPr defaultRowHeight="12.75"/>
  <cols>
    <col min="1" max="1" width="17.42578125" customWidth="1"/>
    <col min="2" max="2" width="12.140625" customWidth="1"/>
    <col min="4" max="4" width="12" bestFit="1" customWidth="1"/>
  </cols>
  <sheetData>
    <row r="2" spans="1:5">
      <c r="A2" s="264" t="s">
        <v>400</v>
      </c>
      <c r="B2" s="246" t="s">
        <v>384</v>
      </c>
    </row>
    <row r="4" spans="1:5">
      <c r="B4" s="246" t="s">
        <v>385</v>
      </c>
    </row>
    <row r="5" spans="1:5">
      <c r="A5">
        <v>1</v>
      </c>
      <c r="B5" s="246" t="s">
        <v>387</v>
      </c>
    </row>
    <row r="6" spans="1:5">
      <c r="B6" s="246" t="s">
        <v>386</v>
      </c>
    </row>
    <row r="7" spans="1:5">
      <c r="A7">
        <v>2</v>
      </c>
      <c r="B7" s="246" t="s">
        <v>388</v>
      </c>
    </row>
    <row r="8" spans="1:5">
      <c r="A8">
        <v>3</v>
      </c>
      <c r="B8" s="246" t="s">
        <v>389</v>
      </c>
    </row>
    <row r="9" spans="1:5">
      <c r="A9">
        <v>4</v>
      </c>
      <c r="B9" s="246" t="s">
        <v>390</v>
      </c>
      <c r="D9" s="83">
        <f>0.000000000005353/(10000*0.0000000001)*1000000</f>
        <v>5.3530000000000006</v>
      </c>
      <c r="E9" s="246" t="s">
        <v>391</v>
      </c>
    </row>
    <row r="10" spans="1:5">
      <c r="A10">
        <v>5</v>
      </c>
      <c r="B10" s="246" t="s">
        <v>392</v>
      </c>
      <c r="D10">
        <v>-0.02</v>
      </c>
      <c r="E10" s="246" t="s">
        <v>393</v>
      </c>
    </row>
    <row r="12" spans="1:5">
      <c r="B12" s="246" t="s">
        <v>394</v>
      </c>
    </row>
    <row r="13" spans="1:5">
      <c r="B13" s="246" t="s">
        <v>395</v>
      </c>
    </row>
    <row r="14" spans="1:5">
      <c r="B14" s="246" t="s">
        <v>396</v>
      </c>
    </row>
    <row r="16" spans="1:5">
      <c r="B16" s="246" t="s">
        <v>398</v>
      </c>
    </row>
    <row r="17" spans="1:3">
      <c r="B17" s="246" t="s">
        <v>399</v>
      </c>
    </row>
    <row r="19" spans="1:3">
      <c r="A19" s="264" t="s">
        <v>397</v>
      </c>
      <c r="B19" s="246" t="s">
        <v>401</v>
      </c>
    </row>
    <row r="20" spans="1:3">
      <c r="B20" s="246" t="s">
        <v>402</v>
      </c>
    </row>
    <row r="21" spans="1:3">
      <c r="C21" s="246" t="s">
        <v>407</v>
      </c>
    </row>
    <row r="22" spans="1:3">
      <c r="B22" s="246" t="s">
        <v>246</v>
      </c>
      <c r="C22" s="246" t="s">
        <v>404</v>
      </c>
    </row>
    <row r="23" spans="1:3">
      <c r="B23" s="246" t="s">
        <v>244</v>
      </c>
      <c r="C23" s="246" t="s">
        <v>405</v>
      </c>
    </row>
    <row r="24" spans="1:3">
      <c r="B24" s="246" t="s">
        <v>403</v>
      </c>
      <c r="C24" s="246" t="s">
        <v>406</v>
      </c>
    </row>
    <row r="26" spans="1:3">
      <c r="B26" s="246" t="s">
        <v>408</v>
      </c>
    </row>
    <row r="27" spans="1:3">
      <c r="B27" s="246" t="s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  <pageSetUpPr fitToPage="1"/>
  </sheetPr>
  <dimension ref="A1:AG138"/>
  <sheetViews>
    <sheetView topLeftCell="A16" workbookViewId="0">
      <selection activeCell="J10" sqref="J10"/>
    </sheetView>
  </sheetViews>
  <sheetFormatPr defaultRowHeight="12.75"/>
  <cols>
    <col min="1" max="1" width="19" customWidth="1"/>
    <col min="2" max="2" width="16.5703125" customWidth="1"/>
    <col min="3" max="3" width="10.7109375" customWidth="1"/>
    <col min="6" max="6" width="10.140625" bestFit="1" customWidth="1"/>
    <col min="7" max="7" width="10" bestFit="1" customWidth="1"/>
    <col min="8" max="8" width="11.42578125" customWidth="1"/>
    <col min="10" max="10" width="12.42578125" bestFit="1" customWidth="1"/>
    <col min="11" max="11" width="10" bestFit="1" customWidth="1"/>
    <col min="15" max="16" width="10" bestFit="1" customWidth="1"/>
    <col min="18" max="18" width="10.140625" bestFit="1" customWidth="1"/>
    <col min="19" max="19" width="10" bestFit="1" customWidth="1"/>
    <col min="22" max="22" width="11" customWidth="1"/>
    <col min="23" max="25" width="9.85546875" bestFit="1" customWidth="1"/>
    <col min="26" max="29" width="9.85546875" customWidth="1"/>
    <col min="30" max="30" width="10.140625" bestFit="1" customWidth="1"/>
    <col min="31" max="31" width="12.42578125" bestFit="1" customWidth="1"/>
  </cols>
  <sheetData>
    <row r="1" spans="1:15">
      <c r="A1" s="13" t="s">
        <v>194</v>
      </c>
      <c r="D1" s="148" t="s">
        <v>199</v>
      </c>
      <c r="E1" s="92" t="s">
        <v>200</v>
      </c>
    </row>
    <row r="2" spans="1:15">
      <c r="A2" s="4" t="s">
        <v>192</v>
      </c>
      <c r="B2" s="16"/>
      <c r="C2" s="16"/>
      <c r="D2" s="16"/>
      <c r="E2" s="16"/>
      <c r="F2" s="16"/>
      <c r="G2" s="16"/>
      <c r="H2" s="16"/>
      <c r="I2" s="16"/>
    </row>
    <row r="3" spans="1:15">
      <c r="A3" s="146" t="s">
        <v>193</v>
      </c>
      <c r="B3" s="112"/>
      <c r="C3" s="112"/>
      <c r="D3" s="112"/>
      <c r="E3" s="112"/>
      <c r="F3" s="112"/>
      <c r="G3" s="112"/>
      <c r="H3" s="112"/>
      <c r="I3" s="145"/>
    </row>
    <row r="4" spans="1:15">
      <c r="A4" s="115">
        <v>44218</v>
      </c>
      <c r="B4" s="322" t="s">
        <v>475</v>
      </c>
      <c r="C4" s="113"/>
      <c r="D4" s="113"/>
      <c r="E4" s="113"/>
      <c r="F4" s="113"/>
      <c r="G4" s="113"/>
      <c r="H4" s="113" t="s">
        <v>144</v>
      </c>
      <c r="I4" s="113" t="s">
        <v>34</v>
      </c>
      <c r="J4" s="113" t="s">
        <v>136</v>
      </c>
      <c r="K4" s="113" t="s">
        <v>146</v>
      </c>
      <c r="L4" s="113" t="s">
        <v>147</v>
      </c>
      <c r="M4" s="113" t="s">
        <v>136</v>
      </c>
      <c r="N4" s="114" t="s">
        <v>146</v>
      </c>
    </row>
    <row r="5" spans="1:15">
      <c r="A5" s="115"/>
      <c r="B5" s="92"/>
      <c r="C5" s="116" t="s">
        <v>33</v>
      </c>
      <c r="D5" s="116" t="s">
        <v>0</v>
      </c>
      <c r="E5" s="116" t="s">
        <v>163</v>
      </c>
      <c r="F5" s="116"/>
      <c r="G5" s="116"/>
      <c r="H5" s="117" t="s">
        <v>191</v>
      </c>
      <c r="I5" s="117" t="s">
        <v>191</v>
      </c>
      <c r="J5" s="117" t="s">
        <v>191</v>
      </c>
      <c r="K5" s="116" t="s">
        <v>148</v>
      </c>
      <c r="L5" s="116" t="s">
        <v>149</v>
      </c>
      <c r="M5" s="116" t="s">
        <v>149</v>
      </c>
      <c r="N5" s="118" t="s">
        <v>148</v>
      </c>
    </row>
    <row r="6" spans="1:15" ht="15">
      <c r="A6" s="119" t="s">
        <v>153</v>
      </c>
      <c r="B6" s="116"/>
      <c r="C6" s="16"/>
      <c r="D6" s="16"/>
      <c r="E6" s="16"/>
      <c r="F6" s="16"/>
      <c r="G6" s="16"/>
      <c r="I6" s="320">
        <v>0.99992087580392575</v>
      </c>
      <c r="J6" s="320">
        <v>4.662471634062086E-5</v>
      </c>
      <c r="K6" s="319">
        <v>2.0201459584144161</v>
      </c>
      <c r="L6" s="319">
        <v>0.1630116514466714</v>
      </c>
      <c r="M6" s="319">
        <v>3.7848549954948338E-2</v>
      </c>
      <c r="N6" s="319">
        <v>2.2183786614231189</v>
      </c>
      <c r="O6" s="16"/>
    </row>
    <row r="7" spans="1:15" ht="15">
      <c r="A7" s="119" t="s">
        <v>154</v>
      </c>
      <c r="B7" s="116"/>
      <c r="C7" s="16"/>
      <c r="D7" s="16"/>
      <c r="E7" s="16"/>
      <c r="F7" s="16"/>
      <c r="G7" s="16"/>
      <c r="I7" s="320">
        <v>0.1000047888871531</v>
      </c>
      <c r="J7" s="320">
        <v>4.6630623921545448E-6</v>
      </c>
      <c r="K7" s="319">
        <v>2.0201460476637321</v>
      </c>
      <c r="L7" s="319">
        <v>3.959780115212036E-2</v>
      </c>
      <c r="M7" s="319">
        <v>3.7830614048622098E-2</v>
      </c>
      <c r="N7" s="319">
        <v>2.21837038995195</v>
      </c>
      <c r="O7" s="16"/>
    </row>
    <row r="8" spans="1:15" ht="15">
      <c r="A8" s="119" t="s">
        <v>155</v>
      </c>
      <c r="B8" s="116"/>
      <c r="C8" s="16"/>
      <c r="D8" s="16"/>
      <c r="E8" s="16"/>
      <c r="F8" s="16"/>
      <c r="G8" s="16"/>
      <c r="I8" s="320">
        <v>1.000106894942308E-2</v>
      </c>
      <c r="J8" s="320">
        <v>4.663336703279208E-7</v>
      </c>
      <c r="K8" s="319">
        <v>2.0201460972230829</v>
      </c>
      <c r="L8" s="319">
        <v>4.7494560149007832E-2</v>
      </c>
      <c r="M8" s="319">
        <v>3.7827306063611503E-2</v>
      </c>
      <c r="N8" s="319">
        <v>2.2183691501000329</v>
      </c>
      <c r="O8" s="16"/>
    </row>
    <row r="9" spans="1:15" ht="15">
      <c r="A9" s="119" t="s">
        <v>156</v>
      </c>
      <c r="B9" s="116"/>
      <c r="C9" s="16"/>
      <c r="D9" s="16"/>
      <c r="E9" s="16"/>
      <c r="F9" s="16"/>
      <c r="G9" s="16"/>
      <c r="H9" s="16"/>
      <c r="I9" s="319">
        <v>999.87285288910039</v>
      </c>
      <c r="J9" s="319">
        <v>4.9570754249243752E-2</v>
      </c>
      <c r="K9" s="319">
        <v>2.036965629410378</v>
      </c>
      <c r="L9" s="319">
        <v>-2.3004198199659709E-2</v>
      </c>
      <c r="M9" s="319">
        <v>3.7835395841357658E-2</v>
      </c>
      <c r="N9" s="319">
        <v>2.2183686069910729</v>
      </c>
    </row>
    <row r="10" spans="1:15" ht="15">
      <c r="A10" s="119" t="s">
        <v>157</v>
      </c>
      <c r="B10" s="116"/>
      <c r="C10" s="16"/>
      <c r="D10" s="16"/>
      <c r="E10" s="16"/>
      <c r="F10" s="16"/>
      <c r="G10" s="16"/>
      <c r="H10" s="16"/>
      <c r="I10" s="319">
        <v>100.0075886567104</v>
      </c>
      <c r="J10" s="319">
        <v>6.5130890715888786E-3</v>
      </c>
      <c r="K10" s="319">
        <v>1.995767316608942</v>
      </c>
      <c r="L10" s="319">
        <v>-2.9999384249032351E-2</v>
      </c>
      <c r="M10" s="319">
        <v>5.5763368940724353E-2</v>
      </c>
      <c r="N10" s="319">
        <v>2.018733942312287</v>
      </c>
    </row>
    <row r="11" spans="1:15" ht="15">
      <c r="A11" s="119" t="s">
        <v>158</v>
      </c>
      <c r="B11" s="116"/>
      <c r="C11" s="16"/>
      <c r="D11" s="16"/>
      <c r="E11" s="16"/>
      <c r="F11" s="16"/>
      <c r="G11" s="16"/>
      <c r="H11" s="16"/>
      <c r="I11" s="319">
        <v>9.9988137492390656</v>
      </c>
      <c r="J11" s="319">
        <v>6.5123794115249918E-4</v>
      </c>
      <c r="K11" s="319">
        <v>1.9957659747148111</v>
      </c>
      <c r="L11" s="319">
        <v>0.21002089149408079</v>
      </c>
      <c r="M11" s="319">
        <v>5.5778516446547959E-2</v>
      </c>
      <c r="N11" s="319">
        <v>2.0187486292112138</v>
      </c>
    </row>
    <row r="12" spans="1:15" ht="15">
      <c r="A12" s="116" t="s">
        <v>159</v>
      </c>
      <c r="B12" s="116"/>
      <c r="C12" s="16"/>
      <c r="D12" s="16"/>
      <c r="E12" s="16"/>
      <c r="F12" s="16"/>
      <c r="G12" s="16"/>
      <c r="H12" s="16"/>
      <c r="I12" s="319">
        <v>0.99989137583884757</v>
      </c>
      <c r="J12" s="319">
        <v>4.4527087833817714E-4</v>
      </c>
      <c r="K12" s="319">
        <v>2.0205514636101798</v>
      </c>
      <c r="L12" s="319">
        <v>0.20001789633540851</v>
      </c>
      <c r="M12" s="319">
        <v>0.44306250808992648</v>
      </c>
      <c r="N12" s="319">
        <v>2.0219651658292599</v>
      </c>
    </row>
    <row r="13" spans="1:15">
      <c r="A13" s="125"/>
      <c r="B13" s="125"/>
      <c r="C13" s="16"/>
      <c r="D13" s="16"/>
      <c r="E13" s="16"/>
      <c r="F13" s="16"/>
      <c r="G13" s="16"/>
      <c r="H13" s="16"/>
      <c r="I13" s="16"/>
    </row>
    <row r="14" spans="1:15">
      <c r="A14" s="321"/>
      <c r="B14" s="16"/>
      <c r="C14" s="16"/>
      <c r="D14" s="16"/>
      <c r="E14" s="16"/>
      <c r="F14" s="16"/>
      <c r="G14" s="16"/>
      <c r="H14" s="16"/>
      <c r="I14" s="16"/>
    </row>
    <row r="15" spans="1:15">
      <c r="A15" s="115">
        <v>43049</v>
      </c>
      <c r="B15" s="322" t="s">
        <v>479</v>
      </c>
      <c r="C15" s="113"/>
      <c r="D15" s="113"/>
      <c r="E15" s="113"/>
      <c r="F15" s="113"/>
      <c r="G15" s="113"/>
      <c r="H15" s="113" t="s">
        <v>144</v>
      </c>
      <c r="I15" s="113" t="s">
        <v>34</v>
      </c>
      <c r="J15" s="113" t="s">
        <v>136</v>
      </c>
      <c r="K15" s="113" t="s">
        <v>146</v>
      </c>
      <c r="L15" s="113" t="s">
        <v>147</v>
      </c>
      <c r="M15" s="113" t="s">
        <v>136</v>
      </c>
      <c r="N15" s="114" t="s">
        <v>146</v>
      </c>
    </row>
    <row r="16" spans="1:15">
      <c r="A16" s="115"/>
      <c r="B16" s="92"/>
      <c r="C16" s="116" t="s">
        <v>33</v>
      </c>
      <c r="D16" s="116" t="s">
        <v>0</v>
      </c>
      <c r="E16" s="116" t="s">
        <v>163</v>
      </c>
      <c r="F16" s="116"/>
      <c r="G16" s="116"/>
      <c r="H16" s="117" t="s">
        <v>191</v>
      </c>
      <c r="I16" s="117" t="s">
        <v>191</v>
      </c>
      <c r="J16" s="117" t="s">
        <v>191</v>
      </c>
      <c r="K16" s="116" t="s">
        <v>148</v>
      </c>
      <c r="L16" s="116" t="s">
        <v>149</v>
      </c>
      <c r="M16" s="116" t="s">
        <v>149</v>
      </c>
      <c r="N16" s="118" t="s">
        <v>148</v>
      </c>
    </row>
    <row r="17" spans="1:30">
      <c r="A17" s="119" t="s">
        <v>153</v>
      </c>
      <c r="B17" s="116"/>
      <c r="C17" s="16"/>
      <c r="D17" s="16"/>
      <c r="E17" s="16"/>
      <c r="F17" s="16"/>
      <c r="G17" s="16"/>
      <c r="I17" s="16">
        <f>[2]pyReport!E12</f>
        <v>0.99992128170980321</v>
      </c>
      <c r="J17" s="16">
        <f>[2]pyReport!F12</f>
        <v>4.590068210131768E-5</v>
      </c>
      <c r="K17" s="16">
        <f>[2]pyReport!G12</f>
        <v>2.0239427291867189</v>
      </c>
      <c r="L17" s="16">
        <f>[2]pyReport!H12</f>
        <v>0.1717513717035469</v>
      </c>
      <c r="M17" s="16">
        <f>[2]pyReport!I12</f>
        <v>3.7835933733186937E-2</v>
      </c>
      <c r="N17" s="16">
        <f>[2]pyReport!J12</f>
        <v>2.2183785082220808</v>
      </c>
      <c r="O17" s="16"/>
    </row>
    <row r="18" spans="1:30">
      <c r="A18" s="119" t="s">
        <v>154</v>
      </c>
      <c r="B18" s="116"/>
      <c r="C18" s="16"/>
      <c r="D18" s="16"/>
      <c r="E18" s="16"/>
      <c r="F18" s="16"/>
      <c r="G18" s="16"/>
      <c r="I18" s="16">
        <f>[2]pyReport!E13</f>
        <v>0.1000039290594413</v>
      </c>
      <c r="J18" s="16">
        <f>[2]pyReport!F13</f>
        <v>4.5906087527501537E-6</v>
      </c>
      <c r="K18" s="16">
        <f>[2]pyReport!G13</f>
        <v>2.023942805998185</v>
      </c>
      <c r="L18" s="16">
        <f>[2]pyReport!H13</f>
        <v>4.1293294401709549E-2</v>
      </c>
      <c r="M18" s="16">
        <f>[2]pyReport!I13</f>
        <v>3.7827035414106099E-2</v>
      </c>
      <c r="N18" s="16">
        <f>[2]pyReport!J13</f>
        <v>2.2183700638724111</v>
      </c>
      <c r="O18" s="16"/>
    </row>
    <row r="19" spans="1:30">
      <c r="A19" s="119" t="s">
        <v>155</v>
      </c>
      <c r="B19" s="116"/>
      <c r="C19" s="16"/>
      <c r="D19" s="16"/>
      <c r="E19" s="16"/>
      <c r="F19" s="16"/>
      <c r="G19" s="16"/>
      <c r="I19" s="16">
        <f>[2]pyReport!E14</f>
        <v>1.0001002951873049E-2</v>
      </c>
      <c r="J19" s="16">
        <f>[2]pyReport!F14</f>
        <v>4.5908856031900874E-7</v>
      </c>
      <c r="K19" s="16">
        <f>[2]pyReport!G14</f>
        <v>2.0239428886830959</v>
      </c>
      <c r="L19" s="16">
        <f>[2]pyReport!H14</f>
        <v>4.959110273473219E-2</v>
      </c>
      <c r="M19" s="16">
        <f>[2]pyReport!I14</f>
        <v>3.7825390691860701E-2</v>
      </c>
      <c r="N19" s="16">
        <f>[2]pyReport!J14</f>
        <v>2.2183688620089681</v>
      </c>
      <c r="O19" s="16"/>
    </row>
    <row r="20" spans="1:30">
      <c r="A20" s="119" t="s">
        <v>156</v>
      </c>
      <c r="B20" s="116"/>
      <c r="C20" s="16"/>
      <c r="D20" s="16"/>
      <c r="E20" s="16"/>
      <c r="F20" s="16"/>
      <c r="G20" s="16"/>
      <c r="H20" s="16"/>
      <c r="I20" s="16">
        <f>[2]pyReport!E4</f>
        <v>999.8688614432499</v>
      </c>
      <c r="J20" s="16">
        <f>[2]pyReport!F4</f>
        <v>4.8907277087306668E-2</v>
      </c>
      <c r="K20" s="16">
        <f>[2]pyReport!G4</f>
        <v>2.041587877643805</v>
      </c>
      <c r="L20" s="16">
        <f>[2]pyReport!H4</f>
        <v>0</v>
      </c>
      <c r="M20" s="16">
        <f>[2]pyReport!I4</f>
        <v>3.7829438524117305E-2</v>
      </c>
      <c r="N20" s="16">
        <f>[2]pyReport!J4</f>
        <v>2.218368375808891</v>
      </c>
    </row>
    <row r="21" spans="1:30">
      <c r="A21" s="119" t="s">
        <v>157</v>
      </c>
      <c r="B21" s="116"/>
      <c r="C21" s="16"/>
      <c r="D21" s="16"/>
      <c r="E21" s="16"/>
      <c r="F21" s="16"/>
      <c r="G21" s="16"/>
      <c r="H21" s="16"/>
      <c r="I21" s="16">
        <f>[2]pyReport!E5</f>
        <v>100.000288942483</v>
      </c>
      <c r="J21" s="16">
        <f>[2]pyReport!F5</f>
        <v>4.8913974062626056E-3</v>
      </c>
      <c r="K21" s="16">
        <f>[2]pyReport!G5</f>
        <v>2.041588201834267</v>
      </c>
      <c r="L21" s="16">
        <f>[2]pyReport!H5</f>
        <v>4.2999531220445859E-4</v>
      </c>
      <c r="M21" s="16">
        <f>[2]pyReport!I5</f>
        <v>3.7819360074707847E-2</v>
      </c>
      <c r="N21" s="16">
        <f>[2]pyReport!J5</f>
        <v>2.218359412869658</v>
      </c>
    </row>
    <row r="22" spans="1:30">
      <c r="A22" s="119" t="s">
        <v>158</v>
      </c>
      <c r="B22" s="116"/>
      <c r="C22" s="16"/>
      <c r="D22" s="16"/>
      <c r="E22" s="16"/>
      <c r="F22" s="16"/>
      <c r="G22" s="16"/>
      <c r="H22" s="16"/>
      <c r="I22" s="16">
        <f>[2]pyReport!E6</f>
        <v>9.9987288124871458</v>
      </c>
      <c r="J22" s="16">
        <f>[2]pyReport!F6</f>
        <v>6.4595565951650806E-4</v>
      </c>
      <c r="K22" s="16">
        <f>[2]pyReport!G6</f>
        <v>1.9968883616096651</v>
      </c>
      <c r="L22" s="16">
        <f>[2]pyReport!H6</f>
        <v>-1.9472128150785583E-3</v>
      </c>
      <c r="M22" s="16">
        <f>[2]pyReport!I6</f>
        <v>5.5768599492208207E-2</v>
      </c>
      <c r="N22" s="16">
        <f>[2]pyReport!J6</f>
        <v>2.0187492845943709</v>
      </c>
    </row>
    <row r="23" spans="1:30">
      <c r="A23" s="116" t="s">
        <v>159</v>
      </c>
      <c r="B23" s="116"/>
      <c r="C23" s="16"/>
      <c r="D23" s="16"/>
      <c r="E23" s="16"/>
      <c r="F23" s="16"/>
      <c r="G23" s="16"/>
      <c r="H23" s="16"/>
      <c r="I23" s="16">
        <f>[2]pyReport!E7</f>
        <v>0.99986288061978246</v>
      </c>
      <c r="J23" s="16">
        <f>[2]pyReport!F7</f>
        <v>4.4518488097795053E-4</v>
      </c>
      <c r="K23" s="16">
        <f>[2]pyReport!G7</f>
        <v>2.0205982573840648</v>
      </c>
      <c r="L23" s="16">
        <f>[2]pyReport!H7</f>
        <v>-1.4040292700863457E-2</v>
      </c>
      <c r="M23" s="16">
        <f>[2]pyReport!I7</f>
        <v>0.44300406389633651</v>
      </c>
      <c r="N23" s="16">
        <f>[2]pyReport!J7</f>
        <v>2.021965147590723</v>
      </c>
    </row>
    <row r="24" spans="1:30">
      <c r="A24" s="125"/>
      <c r="B24" s="125"/>
      <c r="C24" s="16"/>
      <c r="D24" s="16"/>
      <c r="E24" s="16"/>
      <c r="F24" s="16"/>
      <c r="G24" s="16"/>
      <c r="H24" s="16"/>
      <c r="I24" s="16"/>
    </row>
    <row r="25" spans="1:30">
      <c r="A25" s="115">
        <f>Results!B5</f>
        <v>41863</v>
      </c>
      <c r="B25" s="116" t="str">
        <f>Results!F5</f>
        <v>S21942</v>
      </c>
      <c r="C25" s="113"/>
      <c r="D25" s="113"/>
      <c r="E25" s="113"/>
      <c r="F25" s="113"/>
      <c r="G25" s="113"/>
      <c r="H25" s="113" t="s">
        <v>144</v>
      </c>
      <c r="I25" s="113" t="s">
        <v>34</v>
      </c>
      <c r="J25" s="113" t="s">
        <v>136</v>
      </c>
      <c r="K25" s="113" t="s">
        <v>146</v>
      </c>
      <c r="L25" s="113" t="s">
        <v>147</v>
      </c>
      <c r="M25" s="113" t="s">
        <v>136</v>
      </c>
      <c r="N25" s="114" t="s">
        <v>146</v>
      </c>
    </row>
    <row r="26" spans="1:30">
      <c r="A26" s="115"/>
      <c r="B26" s="92"/>
      <c r="C26" s="116" t="s">
        <v>33</v>
      </c>
      <c r="D26" s="116" t="s">
        <v>0</v>
      </c>
      <c r="E26" s="116" t="s">
        <v>163</v>
      </c>
      <c r="F26" s="116"/>
      <c r="G26" s="116"/>
      <c r="H26" s="117" t="s">
        <v>191</v>
      </c>
      <c r="I26" s="117" t="s">
        <v>191</v>
      </c>
      <c r="J26" s="117" t="s">
        <v>191</v>
      </c>
      <c r="K26" s="116" t="s">
        <v>148</v>
      </c>
      <c r="L26" s="116" t="s">
        <v>149</v>
      </c>
      <c r="M26" s="116" t="s">
        <v>149</v>
      </c>
      <c r="N26" s="118" t="s">
        <v>148</v>
      </c>
      <c r="P26" t="s">
        <v>134</v>
      </c>
      <c r="Q26" t="s">
        <v>175</v>
      </c>
      <c r="V26" t="s">
        <v>196</v>
      </c>
      <c r="W26" t="s">
        <v>179</v>
      </c>
      <c r="X26" t="s">
        <v>180</v>
      </c>
      <c r="Y26" t="s">
        <v>181</v>
      </c>
      <c r="AD26" t="s">
        <v>182</v>
      </c>
    </row>
    <row r="27" spans="1:30">
      <c r="A27" s="119" t="s">
        <v>153</v>
      </c>
      <c r="B27" s="116"/>
      <c r="C27" s="116" t="s">
        <v>38</v>
      </c>
      <c r="D27" s="116">
        <f>Results!D10</f>
        <v>999801</v>
      </c>
      <c r="E27" s="116">
        <f>Results!E10</f>
        <v>1696</v>
      </c>
      <c r="F27" s="116"/>
      <c r="G27" s="116"/>
      <c r="H27" s="120"/>
      <c r="I27" s="116">
        <f>Report!D34</f>
        <v>0.9999044961601945</v>
      </c>
      <c r="J27" s="116">
        <f>Report!E34</f>
        <v>4.2890875344783289E-5</v>
      </c>
      <c r="K27" s="121">
        <f>Report!F34</f>
        <v>2.2947813825905605</v>
      </c>
      <c r="L27" s="120">
        <f>Report!G34</f>
        <v>0.17091143732418621</v>
      </c>
      <c r="M27" s="122">
        <f>Report!H34</f>
        <v>3.4533527576831355E-2</v>
      </c>
      <c r="N27" s="123">
        <f>Report!I34</f>
        <v>2.1500453529048937</v>
      </c>
      <c r="P27" s="87">
        <f t="shared" ref="P27:P33" si="0">1000000*(I27-I47)/I27</f>
        <v>16.300644924776954</v>
      </c>
      <c r="Q27" s="88">
        <f>1000000*J27/I27</f>
        <v>42.894971979315663</v>
      </c>
      <c r="R27" s="88"/>
      <c r="S27" s="88"/>
      <c r="T27" s="88"/>
      <c r="U27" s="88"/>
      <c r="V27" s="84" t="s">
        <v>39</v>
      </c>
      <c r="W27" s="99">
        <f>$A$45</f>
        <v>38405</v>
      </c>
      <c r="X27" s="100">
        <f>$A$25</f>
        <v>41863</v>
      </c>
      <c r="Y27" s="88">
        <f>DAYS360(W27,X27)</f>
        <v>3410</v>
      </c>
      <c r="Z27" s="88"/>
      <c r="AA27" s="88"/>
      <c r="AB27" s="88"/>
      <c r="AC27" s="88"/>
      <c r="AD27" s="83">
        <f>P27*90/Y27</f>
        <v>0.43022230006742695</v>
      </c>
    </row>
    <row r="28" spans="1:30">
      <c r="A28" s="119" t="s">
        <v>154</v>
      </c>
      <c r="B28" s="116"/>
      <c r="C28" s="116" t="s">
        <v>95</v>
      </c>
      <c r="D28" s="116">
        <f>Results!D12</f>
        <v>999928</v>
      </c>
      <c r="E28" s="116">
        <f>Results!E12</f>
        <v>394</v>
      </c>
      <c r="F28" s="116"/>
      <c r="G28" s="116"/>
      <c r="H28" s="120"/>
      <c r="I28" s="116">
        <f>Report!D35</f>
        <v>0.10000325051852012</v>
      </c>
      <c r="J28" s="116">
        <f>Report!E35</f>
        <v>4.2896352394125101E-6</v>
      </c>
      <c r="K28" s="121">
        <f>Report!F35</f>
        <v>2.2947828309607781</v>
      </c>
      <c r="L28" s="120">
        <f>Report!G35</f>
        <v>4.1297477009549902E-2</v>
      </c>
      <c r="M28" s="122">
        <f>Report!H35</f>
        <v>3.453350420618731E-2</v>
      </c>
      <c r="N28" s="123">
        <f>Report!I35</f>
        <v>2.1500462275608814</v>
      </c>
      <c r="P28" s="87">
        <f t="shared" si="0"/>
        <v>6.2984955331519084</v>
      </c>
      <c r="Q28" s="88">
        <f t="shared" ref="Q28:Q33" si="1">1000000*J28/I28</f>
        <v>42.894958085568334</v>
      </c>
      <c r="R28" s="88"/>
      <c r="S28" s="88"/>
      <c r="T28" s="88"/>
      <c r="U28" s="88"/>
      <c r="V28" s="84" t="s">
        <v>40</v>
      </c>
      <c r="W28" s="99">
        <f t="shared" ref="W28:W33" si="2">$A$45</f>
        <v>38405</v>
      </c>
      <c r="X28" s="100">
        <f t="shared" ref="X28:X33" si="3">$A$25</f>
        <v>41863</v>
      </c>
      <c r="Y28" s="88">
        <f t="shared" ref="Y28:Y33" si="4">DAYS360(W28,X28)</f>
        <v>3410</v>
      </c>
      <c r="Z28" s="88"/>
      <c r="AA28" s="88"/>
      <c r="AB28" s="88"/>
      <c r="AC28" s="88"/>
      <c r="AD28" s="83">
        <f t="shared" ref="AD28:AD33" si="5">P28*90/Y28</f>
        <v>0.16623595248788028</v>
      </c>
    </row>
    <row r="29" spans="1:30">
      <c r="A29" s="119" t="s">
        <v>155</v>
      </c>
      <c r="B29" s="116"/>
      <c r="C29" s="116" t="s">
        <v>42</v>
      </c>
      <c r="D29" s="116">
        <f>Results!D14</f>
        <v>999986</v>
      </c>
      <c r="E29" s="116">
        <f>Results!E14</f>
        <v>496</v>
      </c>
      <c r="F29" s="116"/>
      <c r="G29" s="116"/>
      <c r="H29" s="120"/>
      <c r="I29" s="116">
        <f>Report!D36</f>
        <v>1.0000895092041497E-2</v>
      </c>
      <c r="J29" s="116">
        <f>Report!E36</f>
        <v>4.2898748670594459E-7</v>
      </c>
      <c r="K29" s="121">
        <f>Report!F36</f>
        <v>2.2947834572291717</v>
      </c>
      <c r="L29" s="120">
        <f>Report!G36</f>
        <v>5.0094083951913851E-2</v>
      </c>
      <c r="M29" s="122">
        <f>Report!H36</f>
        <v>3.4533460366915014E-2</v>
      </c>
      <c r="N29" s="123">
        <f>Report!I36</f>
        <v>2.1500465753917521</v>
      </c>
      <c r="P29" s="87">
        <f t="shared" si="0"/>
        <v>17.298033252116337</v>
      </c>
      <c r="Q29" s="88">
        <f t="shared" si="1"/>
        <v>42.894909181411556</v>
      </c>
      <c r="R29" s="88"/>
      <c r="S29" s="88"/>
      <c r="T29" s="88"/>
      <c r="U29" s="88"/>
      <c r="V29" s="84" t="s">
        <v>43</v>
      </c>
      <c r="W29" s="99">
        <f t="shared" si="2"/>
        <v>38405</v>
      </c>
      <c r="X29" s="100">
        <f t="shared" si="3"/>
        <v>41863</v>
      </c>
      <c r="Y29" s="88">
        <f t="shared" si="4"/>
        <v>3410</v>
      </c>
      <c r="Z29" s="88"/>
      <c r="AA29" s="88"/>
      <c r="AB29" s="88"/>
      <c r="AC29" s="88"/>
      <c r="AD29" s="83">
        <f t="shared" si="5"/>
        <v>0.45654633216729334</v>
      </c>
    </row>
    <row r="30" spans="1:30">
      <c r="A30" s="119" t="s">
        <v>156</v>
      </c>
      <c r="B30" s="116"/>
      <c r="C30" s="116" t="s">
        <v>37</v>
      </c>
      <c r="D30" s="116">
        <f>Results!D16</f>
        <v>999660</v>
      </c>
      <c r="E30" s="116">
        <f>Results!E16</f>
        <v>-205</v>
      </c>
      <c r="F30" s="116"/>
      <c r="G30" s="116"/>
      <c r="H30" s="120"/>
      <c r="I30" s="122">
        <f>Report!D25</f>
        <v>999.82744737198152</v>
      </c>
      <c r="J30" s="122">
        <f>Report!E25</f>
        <v>5.0848715255551305E-2</v>
      </c>
      <c r="K30" s="121">
        <f>Report!F25</f>
        <v>2.1617192107800678</v>
      </c>
      <c r="L30" s="120">
        <f>Report!G25</f>
        <v>2.8984232585345382E-4</v>
      </c>
      <c r="M30" s="122">
        <f>Report!H25</f>
        <v>3.4531339943973463E-2</v>
      </c>
      <c r="N30" s="123">
        <f>Report!I25</f>
        <v>2.150044548401937</v>
      </c>
      <c r="P30" s="87">
        <f t="shared" si="0"/>
        <v>-7.224106607658034</v>
      </c>
      <c r="Q30" s="88">
        <f t="shared" si="1"/>
        <v>50.857490849251768</v>
      </c>
      <c r="R30" s="88"/>
      <c r="S30" s="88"/>
      <c r="T30" s="88"/>
      <c r="U30" s="88"/>
      <c r="V30" s="84" t="s">
        <v>5</v>
      </c>
      <c r="W30" s="99">
        <f t="shared" si="2"/>
        <v>38405</v>
      </c>
      <c r="X30" s="100">
        <f t="shared" si="3"/>
        <v>41863</v>
      </c>
      <c r="Y30" s="88">
        <f t="shared" si="4"/>
        <v>3410</v>
      </c>
      <c r="Z30" s="88"/>
      <c r="AA30" s="88"/>
      <c r="AB30" s="88"/>
      <c r="AC30" s="88"/>
      <c r="AD30" s="83">
        <f t="shared" si="5"/>
        <v>-0.19066557029009476</v>
      </c>
    </row>
    <row r="31" spans="1:30">
      <c r="A31" s="119" t="s">
        <v>157</v>
      </c>
      <c r="B31" s="116"/>
      <c r="C31" s="116" t="s">
        <v>44</v>
      </c>
      <c r="D31" s="116">
        <f>Results!D20</f>
        <v>999865</v>
      </c>
      <c r="E31" s="116">
        <f>Results!E20</f>
        <v>2540</v>
      </c>
      <c r="F31" s="116"/>
      <c r="G31" s="116"/>
      <c r="H31" s="120"/>
      <c r="I31" s="122">
        <f>Report!D26</f>
        <v>100.00215576247349</v>
      </c>
      <c r="J31" s="122">
        <f>Report!E26</f>
        <v>5.0861142226006463E-3</v>
      </c>
      <c r="K31" s="121">
        <f>Report!F26</f>
        <v>2.1617201834571733</v>
      </c>
      <c r="L31" s="120">
        <f>Report!G26</f>
        <v>4.0501108048644557E-4</v>
      </c>
      <c r="M31" s="122">
        <f>Report!H26</f>
        <v>3.4534169047922086E-2</v>
      </c>
      <c r="N31" s="123">
        <f>Report!I26</f>
        <v>2.1500459872489377</v>
      </c>
      <c r="P31" s="87">
        <f t="shared" si="0"/>
        <v>111.31349001047687</v>
      </c>
      <c r="Q31" s="88">
        <f t="shared" si="1"/>
        <v>50.86004580422501</v>
      </c>
      <c r="R31" s="88"/>
      <c r="S31" s="88"/>
      <c r="T31" s="88"/>
      <c r="U31" s="88"/>
      <c r="V31" s="84" t="s">
        <v>2</v>
      </c>
      <c r="W31" s="99">
        <f t="shared" si="2"/>
        <v>38405</v>
      </c>
      <c r="X31" s="100">
        <f t="shared" si="3"/>
        <v>41863</v>
      </c>
      <c r="Y31" s="88">
        <f t="shared" si="4"/>
        <v>3410</v>
      </c>
      <c r="Z31" s="88"/>
      <c r="AA31" s="88"/>
      <c r="AB31" s="88"/>
      <c r="AC31" s="88"/>
      <c r="AD31" s="83">
        <f t="shared" si="5"/>
        <v>2.9378926982237297</v>
      </c>
    </row>
    <row r="32" spans="1:30">
      <c r="A32" s="119" t="s">
        <v>158</v>
      </c>
      <c r="B32" s="116"/>
      <c r="C32" s="116" t="s">
        <v>44</v>
      </c>
      <c r="D32" s="116">
        <f>Results!D21</f>
        <v>99969</v>
      </c>
      <c r="E32" s="116">
        <f>Results!E21</f>
        <v>260</v>
      </c>
      <c r="F32" s="116"/>
      <c r="G32" s="116"/>
      <c r="H32" s="120"/>
      <c r="I32" s="122">
        <f>Report!D27</f>
        <v>9.9980953863722739</v>
      </c>
      <c r="J32" s="122">
        <f>Report!E27</f>
        <v>5.9909041198663896E-4</v>
      </c>
      <c r="K32" s="121">
        <f>Report!F27</f>
        <v>2.1066268982039187</v>
      </c>
      <c r="L32" s="120">
        <f>Report!G27</f>
        <v>-1.5382483875996688E-3</v>
      </c>
      <c r="M32" s="122">
        <f>Report!H27</f>
        <v>4.4022639153207005E-2</v>
      </c>
      <c r="N32" s="123">
        <f>Report!I27</f>
        <v>2.0612805126053386</v>
      </c>
      <c r="P32" s="87">
        <f t="shared" si="0"/>
        <v>-63.713262531497215</v>
      </c>
      <c r="Q32" s="88">
        <f t="shared" si="1"/>
        <v>59.920453729939254</v>
      </c>
      <c r="R32" s="88"/>
      <c r="S32" s="88"/>
      <c r="T32" s="88"/>
      <c r="U32" s="88"/>
      <c r="V32" s="84" t="s">
        <v>3</v>
      </c>
      <c r="W32" s="99">
        <f t="shared" si="2"/>
        <v>38405</v>
      </c>
      <c r="X32" s="100">
        <f t="shared" si="3"/>
        <v>41863</v>
      </c>
      <c r="Y32" s="88">
        <f t="shared" si="4"/>
        <v>3410</v>
      </c>
      <c r="Z32" s="88"/>
      <c r="AA32" s="88"/>
      <c r="AB32" s="88"/>
      <c r="AC32" s="88"/>
      <c r="AD32" s="83">
        <f t="shared" si="5"/>
        <v>-1.6815817090424485</v>
      </c>
    </row>
    <row r="33" spans="1:30">
      <c r="A33" s="124" t="s">
        <v>159</v>
      </c>
      <c r="B33" s="125"/>
      <c r="C33" s="125" t="s">
        <v>44</v>
      </c>
      <c r="D33" s="125">
        <f>Results!D22</f>
        <v>10004</v>
      </c>
      <c r="E33" s="125">
        <f>Results!E22</f>
        <v>40</v>
      </c>
      <c r="F33" s="125"/>
      <c r="G33" s="125"/>
      <c r="H33" s="126"/>
      <c r="I33" s="122">
        <f>Report!D28</f>
        <v>0.99988954580232448</v>
      </c>
      <c r="J33" s="122">
        <f>Report!E28</f>
        <v>4.1579058307347614E-4</v>
      </c>
      <c r="K33" s="121">
        <f>Report!F28</f>
        <v>2.5532362681119465</v>
      </c>
      <c r="L33" s="120">
        <f>Report!G28</f>
        <v>-9.7509912484205902E-3</v>
      </c>
      <c r="M33" s="122">
        <f>Report!H28</f>
        <v>0.31071164794142986</v>
      </c>
      <c r="N33" s="123">
        <f>Report!I28</f>
        <v>2.1827453978375804</v>
      </c>
      <c r="P33" s="87">
        <f t="shared" si="0"/>
        <v>736.42571832406429</v>
      </c>
      <c r="Q33" s="88">
        <f t="shared" si="1"/>
        <v>415.83651396198997</v>
      </c>
      <c r="R33" s="88"/>
      <c r="S33" s="88"/>
      <c r="T33" s="88"/>
      <c r="U33" s="88"/>
      <c r="V33" s="84" t="s">
        <v>4</v>
      </c>
      <c r="W33" s="99">
        <f t="shared" si="2"/>
        <v>38405</v>
      </c>
      <c r="X33" s="100">
        <f t="shared" si="3"/>
        <v>41863</v>
      </c>
      <c r="Y33" s="88">
        <f t="shared" si="4"/>
        <v>3410</v>
      </c>
      <c r="Z33" s="88"/>
      <c r="AA33" s="88"/>
      <c r="AB33" s="88"/>
      <c r="AC33" s="88"/>
      <c r="AD33" s="83">
        <f t="shared" si="5"/>
        <v>19.43645590884627</v>
      </c>
    </row>
    <row r="34" spans="1:30">
      <c r="A34" s="116"/>
      <c r="B34" s="116"/>
      <c r="C34" s="116"/>
      <c r="D34" s="116"/>
      <c r="E34" s="116"/>
      <c r="F34" s="116"/>
      <c r="G34" s="116"/>
      <c r="H34" s="120"/>
      <c r="I34" s="116"/>
      <c r="J34" s="116"/>
      <c r="K34" s="121"/>
      <c r="L34" s="120"/>
      <c r="M34" s="122"/>
      <c r="N34" s="121"/>
      <c r="P34" s="87"/>
      <c r="Q34" s="88"/>
      <c r="R34" s="88"/>
      <c r="S34" s="88"/>
      <c r="T34" s="88"/>
      <c r="U34" s="88"/>
      <c r="V34" s="84"/>
      <c r="W34" s="99"/>
      <c r="X34" s="100"/>
      <c r="Y34" s="88"/>
      <c r="Z34" s="88"/>
      <c r="AA34" s="88"/>
      <c r="AB34" s="88"/>
      <c r="AC34" s="88"/>
      <c r="AD34" s="83"/>
    </row>
    <row r="35" spans="1:30">
      <c r="A35" s="115">
        <v>40680</v>
      </c>
      <c r="B35" s="116" t="s">
        <v>339</v>
      </c>
      <c r="C35" s="116"/>
      <c r="D35" s="116"/>
      <c r="E35" s="116"/>
      <c r="F35" s="116"/>
      <c r="G35" s="116"/>
      <c r="H35" s="120" t="s">
        <v>144</v>
      </c>
      <c r="I35" s="116" t="s">
        <v>34</v>
      </c>
      <c r="J35" s="116" t="s">
        <v>136</v>
      </c>
      <c r="K35" s="121" t="s">
        <v>146</v>
      </c>
      <c r="L35" s="120" t="s">
        <v>147</v>
      </c>
      <c r="M35" s="122" t="s">
        <v>136</v>
      </c>
      <c r="N35" s="121" t="s">
        <v>146</v>
      </c>
      <c r="P35" s="87"/>
      <c r="Q35" s="88"/>
      <c r="R35" s="88"/>
      <c r="S35" s="88"/>
      <c r="T35" s="88"/>
      <c r="U35" s="88"/>
      <c r="V35" s="84"/>
      <c r="W35" s="99"/>
      <c r="X35" s="100"/>
      <c r="Y35" s="88"/>
      <c r="Z35" s="88"/>
      <c r="AA35" s="88"/>
      <c r="AB35" s="88"/>
      <c r="AC35" s="88"/>
      <c r="AD35" s="83"/>
    </row>
    <row r="36" spans="1:30">
      <c r="A36" s="116"/>
      <c r="B36" s="116"/>
      <c r="C36" s="116" t="s">
        <v>33</v>
      </c>
      <c r="D36" s="116" t="s">
        <v>0</v>
      </c>
      <c r="E36" s="116" t="s">
        <v>163</v>
      </c>
      <c r="F36" s="116"/>
      <c r="G36" s="116"/>
      <c r="H36" s="120" t="s">
        <v>338</v>
      </c>
      <c r="I36" s="116" t="s">
        <v>338</v>
      </c>
      <c r="J36" s="116" t="s">
        <v>338</v>
      </c>
      <c r="K36" s="121" t="s">
        <v>148</v>
      </c>
      <c r="L36" s="120" t="s">
        <v>149</v>
      </c>
      <c r="M36" s="122" t="s">
        <v>149</v>
      </c>
      <c r="N36" s="121" t="s">
        <v>148</v>
      </c>
      <c r="P36" s="87"/>
      <c r="Q36" s="88"/>
      <c r="R36" s="88"/>
      <c r="S36" s="88"/>
      <c r="T36" s="88"/>
      <c r="U36" s="88"/>
      <c r="V36" s="84"/>
      <c r="W36" s="99"/>
      <c r="X36" s="100"/>
      <c r="Y36" s="88"/>
      <c r="Z36" s="88"/>
      <c r="AA36" s="88"/>
      <c r="AB36" s="88"/>
      <c r="AC36" s="88"/>
      <c r="AD36" s="83"/>
    </row>
    <row r="37" spans="1:30">
      <c r="A37" s="116" t="s">
        <v>153</v>
      </c>
      <c r="B37" s="116"/>
      <c r="C37" s="116" t="s">
        <v>38</v>
      </c>
      <c r="D37" s="116">
        <v>999831</v>
      </c>
      <c r="E37" s="116">
        <v>1710</v>
      </c>
      <c r="F37" s="116"/>
      <c r="G37" s="116"/>
      <c r="H37" s="120"/>
      <c r="I37" s="116">
        <v>0.99990093687267345</v>
      </c>
      <c r="J37" s="116">
        <v>4.289074683682029E-5</v>
      </c>
      <c r="K37" s="121">
        <v>2.161719246840593</v>
      </c>
      <c r="L37" s="120">
        <v>0.17111407920585317</v>
      </c>
      <c r="M37" s="122">
        <v>3.4533547399875526E-2</v>
      </c>
      <c r="N37" s="121">
        <v>2.1500453336756653</v>
      </c>
      <c r="P37" s="87"/>
      <c r="Q37" s="88"/>
      <c r="R37" s="88"/>
      <c r="S37" s="88"/>
      <c r="T37" s="88"/>
      <c r="U37" s="88"/>
      <c r="V37" s="84"/>
      <c r="W37" s="99"/>
      <c r="X37" s="100"/>
      <c r="Y37" s="88"/>
      <c r="Z37" s="88"/>
      <c r="AA37" s="88"/>
      <c r="AB37" s="88"/>
      <c r="AC37" s="88"/>
      <c r="AD37" s="83"/>
    </row>
    <row r="38" spans="1:30">
      <c r="A38" s="116" t="s">
        <v>154</v>
      </c>
      <c r="B38" s="116"/>
      <c r="C38" s="116" t="s">
        <v>95</v>
      </c>
      <c r="D38" s="116">
        <v>999959</v>
      </c>
      <c r="E38" s="116">
        <v>397</v>
      </c>
      <c r="F38" s="116"/>
      <c r="G38" s="116"/>
      <c r="H38" s="120"/>
      <c r="I38" s="116">
        <v>0.10000289458261064</v>
      </c>
      <c r="J38" s="116">
        <v>4.2896224014482039E-6</v>
      </c>
      <c r="K38" s="121">
        <v>2.1617200417045659</v>
      </c>
      <c r="L38" s="120">
        <v>3.9798179971278297E-2</v>
      </c>
      <c r="M38" s="122">
        <v>3.4533524009359565E-2</v>
      </c>
      <c r="N38" s="121">
        <v>2.1500462090847186</v>
      </c>
      <c r="P38" s="87"/>
      <c r="Q38" s="88"/>
      <c r="R38" s="88"/>
      <c r="S38" s="88"/>
      <c r="T38" s="88"/>
      <c r="U38" s="88"/>
      <c r="V38" s="84"/>
      <c r="W38" s="99"/>
      <c r="X38" s="100"/>
      <c r="Y38" s="88"/>
      <c r="Z38" s="88"/>
      <c r="AA38" s="88"/>
      <c r="AB38" s="88"/>
      <c r="AC38" s="88"/>
      <c r="AD38" s="83"/>
    </row>
    <row r="39" spans="1:30">
      <c r="A39" s="116" t="s">
        <v>155</v>
      </c>
      <c r="B39" s="116"/>
      <c r="C39" s="116" t="s">
        <v>42</v>
      </c>
      <c r="D39" s="116">
        <v>1000016</v>
      </c>
      <c r="E39" s="116">
        <v>505</v>
      </c>
      <c r="F39" s="116"/>
      <c r="G39" s="116"/>
      <c r="H39" s="120"/>
      <c r="I39" s="116">
        <v>1.0000869498831307E-2</v>
      </c>
      <c r="J39" s="116">
        <v>4.2898663077534626E-7</v>
      </c>
      <c r="K39" s="121">
        <v>2.1066281095523633</v>
      </c>
      <c r="L39" s="120">
        <v>5.0194792968523388E-2</v>
      </c>
      <c r="M39" s="122">
        <v>3.453348001083914E-2</v>
      </c>
      <c r="N39" s="121">
        <v>2.1500465628599463</v>
      </c>
      <c r="P39" s="87"/>
      <c r="Q39" s="88"/>
      <c r="R39" s="88"/>
      <c r="S39" s="88"/>
      <c r="T39" s="88"/>
      <c r="U39" s="88"/>
      <c r="V39" s="84"/>
      <c r="W39" s="99"/>
      <c r="X39" s="100"/>
      <c r="Y39" s="88"/>
      <c r="Z39" s="88"/>
      <c r="AA39" s="88"/>
      <c r="AB39" s="88"/>
      <c r="AC39" s="88"/>
      <c r="AD39" s="83"/>
    </row>
    <row r="40" spans="1:30">
      <c r="A40" s="116" t="s">
        <v>156</v>
      </c>
      <c r="B40" s="116"/>
      <c r="C40" s="116" t="s">
        <v>37</v>
      </c>
      <c r="D40" s="116">
        <v>999702</v>
      </c>
      <c r="E40" s="116">
        <v>-190</v>
      </c>
      <c r="F40" s="116"/>
      <c r="G40" s="116"/>
      <c r="H40" s="120"/>
      <c r="I40" s="116">
        <v>999.83688748555005</v>
      </c>
      <c r="J40" s="116">
        <v>5.0849171745248986E-2</v>
      </c>
      <c r="K40" s="121">
        <v>2.161719246840593</v>
      </c>
      <c r="L40" s="120">
        <v>-5.5039202274287068E-3</v>
      </c>
      <c r="M40" s="122">
        <v>3.4531323280436288E-2</v>
      </c>
      <c r="N40" s="121">
        <v>2.1500446046641759</v>
      </c>
      <c r="P40" s="87"/>
      <c r="Q40" s="88"/>
      <c r="R40" s="88"/>
      <c r="S40" s="88"/>
      <c r="T40" s="88"/>
      <c r="U40" s="88"/>
      <c r="V40" s="84"/>
      <c r="W40" s="99"/>
      <c r="X40" s="100"/>
      <c r="Y40" s="88"/>
      <c r="Z40" s="88"/>
      <c r="AA40" s="88"/>
      <c r="AB40" s="88"/>
      <c r="AC40" s="88"/>
      <c r="AD40" s="83"/>
    </row>
    <row r="41" spans="1:30">
      <c r="A41" s="116" t="s">
        <v>157</v>
      </c>
      <c r="B41" s="116"/>
      <c r="C41" s="116" t="s">
        <v>44</v>
      </c>
      <c r="D41" s="116">
        <v>999888</v>
      </c>
      <c r="E41" s="116">
        <v>2100</v>
      </c>
      <c r="F41" s="116"/>
      <c r="G41" s="116"/>
      <c r="H41" s="120"/>
      <c r="I41" s="116">
        <v>100.00073479451603</v>
      </c>
      <c r="J41" s="116">
        <v>5.0859265320812993E-3</v>
      </c>
      <c r="K41" s="121">
        <v>2.1617200417045659</v>
      </c>
      <c r="L41" s="120">
        <v>5.5476445301373412E-3</v>
      </c>
      <c r="M41" s="122">
        <v>3.4534215417453801E-2</v>
      </c>
      <c r="N41" s="121">
        <v>2.1500457279169041</v>
      </c>
      <c r="P41" s="87"/>
      <c r="Q41" s="88"/>
      <c r="R41" s="88"/>
      <c r="S41" s="88"/>
      <c r="T41" s="88"/>
      <c r="U41" s="88"/>
      <c r="V41" s="84"/>
      <c r="W41" s="99"/>
      <c r="X41" s="100"/>
      <c r="Y41" s="88"/>
      <c r="Z41" s="88"/>
      <c r="AA41" s="88"/>
      <c r="AB41" s="88"/>
      <c r="AC41" s="88"/>
      <c r="AD41" s="83"/>
    </row>
    <row r="42" spans="1:30">
      <c r="A42" s="116" t="s">
        <v>158</v>
      </c>
      <c r="B42" s="116"/>
      <c r="C42" s="116" t="s">
        <v>44</v>
      </c>
      <c r="D42" s="116">
        <v>99974</v>
      </c>
      <c r="E42" s="116">
        <v>213</v>
      </c>
      <c r="F42" s="116"/>
      <c r="G42" s="116"/>
      <c r="H42" s="120"/>
      <c r="I42" s="116">
        <v>9.9979232378781564</v>
      </c>
      <c r="J42" s="116">
        <v>5.9907442838277956E-4</v>
      </c>
      <c r="K42" s="121">
        <v>2.1066281095523633</v>
      </c>
      <c r="L42" s="120">
        <v>-7.9100177480623812E-3</v>
      </c>
      <c r="M42" s="122">
        <v>4.4023454745382884E-2</v>
      </c>
      <c r="N42" s="121">
        <v>2.061280143201039</v>
      </c>
      <c r="P42" s="87"/>
      <c r="Q42" s="88"/>
      <c r="R42" s="88"/>
      <c r="S42" s="88"/>
      <c r="T42" s="88"/>
      <c r="U42" s="88"/>
      <c r="V42" s="84"/>
      <c r="W42" s="99"/>
      <c r="X42" s="100"/>
      <c r="Y42" s="88"/>
      <c r="Z42" s="88"/>
      <c r="AA42" s="88"/>
      <c r="AB42" s="88"/>
      <c r="AC42" s="88"/>
      <c r="AD42" s="83"/>
    </row>
    <row r="43" spans="1:30">
      <c r="A43" s="116" t="s">
        <v>159</v>
      </c>
      <c r="B43" s="116"/>
      <c r="C43" s="116" t="s">
        <v>44</v>
      </c>
      <c r="D43" s="116">
        <v>10005</v>
      </c>
      <c r="E43" s="116">
        <v>36</v>
      </c>
      <c r="F43" s="116"/>
      <c r="G43" s="116"/>
      <c r="H43" s="120"/>
      <c r="I43" s="116">
        <v>1.0000123485069592</v>
      </c>
      <c r="J43" s="116">
        <v>4.157903735093468E-4</v>
      </c>
      <c r="K43" s="121">
        <v>2.5532279831114897</v>
      </c>
      <c r="L43" s="120">
        <v>4.0465669967069129E-3</v>
      </c>
      <c r="M43" s="122">
        <v>0.31068114893177318</v>
      </c>
      <c r="N43" s="121">
        <v>2.1827441864919299</v>
      </c>
      <c r="P43" s="87"/>
      <c r="Q43" s="88"/>
      <c r="R43" s="88"/>
      <c r="S43" s="88"/>
      <c r="T43" s="88"/>
      <c r="U43" s="88"/>
      <c r="V43" s="84"/>
      <c r="W43" s="99"/>
      <c r="X43" s="100"/>
      <c r="Y43" s="88"/>
      <c r="Z43" s="88"/>
      <c r="AA43" s="88"/>
      <c r="AB43" s="88"/>
      <c r="AC43" s="88"/>
      <c r="AD43" s="83"/>
    </row>
    <row r="44" spans="1:30">
      <c r="A44" s="116"/>
      <c r="B44" s="116"/>
      <c r="C44" s="116"/>
      <c r="D44" s="116"/>
      <c r="E44" s="116"/>
      <c r="F44" s="116"/>
      <c r="G44" s="116"/>
      <c r="H44" s="120"/>
      <c r="I44" s="116"/>
      <c r="J44" s="116"/>
      <c r="K44" s="121"/>
      <c r="L44" s="120"/>
      <c r="M44" s="122"/>
      <c r="N44" s="121"/>
      <c r="P44" s="87"/>
      <c r="Q44" s="88"/>
      <c r="R44" s="88"/>
      <c r="S44" s="88"/>
      <c r="T44" s="88"/>
      <c r="U44" s="88"/>
      <c r="V44" s="84"/>
      <c r="W44" s="99"/>
      <c r="X44" s="100"/>
      <c r="Y44" s="88"/>
      <c r="Z44" s="88"/>
      <c r="AA44" s="88"/>
      <c r="AB44" s="88"/>
      <c r="AC44" s="88"/>
      <c r="AD44" s="83"/>
    </row>
    <row r="45" spans="1:30">
      <c r="A45" s="247">
        <v>38405</v>
      </c>
      <c r="B45" s="248" t="s">
        <v>176</v>
      </c>
      <c r="C45" s="248"/>
      <c r="D45" s="248"/>
      <c r="E45" s="248"/>
      <c r="F45" s="248"/>
      <c r="G45" s="248"/>
      <c r="H45" s="249" t="s">
        <v>144</v>
      </c>
      <c r="I45" s="248" t="s">
        <v>34</v>
      </c>
      <c r="J45" s="248" t="s">
        <v>136</v>
      </c>
      <c r="K45" s="250" t="s">
        <v>146</v>
      </c>
      <c r="L45" s="249" t="s">
        <v>147</v>
      </c>
      <c r="M45" s="251" t="s">
        <v>136</v>
      </c>
      <c r="N45" s="250" t="s">
        <v>146</v>
      </c>
      <c r="P45" s="2">
        <v>44218</v>
      </c>
      <c r="Q45" s="88"/>
      <c r="R45" s="84"/>
      <c r="S45" s="99"/>
      <c r="T45" s="100"/>
      <c r="U45" s="88"/>
      <c r="V45" s="88"/>
      <c r="W45" s="99"/>
      <c r="X45" s="100"/>
      <c r="Y45" s="88"/>
      <c r="Z45" s="88"/>
      <c r="AA45" s="88"/>
      <c r="AB45" s="88"/>
      <c r="AC45" s="88"/>
      <c r="AD45" s="83"/>
    </row>
    <row r="46" spans="1:30" ht="15">
      <c r="A46" s="248"/>
      <c r="B46" s="248"/>
      <c r="C46" s="248" t="s">
        <v>33</v>
      </c>
      <c r="D46" s="248" t="s">
        <v>0</v>
      </c>
      <c r="E46" s="248" t="s">
        <v>163</v>
      </c>
      <c r="F46" s="248"/>
      <c r="G46" s="248"/>
      <c r="H46" s="249" t="s">
        <v>338</v>
      </c>
      <c r="I46" s="248" t="s">
        <v>338</v>
      </c>
      <c r="J46" s="248" t="s">
        <v>338</v>
      </c>
      <c r="K46" s="250" t="s">
        <v>148</v>
      </c>
      <c r="L46" s="249" t="s">
        <v>149</v>
      </c>
      <c r="M46" s="251" t="s">
        <v>149</v>
      </c>
      <c r="N46" s="250" t="s">
        <v>148</v>
      </c>
      <c r="P46" s="319" t="s">
        <v>144</v>
      </c>
      <c r="Q46" s="319" t="s">
        <v>34</v>
      </c>
      <c r="R46" s="319" t="s">
        <v>136</v>
      </c>
      <c r="S46" s="319" t="s">
        <v>146</v>
      </c>
      <c r="T46" s="319" t="s">
        <v>147</v>
      </c>
      <c r="U46" s="319" t="s">
        <v>136</v>
      </c>
      <c r="V46" s="319" t="s">
        <v>146</v>
      </c>
      <c r="W46" s="99"/>
      <c r="X46" s="100"/>
      <c r="Y46" s="88"/>
      <c r="Z46" s="88"/>
      <c r="AA46" s="88"/>
      <c r="AB46" s="88"/>
      <c r="AC46" s="88"/>
      <c r="AD46" s="83"/>
    </row>
    <row r="47" spans="1:30" ht="15">
      <c r="A47" s="248" t="s">
        <v>153</v>
      </c>
      <c r="B47" s="248"/>
      <c r="C47" s="248" t="s">
        <v>38</v>
      </c>
      <c r="D47" s="248">
        <v>999820</v>
      </c>
      <c r="E47" s="248">
        <v>1653</v>
      </c>
      <c r="F47" s="248"/>
      <c r="G47" s="248"/>
      <c r="H47" s="249"/>
      <c r="I47" s="248">
        <v>0.9998881970720439</v>
      </c>
      <c r="J47" s="248">
        <v>1.1134708971278611E-4</v>
      </c>
      <c r="K47" s="250">
        <v>2.1282786830082947</v>
      </c>
      <c r="L47" s="249">
        <v>0.16474294827471472</v>
      </c>
      <c r="M47" s="251">
        <v>3.4393445337098753E-2</v>
      </c>
      <c r="N47" s="250">
        <v>2.1500336700365597</v>
      </c>
      <c r="P47" s="320" t="s">
        <v>338</v>
      </c>
      <c r="Q47" s="320" t="s">
        <v>338</v>
      </c>
      <c r="R47" s="320" t="s">
        <v>338</v>
      </c>
      <c r="S47" s="319" t="s">
        <v>148</v>
      </c>
      <c r="T47" s="319" t="s">
        <v>149</v>
      </c>
      <c r="U47" s="319" t="s">
        <v>149</v>
      </c>
      <c r="V47" s="319" t="s">
        <v>148</v>
      </c>
      <c r="W47" s="99"/>
      <c r="X47" s="100"/>
      <c r="Y47" s="88"/>
      <c r="Z47" s="88"/>
      <c r="AA47" s="88"/>
      <c r="AB47" s="88"/>
      <c r="AC47" s="88"/>
      <c r="AD47" s="83"/>
    </row>
    <row r="48" spans="1:30" ht="15">
      <c r="A48" s="248" t="s">
        <v>154</v>
      </c>
      <c r="B48" s="248"/>
      <c r="C48" s="248" t="s">
        <v>95</v>
      </c>
      <c r="D48" s="248">
        <v>999958</v>
      </c>
      <c r="E48" s="248">
        <v>335</v>
      </c>
      <c r="F48" s="248"/>
      <c r="G48" s="248"/>
      <c r="H48" s="249"/>
      <c r="I48" s="248">
        <v>0.10000262064849343</v>
      </c>
      <c r="J48" s="248">
        <v>1.1136226141403421E-5</v>
      </c>
      <c r="K48" s="250">
        <v>2.1262124919590808</v>
      </c>
      <c r="L48" s="249">
        <v>3.3461905379948857E-2</v>
      </c>
      <c r="M48" s="251">
        <v>3.4393128439221606E-2</v>
      </c>
      <c r="N48" s="250">
        <v>2.1500457277254625</v>
      </c>
      <c r="P48" s="320">
        <v>1</v>
      </c>
      <c r="Q48" s="320">
        <v>0.99992087580392575</v>
      </c>
      <c r="R48" s="320">
        <v>4.662471634062086E-5</v>
      </c>
      <c r="S48" s="319">
        <v>2.0201459584144161</v>
      </c>
      <c r="T48" s="319">
        <v>0.1630116514466714</v>
      </c>
      <c r="U48" s="319">
        <v>3.7848549954948338E-2</v>
      </c>
      <c r="V48" s="319">
        <v>2.2183786614231189</v>
      </c>
      <c r="W48" s="99"/>
      <c r="X48" s="100"/>
      <c r="Y48" s="88"/>
      <c r="Z48" s="88"/>
      <c r="AA48" s="88"/>
      <c r="AB48" s="88"/>
      <c r="AC48" s="88"/>
      <c r="AD48" s="83"/>
    </row>
    <row r="49" spans="1:30" ht="15">
      <c r="A49" s="248" t="s">
        <v>155</v>
      </c>
      <c r="B49" s="248"/>
      <c r="C49" s="248" t="s">
        <v>42</v>
      </c>
      <c r="D49" s="248">
        <v>1000004</v>
      </c>
      <c r="E49" s="248">
        <v>500</v>
      </c>
      <c r="F49" s="248"/>
      <c r="G49" s="248"/>
      <c r="H49" s="249"/>
      <c r="I49" s="248">
        <v>1.0000722096225644E-2</v>
      </c>
      <c r="J49" s="248">
        <v>1.1141205860925991E-6</v>
      </c>
      <c r="K49" s="250">
        <v>2.1037936287295711</v>
      </c>
      <c r="L49" s="249">
        <v>4.9393873823438524E-2</v>
      </c>
      <c r="M49" s="251">
        <v>3.4393136222050702E-2</v>
      </c>
      <c r="N49" s="250">
        <v>2.1500454269533336</v>
      </c>
      <c r="P49" s="320">
        <v>0.1</v>
      </c>
      <c r="Q49" s="320">
        <v>0.1000047888871531</v>
      </c>
      <c r="R49" s="320">
        <v>4.6630623921545448E-6</v>
      </c>
      <c r="S49" s="319">
        <v>2.0201460476637321</v>
      </c>
      <c r="T49" s="319">
        <v>3.959780115212036E-2</v>
      </c>
      <c r="U49" s="319">
        <v>3.7830614048622098E-2</v>
      </c>
      <c r="V49" s="319">
        <v>2.21837038995195</v>
      </c>
      <c r="W49" s="99"/>
      <c r="X49" s="100"/>
      <c r="Y49" s="88"/>
      <c r="Z49" s="88"/>
      <c r="AA49" s="88"/>
      <c r="AB49" s="88"/>
      <c r="AC49" s="88"/>
      <c r="AD49" s="83"/>
    </row>
    <row r="50" spans="1:30" ht="15">
      <c r="A50" s="248" t="s">
        <v>156</v>
      </c>
      <c r="B50" s="248"/>
      <c r="C50" s="248" t="s">
        <v>37</v>
      </c>
      <c r="D50" s="248">
        <v>999703</v>
      </c>
      <c r="E50" s="248">
        <v>-227</v>
      </c>
      <c r="F50" s="248"/>
      <c r="G50" s="248"/>
      <c r="H50" s="249"/>
      <c r="I50" s="248">
        <v>999.8346702320506</v>
      </c>
      <c r="J50" s="248">
        <v>0.11136965486833708</v>
      </c>
      <c r="K50" s="250">
        <v>2.1282786830082947</v>
      </c>
      <c r="L50" s="249">
        <v>-1.3604486384239145E-2</v>
      </c>
      <c r="M50" s="251">
        <v>3.4390980461173594E-2</v>
      </c>
      <c r="N50" s="250">
        <v>2.1500443916834961</v>
      </c>
      <c r="P50" s="320">
        <v>0.01</v>
      </c>
      <c r="Q50" s="320">
        <v>1.000106894942308E-2</v>
      </c>
      <c r="R50" s="320">
        <v>4.663336703279208E-7</v>
      </c>
      <c r="S50" s="319">
        <v>2.0201460972230829</v>
      </c>
      <c r="T50" s="319">
        <v>4.7494560149007832E-2</v>
      </c>
      <c r="U50" s="319">
        <v>3.7827306063611503E-2</v>
      </c>
      <c r="V50" s="319">
        <v>2.2183691501000329</v>
      </c>
      <c r="W50" s="99"/>
      <c r="X50" s="100"/>
      <c r="Y50" s="88"/>
      <c r="Z50" s="88"/>
      <c r="AA50" s="88"/>
      <c r="AB50" s="88"/>
      <c r="AC50" s="88"/>
      <c r="AD50" s="83"/>
    </row>
    <row r="51" spans="1:30" ht="15">
      <c r="A51" s="248" t="s">
        <v>157</v>
      </c>
      <c r="B51" s="248"/>
      <c r="C51" s="248" t="s">
        <v>44</v>
      </c>
      <c r="D51" s="248">
        <v>999863</v>
      </c>
      <c r="E51" s="248">
        <v>1834</v>
      </c>
      <c r="F51" s="248"/>
      <c r="G51" s="248"/>
      <c r="H51" s="249"/>
      <c r="I51" s="248">
        <v>99.991024173507</v>
      </c>
      <c r="J51" s="248">
        <v>1.1160554140373318E-2</v>
      </c>
      <c r="K51" s="250">
        <v>2.1262124919590808</v>
      </c>
      <c r="L51" s="249">
        <v>-9.8650337650202646E-3</v>
      </c>
      <c r="M51" s="251">
        <v>3.4394229825560244E-2</v>
      </c>
      <c r="N51" s="250">
        <v>2.1500312439198845</v>
      </c>
      <c r="P51" s="319">
        <v>1000</v>
      </c>
      <c r="Q51" s="319">
        <v>999.87285288910039</v>
      </c>
      <c r="R51" s="319">
        <v>4.9570754249243752E-2</v>
      </c>
      <c r="S51" s="319">
        <v>2.036965629410378</v>
      </c>
      <c r="T51" s="319">
        <v>-2.3004198199659709E-2</v>
      </c>
      <c r="U51" s="319">
        <v>3.7835395841357658E-2</v>
      </c>
      <c r="V51" s="319">
        <v>2.2183686069910729</v>
      </c>
      <c r="W51" s="99"/>
      <c r="X51" s="100"/>
      <c r="Y51" s="88"/>
      <c r="Z51" s="88"/>
      <c r="AA51" s="88"/>
      <c r="AB51" s="88"/>
      <c r="AC51" s="88"/>
      <c r="AD51" s="83"/>
    </row>
    <row r="52" spans="1:30" ht="15">
      <c r="A52" s="248" t="s">
        <v>158</v>
      </c>
      <c r="B52" s="248"/>
      <c r="C52" s="248" t="s">
        <v>44</v>
      </c>
      <c r="D52" s="248">
        <v>99988</v>
      </c>
      <c r="E52" s="248">
        <v>193</v>
      </c>
      <c r="F52" s="248"/>
      <c r="G52" s="248"/>
      <c r="H52" s="249"/>
      <c r="I52" s="248">
        <v>9.9987323976484408</v>
      </c>
      <c r="J52" s="248">
        <v>1.1449434764596277E-3</v>
      </c>
      <c r="K52" s="250">
        <v>2.1037936287295711</v>
      </c>
      <c r="L52" s="249">
        <v>-4.6376149277873591E-3</v>
      </c>
      <c r="M52" s="251">
        <v>4.3842236534380651E-2</v>
      </c>
      <c r="N52" s="250">
        <v>2.0612768382515143</v>
      </c>
      <c r="P52" s="319">
        <v>100</v>
      </c>
      <c r="Q52" s="319">
        <v>100.0075886567104</v>
      </c>
      <c r="R52" s="319">
        <v>6.5130890715888786E-3</v>
      </c>
      <c r="S52" s="319">
        <v>1.995767316608942</v>
      </c>
      <c r="T52" s="319">
        <v>-2.9999384249032351E-2</v>
      </c>
      <c r="U52" s="319">
        <v>5.5763368940724353E-2</v>
      </c>
      <c r="V52" s="319">
        <v>2.018733942312287</v>
      </c>
      <c r="W52" s="99"/>
      <c r="X52" s="100"/>
      <c r="Y52" s="88"/>
      <c r="Z52" s="88"/>
      <c r="AA52" s="88"/>
      <c r="AB52" s="88"/>
      <c r="AC52" s="88"/>
      <c r="AD52" s="83"/>
    </row>
    <row r="53" spans="1:30" ht="15">
      <c r="A53" s="248" t="s">
        <v>159</v>
      </c>
      <c r="B53" s="248"/>
      <c r="C53" s="248" t="s">
        <v>44</v>
      </c>
      <c r="D53" s="248">
        <v>9997</v>
      </c>
      <c r="E53" s="248">
        <v>42</v>
      </c>
      <c r="F53" s="248"/>
      <c r="G53" s="248"/>
      <c r="H53" s="249"/>
      <c r="I53" s="248">
        <v>0.99915320142531228</v>
      </c>
      <c r="J53" s="248">
        <v>3.5273371230283291E-4</v>
      </c>
      <c r="K53" s="250">
        <v>2.0761060348467684</v>
      </c>
      <c r="L53" s="249">
        <v>9.6162142286059044E-2</v>
      </c>
      <c r="M53" s="251">
        <v>0.30966457322811647</v>
      </c>
      <c r="N53" s="250">
        <v>2.1827527354075866</v>
      </c>
      <c r="P53" s="319">
        <v>10</v>
      </c>
      <c r="Q53" s="319">
        <v>9.9988137492390656</v>
      </c>
      <c r="R53" s="319">
        <v>6.5123794115249918E-4</v>
      </c>
      <c r="S53" s="319">
        <v>1.9957659747148111</v>
      </c>
      <c r="T53" s="319">
        <v>0.21002089149408079</v>
      </c>
      <c r="U53" s="319">
        <v>5.5778516446547959E-2</v>
      </c>
      <c r="V53" s="319">
        <v>2.0187486292112138</v>
      </c>
      <c r="W53" s="99"/>
      <c r="X53" s="100"/>
      <c r="Y53" s="88"/>
      <c r="Z53" s="88"/>
      <c r="AA53" s="88"/>
      <c r="AB53" s="88"/>
      <c r="AC53" s="88"/>
      <c r="AD53" s="83"/>
    </row>
    <row r="54" spans="1:30" ht="15">
      <c r="A54" s="116"/>
      <c r="B54" s="116"/>
      <c r="C54" s="116"/>
      <c r="D54" s="116"/>
      <c r="E54" s="116"/>
      <c r="F54" s="116"/>
      <c r="G54" s="116"/>
      <c r="H54" s="120"/>
      <c r="I54" s="116"/>
      <c r="J54" s="116"/>
      <c r="K54" s="121"/>
      <c r="L54" s="120"/>
      <c r="M54" s="122"/>
      <c r="N54" s="121"/>
      <c r="P54" s="319">
        <v>1</v>
      </c>
      <c r="Q54" s="319">
        <v>0.99989137583884757</v>
      </c>
      <c r="R54" s="319">
        <v>4.4527087833817714E-4</v>
      </c>
      <c r="S54" s="319">
        <v>2.0205514636101798</v>
      </c>
      <c r="T54" s="319">
        <v>0.20001789633540851</v>
      </c>
      <c r="U54" s="319">
        <v>0.44306250808992648</v>
      </c>
      <c r="V54" s="319">
        <v>2.0219651658292599</v>
      </c>
      <c r="W54" s="99"/>
      <c r="X54" s="100"/>
      <c r="Y54" s="88"/>
      <c r="Z54" s="88"/>
      <c r="AA54" s="88"/>
      <c r="AB54" s="88"/>
      <c r="AC54" s="88"/>
      <c r="AD54" s="83"/>
    </row>
    <row r="56" spans="1:30">
      <c r="A56" s="147">
        <v>37459</v>
      </c>
      <c r="B56" s="127" t="s">
        <v>195</v>
      </c>
      <c r="C56" s="127"/>
      <c r="D56" s="127"/>
      <c r="E56" s="127"/>
      <c r="F56" s="127"/>
      <c r="G56" s="127"/>
      <c r="H56" s="127" t="s">
        <v>144</v>
      </c>
      <c r="I56" s="127" t="s">
        <v>34</v>
      </c>
      <c r="J56" s="127" t="s">
        <v>136</v>
      </c>
      <c r="K56" s="127" t="s">
        <v>146</v>
      </c>
      <c r="L56" s="127" t="s">
        <v>147</v>
      </c>
      <c r="M56" s="127" t="s">
        <v>136</v>
      </c>
      <c r="N56" s="128" t="s">
        <v>146</v>
      </c>
    </row>
    <row r="57" spans="1:30">
      <c r="A57" s="129" t="s">
        <v>151</v>
      </c>
      <c r="B57" s="130"/>
      <c r="C57" s="130" t="s">
        <v>33</v>
      </c>
      <c r="D57" s="130" t="s">
        <v>34</v>
      </c>
      <c r="E57" s="130" t="s">
        <v>35</v>
      </c>
      <c r="F57" s="130"/>
      <c r="G57" s="130"/>
      <c r="H57" s="131" t="s">
        <v>191</v>
      </c>
      <c r="I57" s="131" t="s">
        <v>191</v>
      </c>
      <c r="J57" s="131" t="s">
        <v>191</v>
      </c>
      <c r="K57" s="130" t="s">
        <v>148</v>
      </c>
      <c r="L57" s="130" t="s">
        <v>149</v>
      </c>
      <c r="M57" s="130" t="s">
        <v>149</v>
      </c>
      <c r="N57" s="132" t="s">
        <v>148</v>
      </c>
    </row>
    <row r="58" spans="1:30">
      <c r="A58" s="129" t="s">
        <v>153</v>
      </c>
      <c r="B58" s="130"/>
      <c r="C58" s="130" t="s">
        <v>38</v>
      </c>
      <c r="D58" s="130">
        <v>999800</v>
      </c>
      <c r="E58" s="130">
        <v>1564</v>
      </c>
      <c r="F58" s="130"/>
      <c r="G58" s="130"/>
      <c r="H58" s="130">
        <v>1</v>
      </c>
      <c r="I58" s="130">
        <v>0.99988698428599998</v>
      </c>
      <c r="J58" s="133">
        <v>1.2347446791275286E-4</v>
      </c>
      <c r="K58" s="134">
        <v>2.4531023625558377</v>
      </c>
      <c r="L58" s="135">
        <v>0.17381356066366127</v>
      </c>
      <c r="M58" s="136">
        <v>3.9380639458263873E-2</v>
      </c>
      <c r="N58" s="137">
        <v>2.0871697169527255</v>
      </c>
    </row>
    <row r="59" spans="1:30">
      <c r="A59" s="129" t="s">
        <v>154</v>
      </c>
      <c r="B59" s="130"/>
      <c r="C59" s="130" t="s">
        <v>95</v>
      </c>
      <c r="D59" s="130">
        <v>999865</v>
      </c>
      <c r="E59" s="130">
        <v>494</v>
      </c>
      <c r="F59" s="130"/>
      <c r="G59" s="130"/>
      <c r="H59" s="130">
        <v>0.1</v>
      </c>
      <c r="I59" s="130">
        <v>0.1000025995545</v>
      </c>
      <c r="J59" s="133">
        <v>1.2347395096420009E-5</v>
      </c>
      <c r="K59" s="134">
        <v>2.4545473891647145</v>
      </c>
      <c r="L59" s="135">
        <v>6.049630986545456E-2</v>
      </c>
      <c r="M59" s="136">
        <v>3.9380639458263859E-2</v>
      </c>
      <c r="N59" s="137">
        <v>2.0871697169527255</v>
      </c>
    </row>
    <row r="60" spans="1:30">
      <c r="A60" s="129" t="s">
        <v>155</v>
      </c>
      <c r="B60" s="130"/>
      <c r="C60" s="130" t="s">
        <v>95</v>
      </c>
      <c r="D60" s="130">
        <v>100000</v>
      </c>
      <c r="E60" s="130">
        <v>54</v>
      </c>
      <c r="F60" s="130"/>
      <c r="G60" s="130"/>
      <c r="H60" s="130">
        <v>0.01</v>
      </c>
      <c r="I60" s="130">
        <v>1.00009100081E-2</v>
      </c>
      <c r="J60" s="133">
        <v>1.2549829076667638E-6</v>
      </c>
      <c r="K60" s="134">
        <v>2.3204707222049938</v>
      </c>
      <c r="L60" s="135">
        <v>6.8991306735204136E-2</v>
      </c>
      <c r="M60" s="136">
        <v>3.4310250733120169E-2</v>
      </c>
      <c r="N60" s="137">
        <v>2.1402146382865626</v>
      </c>
    </row>
    <row r="61" spans="1:30">
      <c r="A61" s="129" t="s">
        <v>156</v>
      </c>
      <c r="B61" s="130"/>
      <c r="C61" s="130" t="s">
        <v>37</v>
      </c>
      <c r="D61" s="130">
        <v>999725</v>
      </c>
      <c r="E61" s="130">
        <v>-96</v>
      </c>
      <c r="F61" s="130"/>
      <c r="G61" s="130"/>
      <c r="H61" s="130">
        <v>1000</v>
      </c>
      <c r="I61" s="130">
        <v>999.85148617031257</v>
      </c>
      <c r="J61" s="133">
        <v>7.4102010648654945E-2</v>
      </c>
      <c r="K61" s="134">
        <v>2.4352737863727554</v>
      </c>
      <c r="L61" s="135">
        <v>2.9976965025331603E-3</v>
      </c>
      <c r="M61" s="136">
        <v>3.4310250733120169E-2</v>
      </c>
      <c r="N61" s="137">
        <v>2.1402146382865626</v>
      </c>
    </row>
    <row r="62" spans="1:30">
      <c r="A62" s="129" t="s">
        <v>157</v>
      </c>
      <c r="B62" s="130"/>
      <c r="C62" s="130" t="s">
        <v>44</v>
      </c>
      <c r="D62" s="130">
        <v>999884</v>
      </c>
      <c r="E62" s="130">
        <v>1530</v>
      </c>
      <c r="F62" s="130"/>
      <c r="G62" s="130"/>
      <c r="H62" s="130">
        <v>100</v>
      </c>
      <c r="I62" s="130">
        <v>99.995496537095349</v>
      </c>
      <c r="J62" s="133">
        <v>7.4095087057193922E-3</v>
      </c>
      <c r="K62" s="134">
        <v>2.4405783600497108</v>
      </c>
      <c r="L62" s="135">
        <v>4.0065530367590502E-3</v>
      </c>
      <c r="M62" s="136">
        <v>3.4310250733120169E-2</v>
      </c>
      <c r="N62" s="137">
        <v>2.1402146382865626</v>
      </c>
    </row>
    <row r="63" spans="1:30">
      <c r="A63" s="129" t="s">
        <v>158</v>
      </c>
      <c r="B63" s="130"/>
      <c r="C63" s="130" t="s">
        <v>44</v>
      </c>
      <c r="D63" s="130">
        <v>100007</v>
      </c>
      <c r="E63" s="130">
        <v>150</v>
      </c>
      <c r="F63" s="130"/>
      <c r="G63" s="130"/>
      <c r="H63" s="130">
        <v>10</v>
      </c>
      <c r="I63" s="130">
        <v>9.9992717804192548</v>
      </c>
      <c r="J63" s="133">
        <v>7.6244295397045374E-4</v>
      </c>
      <c r="K63" s="134">
        <v>2.0900212967482901</v>
      </c>
      <c r="L63" s="135">
        <v>1.9008318936686572E-2</v>
      </c>
      <c r="M63" s="136">
        <v>3.4310250733120162E-2</v>
      </c>
      <c r="N63" s="137">
        <v>2.1402146382865626</v>
      </c>
    </row>
    <row r="64" spans="1:30">
      <c r="A64" s="138" t="s">
        <v>159</v>
      </c>
      <c r="B64" s="139"/>
      <c r="C64" s="139" t="s">
        <v>44</v>
      </c>
      <c r="D64" s="139">
        <v>10027</v>
      </c>
      <c r="E64" s="139">
        <v>24</v>
      </c>
      <c r="F64" s="139"/>
      <c r="G64" s="139"/>
      <c r="H64" s="139">
        <v>1</v>
      </c>
      <c r="I64" s="139">
        <v>0.99996199380000006</v>
      </c>
      <c r="J64" s="140">
        <v>4.9630807210427263E-4</v>
      </c>
      <c r="K64" s="141">
        <v>2.3633717719251082</v>
      </c>
      <c r="L64" s="142">
        <v>2.6003056285599041E-2</v>
      </c>
      <c r="M64" s="143">
        <v>0.10709927980015248</v>
      </c>
      <c r="N64" s="144">
        <v>2.14155732736016</v>
      </c>
    </row>
    <row r="66" spans="1:10">
      <c r="A66" t="s">
        <v>162</v>
      </c>
    </row>
    <row r="67" spans="1:10">
      <c r="A67" t="s">
        <v>151</v>
      </c>
      <c r="C67" t="s">
        <v>33</v>
      </c>
      <c r="D67" t="s">
        <v>0</v>
      </c>
      <c r="E67" t="s">
        <v>163</v>
      </c>
      <c r="F67" t="s">
        <v>164</v>
      </c>
      <c r="H67" t="s">
        <v>165</v>
      </c>
      <c r="J67" t="s">
        <v>166</v>
      </c>
    </row>
    <row r="68" spans="1:10">
      <c r="A68" t="s">
        <v>153</v>
      </c>
      <c r="C68" t="s">
        <v>38</v>
      </c>
      <c r="D68">
        <v>999806</v>
      </c>
      <c r="E68">
        <v>1734</v>
      </c>
      <c r="F68">
        <v>0.99953805199199997</v>
      </c>
      <c r="G68" t="s">
        <v>167</v>
      </c>
      <c r="H68" s="66">
        <v>1.7336011800000001E-3</v>
      </c>
      <c r="I68" t="s">
        <v>105</v>
      </c>
      <c r="J68" s="1">
        <v>1.7344023837262331E-4</v>
      </c>
    </row>
    <row r="69" spans="1:10">
      <c r="A69" t="s">
        <v>154</v>
      </c>
      <c r="C69" t="s">
        <v>95</v>
      </c>
      <c r="D69">
        <v>999945</v>
      </c>
      <c r="E69">
        <v>600</v>
      </c>
      <c r="F69">
        <v>100.00759927950001</v>
      </c>
      <c r="G69" t="s">
        <v>106</v>
      </c>
      <c r="H69" s="66">
        <v>5.9997000000000009E-2</v>
      </c>
      <c r="I69" t="s">
        <v>168</v>
      </c>
      <c r="J69" s="1">
        <v>5.9992441006729023E-5</v>
      </c>
    </row>
    <row r="70" spans="1:10">
      <c r="A70" t="s">
        <v>155</v>
      </c>
      <c r="C70" t="s">
        <v>95</v>
      </c>
      <c r="D70">
        <v>100001</v>
      </c>
      <c r="E70">
        <v>64</v>
      </c>
      <c r="F70">
        <v>10.001410013100001</v>
      </c>
      <c r="G70" t="s">
        <v>106</v>
      </c>
      <c r="H70" s="66">
        <v>6.3996800000000005E-3</v>
      </c>
      <c r="I70" t="s">
        <v>168</v>
      </c>
      <c r="J70" s="1">
        <v>6.398777763952883E-5</v>
      </c>
    </row>
    <row r="71" spans="1:10">
      <c r="A71" t="s">
        <v>156</v>
      </c>
      <c r="C71" t="s">
        <v>37</v>
      </c>
      <c r="D71">
        <v>999733</v>
      </c>
      <c r="E71">
        <v>14</v>
      </c>
      <c r="F71">
        <v>999.47906781799998</v>
      </c>
      <c r="G71" t="s">
        <v>107</v>
      </c>
      <c r="H71" s="66">
        <v>1.399685E-2</v>
      </c>
      <c r="I71" t="s">
        <v>1</v>
      </c>
      <c r="J71" s="1">
        <v>1.4004145209921249E-6</v>
      </c>
    </row>
    <row r="72" spans="1:10">
      <c r="A72" t="s">
        <v>157</v>
      </c>
      <c r="C72" t="s">
        <v>44</v>
      </c>
      <c r="D72">
        <v>999906</v>
      </c>
      <c r="E72">
        <v>1080</v>
      </c>
      <c r="F72">
        <v>103.39997948820002</v>
      </c>
      <c r="G72" t="s">
        <v>107</v>
      </c>
      <c r="H72" s="66">
        <v>0.11177881200000001</v>
      </c>
      <c r="I72" t="s">
        <v>1</v>
      </c>
      <c r="J72" s="1">
        <v>1.0810332125138977E-4</v>
      </c>
    </row>
    <row r="73" spans="1:10">
      <c r="A73" t="s">
        <v>158</v>
      </c>
      <c r="C73" t="s">
        <v>44</v>
      </c>
      <c r="D73">
        <v>100012</v>
      </c>
      <c r="E73">
        <v>110</v>
      </c>
      <c r="F73">
        <v>10.342210916400001</v>
      </c>
      <c r="G73" t="s">
        <v>107</v>
      </c>
      <c r="H73" s="66">
        <v>1.1384879000000001E-2</v>
      </c>
      <c r="I73" t="s">
        <v>1</v>
      </c>
      <c r="J73" s="1">
        <v>1.100816749148541E-4</v>
      </c>
    </row>
    <row r="74" spans="1:10">
      <c r="A74" t="s">
        <v>159</v>
      </c>
      <c r="C74" t="s">
        <v>44</v>
      </c>
      <c r="D74">
        <v>10028</v>
      </c>
      <c r="E74">
        <v>15</v>
      </c>
      <c r="F74">
        <v>1.0369924716000001</v>
      </c>
      <c r="G74" t="s">
        <v>107</v>
      </c>
      <c r="H74" s="66">
        <v>1.5524835000000001E-3</v>
      </c>
      <c r="I74" t="s">
        <v>1</v>
      </c>
      <c r="J74" s="1">
        <v>1.4971019968974673E-4</v>
      </c>
    </row>
    <row r="76" spans="1:10">
      <c r="A76" t="s">
        <v>161</v>
      </c>
    </row>
    <row r="77" spans="1:10">
      <c r="A77" t="s">
        <v>151</v>
      </c>
      <c r="C77" t="s">
        <v>33</v>
      </c>
      <c r="D77" t="s">
        <v>152</v>
      </c>
      <c r="E77" t="s">
        <v>35</v>
      </c>
    </row>
    <row r="78" spans="1:10">
      <c r="A78" t="s">
        <v>153</v>
      </c>
      <c r="C78" t="s">
        <v>38</v>
      </c>
      <c r="D78">
        <v>999768</v>
      </c>
      <c r="E78">
        <v>1756</v>
      </c>
    </row>
    <row r="79" spans="1:10">
      <c r="A79" t="s">
        <v>154</v>
      </c>
      <c r="C79" t="s">
        <v>95</v>
      </c>
      <c r="D79">
        <v>999907</v>
      </c>
      <c r="E79">
        <v>610</v>
      </c>
    </row>
    <row r="80" spans="1:10">
      <c r="A80" t="s">
        <v>155</v>
      </c>
      <c r="C80" t="s">
        <v>42</v>
      </c>
      <c r="D80">
        <v>99998</v>
      </c>
      <c r="E80">
        <v>56</v>
      </c>
    </row>
    <row r="81" spans="1:5">
      <c r="A81" t="s">
        <v>156</v>
      </c>
      <c r="C81" t="s">
        <v>37</v>
      </c>
      <c r="D81">
        <v>999756</v>
      </c>
      <c r="E81">
        <v>98</v>
      </c>
    </row>
    <row r="82" spans="1:5">
      <c r="A82" t="s">
        <v>157</v>
      </c>
      <c r="C82" t="s">
        <v>44</v>
      </c>
      <c r="D82">
        <v>999911</v>
      </c>
      <c r="E82">
        <v>1100</v>
      </c>
    </row>
    <row r="83" spans="1:5">
      <c r="A83" t="s">
        <v>158</v>
      </c>
      <c r="C83" t="s">
        <v>44</v>
      </c>
      <c r="D83">
        <v>100008</v>
      </c>
      <c r="E83">
        <v>120</v>
      </c>
    </row>
    <row r="84" spans="1:5">
      <c r="A84" t="s">
        <v>159</v>
      </c>
      <c r="C84" t="s">
        <v>44</v>
      </c>
      <c r="D84">
        <v>10028</v>
      </c>
      <c r="E84">
        <v>10</v>
      </c>
    </row>
    <row r="86" spans="1:5">
      <c r="A86" t="s">
        <v>160</v>
      </c>
    </row>
    <row r="87" spans="1:5">
      <c r="A87" t="s">
        <v>151</v>
      </c>
      <c r="C87" t="s">
        <v>33</v>
      </c>
      <c r="D87" t="s">
        <v>152</v>
      </c>
      <c r="E87" t="s">
        <v>35</v>
      </c>
    </row>
    <row r="88" spans="1:5">
      <c r="A88" t="s">
        <v>153</v>
      </c>
      <c r="C88" t="s">
        <v>38</v>
      </c>
      <c r="D88">
        <v>999775</v>
      </c>
      <c r="E88">
        <v>1750</v>
      </c>
    </row>
    <row r="89" spans="1:5">
      <c r="A89" t="s">
        <v>154</v>
      </c>
      <c r="C89" t="s">
        <v>95</v>
      </c>
      <c r="D89">
        <v>999904</v>
      </c>
      <c r="E89">
        <v>590</v>
      </c>
    </row>
    <row r="90" spans="1:5">
      <c r="A90" t="s">
        <v>155</v>
      </c>
      <c r="C90" t="s">
        <v>42</v>
      </c>
      <c r="D90">
        <v>1000254</v>
      </c>
      <c r="E90">
        <v>700</v>
      </c>
    </row>
    <row r="91" spans="1:5">
      <c r="A91" t="s">
        <v>156</v>
      </c>
      <c r="C91" t="s">
        <v>37</v>
      </c>
      <c r="D91">
        <v>999770</v>
      </c>
      <c r="E91">
        <v>69</v>
      </c>
    </row>
    <row r="92" spans="1:5">
      <c r="A92" t="s">
        <v>157</v>
      </c>
      <c r="C92" t="s">
        <v>44</v>
      </c>
      <c r="D92">
        <v>1000019</v>
      </c>
      <c r="E92">
        <v>1506</v>
      </c>
    </row>
    <row r="93" spans="1:5">
      <c r="A93" t="s">
        <v>158</v>
      </c>
      <c r="C93" t="s">
        <v>44</v>
      </c>
      <c r="D93">
        <v>100020</v>
      </c>
      <c r="E93">
        <v>150</v>
      </c>
    </row>
    <row r="94" spans="1:5">
      <c r="A94" t="s">
        <v>159</v>
      </c>
      <c r="C94" t="s">
        <v>44</v>
      </c>
      <c r="D94">
        <v>10028</v>
      </c>
      <c r="E94">
        <v>16</v>
      </c>
    </row>
    <row r="97" spans="1:5">
      <c r="A97" t="s">
        <v>150</v>
      </c>
    </row>
    <row r="98" spans="1:5">
      <c r="A98" t="s">
        <v>151</v>
      </c>
      <c r="C98" t="s">
        <v>33</v>
      </c>
      <c r="D98" t="s">
        <v>152</v>
      </c>
      <c r="E98" t="s">
        <v>35</v>
      </c>
    </row>
    <row r="99" spans="1:5">
      <c r="A99" t="s">
        <v>153</v>
      </c>
      <c r="C99" t="s">
        <v>38</v>
      </c>
      <c r="D99">
        <v>999746</v>
      </c>
      <c r="E99">
        <v>1813</v>
      </c>
    </row>
    <row r="100" spans="1:5">
      <c r="A100" t="s">
        <v>154</v>
      </c>
      <c r="C100" t="s">
        <v>95</v>
      </c>
      <c r="D100">
        <v>999882</v>
      </c>
      <c r="E100">
        <v>659</v>
      </c>
    </row>
    <row r="101" spans="1:5">
      <c r="A101" t="s">
        <v>155</v>
      </c>
      <c r="C101" t="s">
        <v>42</v>
      </c>
      <c r="D101">
        <v>1000131</v>
      </c>
      <c r="E101">
        <v>560</v>
      </c>
    </row>
    <row r="102" spans="1:5">
      <c r="A102" t="s">
        <v>156</v>
      </c>
      <c r="C102" t="s">
        <v>37</v>
      </c>
      <c r="D102">
        <v>999732</v>
      </c>
      <c r="E102">
        <v>113</v>
      </c>
    </row>
    <row r="103" spans="1:5">
      <c r="A103" t="s">
        <v>157</v>
      </c>
      <c r="C103" t="s">
        <v>44</v>
      </c>
      <c r="D103">
        <v>999893</v>
      </c>
      <c r="E103">
        <v>1520</v>
      </c>
    </row>
    <row r="104" spans="1:5">
      <c r="A104" t="s">
        <v>158</v>
      </c>
      <c r="C104" t="s">
        <v>44</v>
      </c>
      <c r="D104">
        <v>100014</v>
      </c>
      <c r="E104">
        <v>150</v>
      </c>
    </row>
    <row r="105" spans="1:5">
      <c r="A105" t="s">
        <v>159</v>
      </c>
      <c r="C105" t="s">
        <v>44</v>
      </c>
      <c r="D105">
        <v>10027</v>
      </c>
      <c r="E105">
        <v>16</v>
      </c>
    </row>
    <row r="109" spans="1:5">
      <c r="A109" t="s">
        <v>46</v>
      </c>
      <c r="B109" t="s">
        <v>201</v>
      </c>
      <c r="C109" t="s">
        <v>202</v>
      </c>
    </row>
    <row r="110" spans="1:5">
      <c r="A110" s="2">
        <v>34186</v>
      </c>
      <c r="C110">
        <v>20878</v>
      </c>
    </row>
    <row r="111" spans="1:5">
      <c r="A111" s="2">
        <v>34989</v>
      </c>
      <c r="B111">
        <v>71623</v>
      </c>
      <c r="C111">
        <v>21066</v>
      </c>
    </row>
    <row r="112" spans="1:5">
      <c r="A112" s="2">
        <v>35761</v>
      </c>
      <c r="B112">
        <v>71750</v>
      </c>
      <c r="C112">
        <v>21250</v>
      </c>
    </row>
    <row r="113" spans="1:33">
      <c r="A113" s="2">
        <v>36753</v>
      </c>
      <c r="B113">
        <v>73040</v>
      </c>
      <c r="C113">
        <v>21385</v>
      </c>
    </row>
    <row r="114" spans="1:33">
      <c r="A114" s="2">
        <v>37459</v>
      </c>
      <c r="B114">
        <v>71250</v>
      </c>
      <c r="C114">
        <v>21464</v>
      </c>
    </row>
    <row r="115" spans="1:33">
      <c r="A115" s="2">
        <v>38405</v>
      </c>
      <c r="B115">
        <v>7140032</v>
      </c>
      <c r="C115">
        <v>21580</v>
      </c>
    </row>
    <row r="116" spans="1:33">
      <c r="A116" s="2"/>
    </row>
    <row r="117" spans="1:33">
      <c r="A117" s="2"/>
    </row>
    <row r="118" spans="1:33">
      <c r="B118" s="2">
        <v>34185</v>
      </c>
      <c r="F118" s="2">
        <v>34989</v>
      </c>
      <c r="J118" s="2">
        <v>35761</v>
      </c>
      <c r="N118" s="2">
        <v>36747</v>
      </c>
      <c r="R118" s="2">
        <v>37459</v>
      </c>
      <c r="V118" s="2">
        <v>38405</v>
      </c>
      <c r="Z118" s="2">
        <v>40680</v>
      </c>
      <c r="AD118" s="2">
        <f>Results!B5</f>
        <v>41863</v>
      </c>
    </row>
    <row r="119" spans="1:33">
      <c r="B119" t="s">
        <v>0</v>
      </c>
      <c r="C119" t="s">
        <v>203</v>
      </c>
      <c r="D119" t="s">
        <v>204</v>
      </c>
      <c r="E119" t="s">
        <v>205</v>
      </c>
      <c r="F119" t="s">
        <v>0</v>
      </c>
      <c r="G119" t="s">
        <v>203</v>
      </c>
      <c r="H119" t="s">
        <v>204</v>
      </c>
      <c r="I119" t="s">
        <v>205</v>
      </c>
      <c r="J119" t="s">
        <v>0</v>
      </c>
      <c r="K119" t="s">
        <v>203</v>
      </c>
      <c r="L119" t="s">
        <v>204</v>
      </c>
      <c r="M119" t="s">
        <v>205</v>
      </c>
      <c r="N119" t="s">
        <v>0</v>
      </c>
      <c r="O119" t="s">
        <v>203</v>
      </c>
      <c r="P119" t="s">
        <v>204</v>
      </c>
      <c r="Q119" t="s">
        <v>205</v>
      </c>
      <c r="R119" t="s">
        <v>0</v>
      </c>
      <c r="S119" t="s">
        <v>203</v>
      </c>
      <c r="T119" t="s">
        <v>204</v>
      </c>
      <c r="U119" t="s">
        <v>205</v>
      </c>
      <c r="V119" t="s">
        <v>0</v>
      </c>
      <c r="W119" t="s">
        <v>203</v>
      </c>
      <c r="X119" t="s">
        <v>204</v>
      </c>
      <c r="Y119" t="s">
        <v>205</v>
      </c>
      <c r="Z119" t="s">
        <v>0</v>
      </c>
      <c r="AA119" t="s">
        <v>203</v>
      </c>
      <c r="AB119" t="s">
        <v>204</v>
      </c>
      <c r="AC119" t="s">
        <v>205</v>
      </c>
      <c r="AD119" t="s">
        <v>0</v>
      </c>
      <c r="AE119" t="s">
        <v>203</v>
      </c>
      <c r="AF119" t="s">
        <v>204</v>
      </c>
      <c r="AG119" t="s">
        <v>205</v>
      </c>
    </row>
    <row r="120" spans="1:33">
      <c r="A120" t="s">
        <v>153</v>
      </c>
      <c r="B120">
        <v>0.99983999999999995</v>
      </c>
      <c r="C120" s="1">
        <f>0.0002*B120</f>
        <v>1.9996799999999999E-4</v>
      </c>
      <c r="D120">
        <v>0.18</v>
      </c>
      <c r="E120">
        <v>0.1</v>
      </c>
      <c r="F120">
        <v>0.99985999999999997</v>
      </c>
      <c r="G120">
        <v>1.2E-4</v>
      </c>
      <c r="H120">
        <v>0.17499999999999999</v>
      </c>
      <c r="I120">
        <v>3.9E-2</v>
      </c>
      <c r="J120">
        <v>0.99985000000000002</v>
      </c>
      <c r="K120">
        <v>1.2E-4</v>
      </c>
      <c r="L120">
        <v>0.17599999999999999</v>
      </c>
      <c r="M120">
        <v>3.9E-2</v>
      </c>
      <c r="N120">
        <v>0.99988999999999995</v>
      </c>
      <c r="O120">
        <v>1.2E-4</v>
      </c>
      <c r="P120">
        <v>0.17</v>
      </c>
      <c r="Q120">
        <v>0.04</v>
      </c>
      <c r="R120">
        <v>0.99987999999999999</v>
      </c>
      <c r="S120">
        <v>1.2E-4</v>
      </c>
      <c r="T120">
        <v>0.16</v>
      </c>
      <c r="U120">
        <v>0.04</v>
      </c>
      <c r="V120">
        <v>0.9998881970720439</v>
      </c>
      <c r="W120">
        <v>1.1134708971278611E-4</v>
      </c>
      <c r="X120">
        <v>0.16474294827471472</v>
      </c>
      <c r="Y120">
        <v>3.4393445337098753E-2</v>
      </c>
      <c r="Z120">
        <v>0.99990093687267345</v>
      </c>
      <c r="AA120">
        <v>4.289074683682029E-5</v>
      </c>
      <c r="AB120">
        <v>0.17111407920585317</v>
      </c>
      <c r="AC120">
        <v>3.4533547399875526E-2</v>
      </c>
      <c r="AD120">
        <f t="shared" ref="AD120:AE126" si="6">I27</f>
        <v>0.9999044961601945</v>
      </c>
      <c r="AE120">
        <f t="shared" si="6"/>
        <v>4.2890875344783289E-5</v>
      </c>
      <c r="AF120" s="66">
        <f t="shared" ref="AF120:AG126" si="7">L27</f>
        <v>0.17091143732418621</v>
      </c>
      <c r="AG120" s="83">
        <f t="shared" si="7"/>
        <v>3.4533527576831355E-2</v>
      </c>
    </row>
    <row r="121" spans="1:33">
      <c r="A121" t="s">
        <v>154</v>
      </c>
      <c r="B121">
        <v>9.9997000000000003E-2</v>
      </c>
      <c r="C121" s="1">
        <f t="shared" ref="C121:C126" si="8">0.0002*B121</f>
        <v>1.99994E-5</v>
      </c>
      <c r="D121">
        <v>7.0000000000000007E-2</v>
      </c>
      <c r="E121">
        <v>0.1</v>
      </c>
      <c r="F121">
        <v>9.9998000000000004E-2</v>
      </c>
      <c r="G121">
        <v>1.2E-5</v>
      </c>
      <c r="H121">
        <v>5.8999999999999997E-2</v>
      </c>
      <c r="I121">
        <v>3.9E-2</v>
      </c>
      <c r="J121">
        <v>9.9999000000000005E-2</v>
      </c>
      <c r="K121">
        <v>1.2E-5</v>
      </c>
      <c r="L121">
        <v>6.0999999999999999E-2</v>
      </c>
      <c r="M121">
        <v>3.9E-2</v>
      </c>
      <c r="N121">
        <v>0.10000299999999999</v>
      </c>
      <c r="O121">
        <v>1.2E-5</v>
      </c>
      <c r="P121">
        <v>0.06</v>
      </c>
      <c r="Q121">
        <v>0.04</v>
      </c>
      <c r="R121">
        <v>0.10000199999999999</v>
      </c>
      <c r="S121">
        <v>1.2E-5</v>
      </c>
      <c r="T121">
        <v>0.05</v>
      </c>
      <c r="U121">
        <v>0.04</v>
      </c>
      <c r="V121">
        <v>0.10000262064849343</v>
      </c>
      <c r="W121">
        <v>1.1136226141403421E-5</v>
      </c>
      <c r="X121">
        <v>3.3461905379948857E-2</v>
      </c>
      <c r="Y121">
        <v>3.4393128439221606E-2</v>
      </c>
      <c r="Z121">
        <v>0.10000289458261064</v>
      </c>
      <c r="AA121">
        <v>4.2896224014482039E-6</v>
      </c>
      <c r="AB121">
        <v>3.9798179971278297E-2</v>
      </c>
      <c r="AC121">
        <v>3.4533524009359565E-2</v>
      </c>
      <c r="AD121">
        <f t="shared" si="6"/>
        <v>0.10000325051852012</v>
      </c>
      <c r="AE121">
        <f t="shared" si="6"/>
        <v>4.2896352394125101E-6</v>
      </c>
      <c r="AF121" s="66">
        <f t="shared" si="7"/>
        <v>4.1297477009549902E-2</v>
      </c>
      <c r="AG121" s="83">
        <f t="shared" si="7"/>
        <v>3.453350420618731E-2</v>
      </c>
    </row>
    <row r="122" spans="1:33">
      <c r="A122" t="s">
        <v>155</v>
      </c>
      <c r="B122">
        <v>1.00004E-2</v>
      </c>
      <c r="C122" s="1">
        <f t="shared" si="8"/>
        <v>2.00008E-6</v>
      </c>
      <c r="D122">
        <v>0.08</v>
      </c>
      <c r="E122">
        <v>0.1</v>
      </c>
      <c r="F122">
        <v>1.0003400000000001E-2</v>
      </c>
      <c r="G122">
        <v>1.3E-6</v>
      </c>
      <c r="H122">
        <v>6.4000000000000001E-2</v>
      </c>
      <c r="I122">
        <v>3.4000000000000002E-2</v>
      </c>
      <c r="J122">
        <v>1.00006E-2</v>
      </c>
      <c r="K122">
        <v>1.3E-6</v>
      </c>
      <c r="L122">
        <v>5.8999999999999997E-2</v>
      </c>
      <c r="M122">
        <v>3.4000000000000002E-2</v>
      </c>
      <c r="N122">
        <v>1.00009E-2</v>
      </c>
      <c r="O122">
        <v>1.3E-6</v>
      </c>
      <c r="P122">
        <v>7.0000000000000007E-2</v>
      </c>
      <c r="Q122">
        <v>0.04</v>
      </c>
      <c r="R122">
        <v>1.0000800000000001E-2</v>
      </c>
      <c r="S122">
        <v>1.3E-6</v>
      </c>
      <c r="T122">
        <v>0.06</v>
      </c>
      <c r="U122">
        <v>0.03</v>
      </c>
      <c r="V122">
        <v>1.0000722096225644E-2</v>
      </c>
      <c r="W122">
        <v>1.1141205860925991E-6</v>
      </c>
      <c r="X122">
        <v>4.9393873823438524E-2</v>
      </c>
      <c r="Y122">
        <v>3.4393136222050702E-2</v>
      </c>
      <c r="Z122">
        <v>1.0000869498831307E-2</v>
      </c>
      <c r="AA122">
        <v>4.2898663077534626E-7</v>
      </c>
      <c r="AB122">
        <v>5.0194792968523388E-2</v>
      </c>
      <c r="AC122">
        <v>3.453348001083914E-2</v>
      </c>
      <c r="AD122">
        <f t="shared" si="6"/>
        <v>1.0000895092041497E-2</v>
      </c>
      <c r="AE122">
        <f t="shared" si="6"/>
        <v>4.2898748670594459E-7</v>
      </c>
      <c r="AF122" s="66">
        <f t="shared" si="7"/>
        <v>5.0094083951913851E-2</v>
      </c>
      <c r="AG122" s="83">
        <f t="shared" si="7"/>
        <v>3.4533460366915014E-2</v>
      </c>
    </row>
    <row r="123" spans="1:33">
      <c r="A123" t="s">
        <v>156</v>
      </c>
      <c r="B123" s="83">
        <v>999.87</v>
      </c>
      <c r="C123" s="83">
        <f t="shared" si="8"/>
        <v>0.19997400000000001</v>
      </c>
      <c r="D123">
        <v>0</v>
      </c>
      <c r="E123">
        <v>0.1</v>
      </c>
      <c r="F123">
        <v>999.9</v>
      </c>
      <c r="G123">
        <v>7.0000000000000007E-2</v>
      </c>
      <c r="H123">
        <v>0</v>
      </c>
      <c r="I123">
        <v>3.4000000000000002E-2</v>
      </c>
      <c r="J123">
        <v>999.89</v>
      </c>
      <c r="K123">
        <v>7.0000000000000007E-2</v>
      </c>
      <c r="L123">
        <v>0</v>
      </c>
      <c r="M123">
        <v>3.4000000000000002E-2</v>
      </c>
      <c r="N123">
        <v>999.85</v>
      </c>
      <c r="O123">
        <v>7.0000000000000007E-2</v>
      </c>
      <c r="P123">
        <v>0</v>
      </c>
      <c r="Q123">
        <v>0.03</v>
      </c>
      <c r="R123">
        <v>999.85</v>
      </c>
      <c r="S123">
        <v>7.0000000000000007E-2</v>
      </c>
      <c r="T123">
        <v>0.01</v>
      </c>
      <c r="U123">
        <v>0.03</v>
      </c>
      <c r="V123">
        <v>999.8346702320506</v>
      </c>
      <c r="W123">
        <v>0.11136965486833708</v>
      </c>
      <c r="X123">
        <v>-1.3604486384239145E-2</v>
      </c>
      <c r="Y123">
        <v>3.4390980461173594E-2</v>
      </c>
      <c r="Z123">
        <v>999.83688748555005</v>
      </c>
      <c r="AA123">
        <v>5.0849171745248986E-2</v>
      </c>
      <c r="AB123">
        <v>-5.5039202274287068E-3</v>
      </c>
      <c r="AC123">
        <v>3.4531323280436288E-2</v>
      </c>
      <c r="AD123">
        <f t="shared" si="6"/>
        <v>999.82744737198152</v>
      </c>
      <c r="AE123">
        <f t="shared" si="6"/>
        <v>5.0848715255551305E-2</v>
      </c>
      <c r="AF123" s="66">
        <f t="shared" si="7"/>
        <v>2.8984232585345382E-4</v>
      </c>
      <c r="AG123" s="83">
        <f t="shared" si="7"/>
        <v>3.4531339943973463E-2</v>
      </c>
    </row>
    <row r="124" spans="1:33">
      <c r="A124" t="s">
        <v>157</v>
      </c>
      <c r="B124">
        <v>99.992999999999995</v>
      </c>
      <c r="C124" s="66">
        <f t="shared" si="8"/>
        <v>1.9998599999999998E-2</v>
      </c>
      <c r="D124">
        <v>0</v>
      </c>
      <c r="E124">
        <v>0.1</v>
      </c>
      <c r="F124">
        <v>100.005</v>
      </c>
      <c r="G124">
        <v>8.0000000000000002E-3</v>
      </c>
      <c r="H124">
        <v>0</v>
      </c>
      <c r="I124">
        <v>3.4000000000000002E-2</v>
      </c>
      <c r="J124">
        <v>99.994</v>
      </c>
      <c r="K124">
        <v>8.0000000000000002E-3</v>
      </c>
      <c r="L124">
        <v>0</v>
      </c>
      <c r="M124">
        <v>3.4000000000000002E-2</v>
      </c>
      <c r="N124">
        <v>99.995000000000005</v>
      </c>
      <c r="O124">
        <v>7.0000000000000001E-3</v>
      </c>
      <c r="P124">
        <v>0</v>
      </c>
      <c r="Q124">
        <v>0.03</v>
      </c>
      <c r="R124">
        <v>99.992000000000004</v>
      </c>
      <c r="S124">
        <v>7.0000000000000001E-3</v>
      </c>
      <c r="T124">
        <v>7.0000000000000007E-2</v>
      </c>
      <c r="U124">
        <v>0.03</v>
      </c>
      <c r="V124">
        <v>99.991024173507</v>
      </c>
      <c r="W124">
        <v>1.1160554140373318E-2</v>
      </c>
      <c r="X124">
        <v>-9.8650337650202646E-3</v>
      </c>
      <c r="Y124">
        <v>3.4394229825560244E-2</v>
      </c>
      <c r="Z124">
        <v>100.00073479451603</v>
      </c>
      <c r="AA124">
        <v>5.0859265320812993E-3</v>
      </c>
      <c r="AB124">
        <v>5.5476445301373412E-3</v>
      </c>
      <c r="AC124">
        <v>3.4534215417453801E-2</v>
      </c>
      <c r="AD124">
        <f t="shared" si="6"/>
        <v>100.00215576247349</v>
      </c>
      <c r="AE124">
        <f t="shared" si="6"/>
        <v>5.0861142226006463E-3</v>
      </c>
      <c r="AF124" s="66">
        <f t="shared" si="7"/>
        <v>4.0501108048644557E-4</v>
      </c>
      <c r="AG124" s="83">
        <f t="shared" si="7"/>
        <v>3.4534169047922086E-2</v>
      </c>
    </row>
    <row r="125" spans="1:33">
      <c r="A125" t="s">
        <v>158</v>
      </c>
      <c r="B125">
        <v>9.9989000000000008</v>
      </c>
      <c r="C125" s="97">
        <f t="shared" si="8"/>
        <v>1.99978E-3</v>
      </c>
      <c r="D125">
        <v>0</v>
      </c>
      <c r="E125">
        <v>0.1</v>
      </c>
      <c r="F125">
        <v>9.9997000000000007</v>
      </c>
      <c r="G125">
        <v>8.0000000000000004E-4</v>
      </c>
      <c r="H125">
        <v>0</v>
      </c>
      <c r="I125">
        <v>3.4000000000000002E-2</v>
      </c>
      <c r="J125">
        <v>9.9984000000000002</v>
      </c>
      <c r="K125">
        <v>8.0000000000000004E-4</v>
      </c>
      <c r="L125">
        <v>0</v>
      </c>
      <c r="M125">
        <v>3.4000000000000002E-2</v>
      </c>
      <c r="N125">
        <v>9.9992999999999999</v>
      </c>
      <c r="O125">
        <v>8.0000000000000004E-4</v>
      </c>
      <c r="P125">
        <v>0.02</v>
      </c>
      <c r="Q125">
        <v>0.03</v>
      </c>
      <c r="R125">
        <v>9.9985999999999997</v>
      </c>
      <c r="S125">
        <v>8.0000000000000004E-4</v>
      </c>
      <c r="T125">
        <v>0.06</v>
      </c>
      <c r="U125">
        <v>0.03</v>
      </c>
      <c r="V125">
        <v>9.9987323976484408</v>
      </c>
      <c r="W125">
        <v>1.1449434764596277E-3</v>
      </c>
      <c r="X125">
        <v>-4.6376149277873591E-3</v>
      </c>
      <c r="Y125">
        <v>4.3842236534380651E-2</v>
      </c>
      <c r="Z125">
        <v>9.9979232378781564</v>
      </c>
      <c r="AA125">
        <v>5.9907442838277956E-4</v>
      </c>
      <c r="AB125">
        <v>-7.9100177480623812E-3</v>
      </c>
      <c r="AC125">
        <v>4.4023454745382884E-2</v>
      </c>
      <c r="AD125">
        <f t="shared" si="6"/>
        <v>9.9980953863722739</v>
      </c>
      <c r="AE125">
        <f t="shared" si="6"/>
        <v>5.9909041198663896E-4</v>
      </c>
      <c r="AF125" s="66">
        <f t="shared" si="7"/>
        <v>-1.5382483875996688E-3</v>
      </c>
      <c r="AG125" s="83">
        <f t="shared" si="7"/>
        <v>4.4022639153207005E-2</v>
      </c>
    </row>
    <row r="126" spans="1:33">
      <c r="A126" t="s">
        <v>159</v>
      </c>
      <c r="B126">
        <v>0.99956999999999996</v>
      </c>
      <c r="C126" s="1">
        <f t="shared" si="8"/>
        <v>1.9991400000000001E-4</v>
      </c>
      <c r="D126">
        <v>0.16</v>
      </c>
      <c r="E126">
        <v>0.1</v>
      </c>
      <c r="F126">
        <v>0.99995999999999996</v>
      </c>
      <c r="G126">
        <v>2.5999999999999998E-4</v>
      </c>
      <c r="H126">
        <v>0.16</v>
      </c>
      <c r="I126">
        <v>0.11</v>
      </c>
      <c r="J126">
        <v>0.99985999999999997</v>
      </c>
      <c r="K126">
        <v>5.0000000000000001E-4</v>
      </c>
      <c r="L126">
        <v>0.1</v>
      </c>
      <c r="M126">
        <v>0.11</v>
      </c>
      <c r="N126">
        <v>0.99995999999999996</v>
      </c>
      <c r="O126">
        <v>5.0000000000000001E-4</v>
      </c>
      <c r="P126">
        <v>0.03</v>
      </c>
      <c r="Q126">
        <v>0.11</v>
      </c>
      <c r="R126">
        <v>0.99985999999999997</v>
      </c>
      <c r="S126">
        <v>5.0000000000000001E-4</v>
      </c>
      <c r="T126">
        <v>0.09</v>
      </c>
      <c r="U126">
        <v>0.11</v>
      </c>
      <c r="V126">
        <v>0.99915320142531228</v>
      </c>
      <c r="W126">
        <v>3.5273371230283291E-4</v>
      </c>
      <c r="X126">
        <v>9.6162142286059044E-2</v>
      </c>
      <c r="Y126">
        <v>0.30966457322811647</v>
      </c>
      <c r="Z126">
        <v>1.0000123485069592</v>
      </c>
      <c r="AA126">
        <v>4.157903735093468E-4</v>
      </c>
      <c r="AB126">
        <v>4.0465669967069129E-3</v>
      </c>
      <c r="AC126">
        <v>0.31068114893177318</v>
      </c>
      <c r="AD126">
        <f t="shared" si="6"/>
        <v>0.99988954580232448</v>
      </c>
      <c r="AE126">
        <f t="shared" si="6"/>
        <v>4.1579058307347614E-4</v>
      </c>
      <c r="AF126" s="66">
        <f t="shared" si="7"/>
        <v>-9.7509912484205902E-3</v>
      </c>
      <c r="AG126" s="83">
        <f t="shared" si="7"/>
        <v>0.31071164794142986</v>
      </c>
    </row>
    <row r="129" spans="1:5">
      <c r="A129" s="94" t="str">
        <f>A120</f>
        <v>HP 16387A 1 µF</v>
      </c>
    </row>
    <row r="130" spans="1:5">
      <c r="A130" t="s">
        <v>46</v>
      </c>
      <c r="B130" t="s">
        <v>0</v>
      </c>
      <c r="C130" t="s">
        <v>203</v>
      </c>
      <c r="D130" t="s">
        <v>204</v>
      </c>
      <c r="E130" t="s">
        <v>205</v>
      </c>
    </row>
    <row r="131" spans="1:5">
      <c r="A131" s="2">
        <v>34186</v>
      </c>
      <c r="B131" s="1">
        <f>VLOOKUP($A$129,history,2,FALSE)</f>
        <v>0.99983999999999995</v>
      </c>
      <c r="C131">
        <f>VLOOKUP($A$129,history,3,FALSE)</f>
        <v>1.9996799999999999E-4</v>
      </c>
      <c r="D131" s="1">
        <f>VLOOKUP($A$129,history,4,FALSE)</f>
        <v>0.18</v>
      </c>
      <c r="E131">
        <f>VLOOKUP($A$129,history,5,FALSE)</f>
        <v>0.1</v>
      </c>
    </row>
    <row r="132" spans="1:5">
      <c r="A132" s="2">
        <v>34989</v>
      </c>
      <c r="B132" s="1">
        <f>VLOOKUP($A$129,history,2+4,FALSE)</f>
        <v>0.99985999999999997</v>
      </c>
      <c r="C132">
        <f>VLOOKUP($A$129,history,3+4,FALSE)</f>
        <v>1.2E-4</v>
      </c>
      <c r="D132" s="1">
        <f>VLOOKUP($A$129,history,4+4,FALSE)</f>
        <v>0.17499999999999999</v>
      </c>
      <c r="E132">
        <f>VLOOKUP($A$129,history,5+4,FALSE)</f>
        <v>3.9E-2</v>
      </c>
    </row>
    <row r="133" spans="1:5">
      <c r="A133" s="2">
        <v>35761</v>
      </c>
      <c r="B133" s="1">
        <f>VLOOKUP($A$129,history,2+8,FALSE)</f>
        <v>0.99985000000000002</v>
      </c>
      <c r="C133">
        <f>VLOOKUP($A$129,history,3+8,FALSE)</f>
        <v>1.2E-4</v>
      </c>
      <c r="D133" s="1">
        <f>VLOOKUP($A$129,history,4+8,FALSE)</f>
        <v>0.17599999999999999</v>
      </c>
      <c r="E133">
        <f>VLOOKUP($A$129,history,5+8,FALSE)</f>
        <v>3.9E-2</v>
      </c>
    </row>
    <row r="134" spans="1:5">
      <c r="A134" s="2">
        <v>36753</v>
      </c>
      <c r="B134" s="1">
        <f>VLOOKUP($A$129,history,2+12,FALSE)</f>
        <v>0.99988999999999995</v>
      </c>
      <c r="C134">
        <f>VLOOKUP($A$129,history,3+12,FALSE)</f>
        <v>1.2E-4</v>
      </c>
      <c r="D134" s="1">
        <f>VLOOKUP($A$129,history,4+12,FALSE)</f>
        <v>0.17</v>
      </c>
      <c r="E134">
        <f>VLOOKUP($A$129,history,5+12,FALSE)</f>
        <v>0.04</v>
      </c>
    </row>
    <row r="135" spans="1:5">
      <c r="A135" s="2">
        <v>37459</v>
      </c>
      <c r="B135" s="1">
        <f>VLOOKUP($A$129,history,2+16,FALSE)</f>
        <v>0.99987999999999999</v>
      </c>
      <c r="C135">
        <f>VLOOKUP($A$129,history,3+16,FALSE)</f>
        <v>1.2E-4</v>
      </c>
      <c r="D135" s="1">
        <f>VLOOKUP($A$129,history,4+16,FALSE)</f>
        <v>0.16</v>
      </c>
      <c r="E135">
        <f>VLOOKUP($A$129,history,5+16,FALSE)</f>
        <v>0.04</v>
      </c>
    </row>
    <row r="136" spans="1:5">
      <c r="A136" s="2">
        <v>38405</v>
      </c>
      <c r="B136" s="1">
        <f>VLOOKUP($A$129,history,2+20,FALSE)</f>
        <v>0.9998881970720439</v>
      </c>
      <c r="C136">
        <f>VLOOKUP($A$129,history,3+20,FALSE)</f>
        <v>1.1134708971278611E-4</v>
      </c>
      <c r="D136" s="1">
        <f>VLOOKUP($A$129,history,4+20,FALSE)</f>
        <v>0.16474294827471472</v>
      </c>
      <c r="E136">
        <f>VLOOKUP($A$129,history,5+20,FALSE)</f>
        <v>3.4393445337098753E-2</v>
      </c>
    </row>
    <row r="137" spans="1:5">
      <c r="A137" s="2">
        <v>40680</v>
      </c>
      <c r="B137" s="1">
        <f>VLOOKUP($A$129,history,2+24,FALSE)</f>
        <v>0.99990093687267345</v>
      </c>
      <c r="C137">
        <f>VLOOKUP($A$129,history,3+24,FALSE)</f>
        <v>4.289074683682029E-5</v>
      </c>
      <c r="D137" s="1">
        <f>VLOOKUP($A$129,history,4+24,FALSE)</f>
        <v>0.17111407920585317</v>
      </c>
      <c r="E137">
        <f>VLOOKUP($A$129,history,5+24,FALSE)</f>
        <v>3.4533547399875526E-2</v>
      </c>
    </row>
    <row r="138" spans="1:5">
      <c r="A138" s="2">
        <v>41863</v>
      </c>
      <c r="B138" s="1">
        <f>VLOOKUP($A$129,history,2+28,FALSE)</f>
        <v>0.9999044961601945</v>
      </c>
      <c r="C138">
        <f>VLOOKUP($A$129,history,3+28,FALSE)</f>
        <v>4.2890875344783289E-5</v>
      </c>
      <c r="D138" s="1">
        <f>VLOOKUP($A$129,history,4+28,FALSE)</f>
        <v>0.17091143732418621</v>
      </c>
      <c r="E138">
        <f>VLOOKUP($A$129,history,5+28,FALSE)</f>
        <v>3.4533527576831355E-2</v>
      </c>
    </row>
  </sheetData>
  <phoneticPr fontId="0" type="noConversion"/>
  <pageMargins left="0.75" right="0.75" top="1" bottom="1" header="0.5" footer="0.5"/>
  <pageSetup paperSize="9" fitToHeight="0" orientation="landscape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DC9D-70A3-4F2D-B752-458232D00A20}">
  <sheetPr>
    <tabColor theme="3" tint="0.39997558519241921"/>
  </sheetPr>
  <dimension ref="B1:T25"/>
  <sheetViews>
    <sheetView workbookViewId="0">
      <selection activeCell="K22" sqref="K22:L25"/>
    </sheetView>
  </sheetViews>
  <sheetFormatPr defaultRowHeight="12.75"/>
  <cols>
    <col min="2" max="2" width="10.7109375" bestFit="1" customWidth="1"/>
    <col min="3" max="3" width="10.85546875" bestFit="1" customWidth="1"/>
    <col min="4" max="4" width="10" bestFit="1" customWidth="1"/>
    <col min="5" max="5" width="10.7109375" bestFit="1" customWidth="1"/>
    <col min="6" max="6" width="10.85546875" bestFit="1" customWidth="1"/>
    <col min="7" max="7" width="7.7109375" bestFit="1" customWidth="1"/>
    <col min="8" max="8" width="6.28515625" bestFit="1" customWidth="1"/>
    <col min="9" max="9" width="72.140625" bestFit="1" customWidth="1"/>
    <col min="10" max="10" width="12.7109375" bestFit="1" customWidth="1"/>
    <col min="11" max="11" width="12" bestFit="1" customWidth="1"/>
    <col min="12" max="13" width="12.7109375" bestFit="1" customWidth="1"/>
    <col min="14" max="14" width="16.140625" bestFit="1" customWidth="1"/>
    <col min="15" max="15" width="6.28515625" bestFit="1" customWidth="1"/>
    <col min="17" max="17" width="12.7109375" bestFit="1" customWidth="1"/>
    <col min="18" max="18" width="12" bestFit="1" customWidth="1"/>
    <col min="19" max="19" width="27.42578125" bestFit="1" customWidth="1"/>
    <col min="20" max="20" width="5.5703125" bestFit="1" customWidth="1"/>
  </cols>
  <sheetData>
    <row r="1" spans="2:20">
      <c r="I1" s="246" t="s">
        <v>480</v>
      </c>
    </row>
    <row r="2" spans="2:20">
      <c r="B2" s="2">
        <v>41862</v>
      </c>
      <c r="I2" s="246" t="s">
        <v>350</v>
      </c>
      <c r="L2" s="246" t="s">
        <v>354</v>
      </c>
    </row>
    <row r="3" spans="2:20">
      <c r="B3" s="246" t="s">
        <v>344</v>
      </c>
      <c r="D3" s="246" t="s">
        <v>107</v>
      </c>
      <c r="E3" s="246" t="s">
        <v>1</v>
      </c>
      <c r="F3" s="246" t="s">
        <v>349</v>
      </c>
      <c r="G3" s="246" t="s">
        <v>310</v>
      </c>
      <c r="H3" s="246" t="s">
        <v>353</v>
      </c>
      <c r="I3" s="246" t="s">
        <v>351</v>
      </c>
      <c r="J3" s="246" t="s">
        <v>352</v>
      </c>
      <c r="L3" s="246" t="s">
        <v>351</v>
      </c>
      <c r="M3" s="246" t="s">
        <v>352</v>
      </c>
    </row>
    <row r="4" spans="2:20">
      <c r="C4" s="323" t="s">
        <v>248</v>
      </c>
      <c r="D4">
        <v>9.9999748989999997</v>
      </c>
      <c r="E4">
        <v>-1.1875E-4</v>
      </c>
      <c r="H4" s="83">
        <f>E4*0.000000001/(2*PI()*1591.5)/(D4*0.000000000001)*1000000</f>
        <v>-1.1875398637946493</v>
      </c>
    </row>
    <row r="5" spans="2:20">
      <c r="C5" s="323" t="s">
        <v>481</v>
      </c>
      <c r="D5">
        <v>9.9999769409999999</v>
      </c>
      <c r="E5" s="325">
        <v>-5.5000000000000002E-5</v>
      </c>
      <c r="G5">
        <f>(D5/10-1)*1000000</f>
        <v>-2.3059000000547059</v>
      </c>
      <c r="H5" s="83">
        <f t="shared" ref="H5:H11" si="0">E5*0.000000001/(2*PI()*1591.5)/(D5*0.000000000001)*1000000</f>
        <v>-0.55001835091717677</v>
      </c>
      <c r="I5">
        <v>-4.7172442109823578</v>
      </c>
      <c r="J5">
        <v>0.30600000000000094</v>
      </c>
      <c r="L5">
        <f>I5-G5</f>
        <v>-2.4113442109276519</v>
      </c>
      <c r="M5">
        <f>J5-H5</f>
        <v>0.85601835091717771</v>
      </c>
    </row>
    <row r="6" spans="2:20">
      <c r="C6" s="323" t="s">
        <v>249</v>
      </c>
      <c r="D6">
        <v>99.999818309999995</v>
      </c>
      <c r="E6">
        <v>1.6629500000000001E-3</v>
      </c>
      <c r="G6">
        <f>(D6/100-1)*1000000</f>
        <v>-1.8169000000067825</v>
      </c>
      <c r="H6" s="83">
        <f t="shared" si="0"/>
        <v>1.6630046716210569</v>
      </c>
      <c r="I6">
        <v>-4.191244210982358</v>
      </c>
      <c r="J6">
        <v>0.27809090909090983</v>
      </c>
      <c r="L6">
        <f t="shared" ref="L6:M11" si="1">I6-G6</f>
        <v>-2.3743442109755755</v>
      </c>
      <c r="M6">
        <f t="shared" si="1"/>
        <v>-1.3849137625301471</v>
      </c>
    </row>
    <row r="7" spans="2:20">
      <c r="C7" s="323" t="s">
        <v>482</v>
      </c>
      <c r="D7">
        <v>0.50005031</v>
      </c>
      <c r="E7" s="325">
        <v>7.5400000000000003E-5</v>
      </c>
      <c r="G7">
        <f>(D7/0.5-1)*1000000</f>
        <v>100.61999999999571</v>
      </c>
      <c r="H7" s="83">
        <f t="shared" si="0"/>
        <v>15.078951130588715</v>
      </c>
      <c r="I7">
        <v>92.774877894508819</v>
      </c>
      <c r="J7">
        <v>0.83086363636363547</v>
      </c>
      <c r="L7">
        <f t="shared" si="1"/>
        <v>-7.8451221054868938</v>
      </c>
      <c r="M7">
        <f t="shared" si="1"/>
        <v>-14.248087494225079</v>
      </c>
    </row>
    <row r="8" spans="2:20">
      <c r="C8" s="323" t="s">
        <v>173</v>
      </c>
      <c r="D8">
        <v>1000.031788</v>
      </c>
      <c r="E8">
        <v>0.1845125</v>
      </c>
      <c r="F8">
        <v>23.994</v>
      </c>
      <c r="G8">
        <f>(D8/1000-1)*1000000</f>
        <v>31.788000000032568</v>
      </c>
      <c r="H8" s="83">
        <f t="shared" si="0"/>
        <v>18.451236555500071</v>
      </c>
      <c r="I8">
        <v>27.819755789017641</v>
      </c>
      <c r="J8">
        <v>-6.1878181818181801</v>
      </c>
      <c r="L8">
        <f>I8-G8</f>
        <v>-3.9682442110149267</v>
      </c>
      <c r="M8">
        <f t="shared" si="1"/>
        <v>-24.639054737318251</v>
      </c>
    </row>
    <row r="9" spans="2:20">
      <c r="C9" s="323" t="s">
        <v>36</v>
      </c>
      <c r="D9">
        <v>1000.016476</v>
      </c>
      <c r="E9">
        <v>0.18592500000000001</v>
      </c>
      <c r="F9">
        <v>23.994</v>
      </c>
      <c r="G9">
        <f>(D9/1000-1)*1000000</f>
        <v>16.476000000098523</v>
      </c>
      <c r="H9" s="83">
        <f t="shared" si="0"/>
        <v>18.592771136040394</v>
      </c>
      <c r="I9">
        <v>14.179755789017641</v>
      </c>
      <c r="J9">
        <v>-6.76181818181818</v>
      </c>
      <c r="L9">
        <f t="shared" si="1"/>
        <v>-2.2962442110808823</v>
      </c>
      <c r="M9">
        <f t="shared" si="1"/>
        <v>-25.354589317858576</v>
      </c>
    </row>
    <row r="10" spans="2:20">
      <c r="C10" s="323" t="s">
        <v>483</v>
      </c>
      <c r="D10">
        <v>100.0040808</v>
      </c>
      <c r="E10">
        <v>8.0348399999999997E-3</v>
      </c>
      <c r="F10">
        <v>23.994</v>
      </c>
      <c r="G10">
        <f>(D10/100-1)*1000000</f>
        <v>40.808000000058797</v>
      </c>
      <c r="H10" s="83">
        <f t="shared" si="0"/>
        <v>8.0347616741687204</v>
      </c>
      <c r="I10">
        <v>36.563755789017641</v>
      </c>
      <c r="J10">
        <v>-1.5909090909090651E-2</v>
      </c>
      <c r="L10">
        <f t="shared" si="1"/>
        <v>-4.2442442110411562</v>
      </c>
      <c r="M10">
        <f t="shared" si="1"/>
        <v>-8.0506707650778111</v>
      </c>
    </row>
    <row r="11" spans="2:20">
      <c r="C11" s="323" t="s">
        <v>484</v>
      </c>
      <c r="D11">
        <v>10.000211800000001</v>
      </c>
      <c r="E11">
        <v>9.0748000000000001E-4</v>
      </c>
      <c r="F11">
        <v>23.994</v>
      </c>
      <c r="G11">
        <f>(D11/10-1)*1000000</f>
        <v>21.180000000065036</v>
      </c>
      <c r="H11" s="83">
        <f t="shared" si="0"/>
        <v>9.0748896510180384</v>
      </c>
      <c r="I11">
        <v>16.37075578901764</v>
      </c>
      <c r="J11">
        <v>-0.10600000000000165</v>
      </c>
      <c r="L11">
        <f t="shared" si="1"/>
        <v>-4.8092442110473961</v>
      </c>
      <c r="M11">
        <f t="shared" si="1"/>
        <v>-9.18088965101804</v>
      </c>
    </row>
    <row r="12" spans="2:20">
      <c r="C12" s="323"/>
      <c r="D12" s="324"/>
      <c r="E12" s="324"/>
      <c r="H12" s="83"/>
    </row>
    <row r="13" spans="2:20">
      <c r="C13" s="323"/>
      <c r="D13" s="324"/>
      <c r="E13" s="324"/>
      <c r="H13" s="83"/>
      <c r="I13" s="246" t="s">
        <v>365</v>
      </c>
      <c r="N13" s="246" t="s">
        <v>358</v>
      </c>
      <c r="Q13" s="246" t="s">
        <v>356</v>
      </c>
      <c r="S13" s="246" t="s">
        <v>357</v>
      </c>
    </row>
    <row r="14" spans="2:20">
      <c r="C14" s="324"/>
      <c r="D14" s="324"/>
      <c r="E14" s="324"/>
      <c r="I14" s="246" t="s">
        <v>351</v>
      </c>
      <c r="J14" s="246" t="s">
        <v>355</v>
      </c>
      <c r="K14" s="246" t="s">
        <v>107</v>
      </c>
      <c r="L14" s="246" t="s">
        <v>317</v>
      </c>
      <c r="N14" s="246" t="s">
        <v>107</v>
      </c>
      <c r="O14" s="246" t="s">
        <v>317</v>
      </c>
      <c r="Q14" s="246" t="s">
        <v>107</v>
      </c>
      <c r="R14" s="246" t="s">
        <v>317</v>
      </c>
    </row>
    <row r="15" spans="2:20">
      <c r="C15" s="323" t="s">
        <v>345</v>
      </c>
      <c r="D15">
        <v>0.99995581</v>
      </c>
      <c r="E15">
        <v>-5.0146499999999998E-4</v>
      </c>
      <c r="F15">
        <v>20.54</v>
      </c>
      <c r="G15">
        <f>(D15/1-1)*1000000</f>
        <v>-44.189999999999507</v>
      </c>
      <c r="H15" s="83">
        <f t="shared" ref="H15:H18" si="2">E15*0.000000001/(2*PI()*1591.5)/(D15*0.000000000001)*1000000</f>
        <v>-50.150273657135351</v>
      </c>
      <c r="I15" s="88">
        <f>G15+L7</f>
        <v>-52.035122105486401</v>
      </c>
      <c r="J15" s="88">
        <f>H15+M7</f>
        <v>-64.398361151360433</v>
      </c>
      <c r="K15">
        <f>1*(1+I15*0.000001)</f>
        <v>0.9999479648778945</v>
      </c>
      <c r="L15" s="66">
        <f>J15/1000</f>
        <v>-6.4398361151360439E-2</v>
      </c>
      <c r="N15">
        <f>[3]Report!D11</f>
        <v>0.99988954580232448</v>
      </c>
      <c r="O15" s="66">
        <f>[3]Report!G11</f>
        <v>0.11607746456575932</v>
      </c>
      <c r="Q15">
        <f>N15-K15</f>
        <v>-5.8419075570026457E-5</v>
      </c>
      <c r="R15">
        <f>O15-L15</f>
        <v>0.18047582571711976</v>
      </c>
      <c r="S15" s="66">
        <f>Q15/[3]Report!E11</f>
        <v>-0.14050119928231086</v>
      </c>
      <c r="T15" s="66">
        <f>R15/[3]Report!F11</f>
        <v>7.0685125387825593E-2</v>
      </c>
    </row>
    <row r="16" spans="2:20">
      <c r="C16" s="323" t="s">
        <v>346</v>
      </c>
      <c r="D16">
        <v>9.9996013999999995</v>
      </c>
      <c r="E16">
        <v>-4.6536E-4</v>
      </c>
      <c r="F16">
        <v>20.56</v>
      </c>
      <c r="G16">
        <f>(D16/10-1)*1000000</f>
        <v>-39.860000000002671</v>
      </c>
      <c r="H16" s="83">
        <f t="shared" si="2"/>
        <v>-4.6539300433357518</v>
      </c>
      <c r="I16" s="88">
        <f>G16+L6</f>
        <v>-42.23434421097825</v>
      </c>
      <c r="J16" s="88">
        <f>H16+M6</f>
        <v>-6.0388438058658984</v>
      </c>
      <c r="K16">
        <f>10*(1+I16*0.000001)</f>
        <v>9.9995776565578893</v>
      </c>
      <c r="L16" s="66">
        <f t="shared" ref="L16:L18" si="3">J16/1000</f>
        <v>-6.0388438058658987E-3</v>
      </c>
      <c r="N16">
        <f>[3]Report!D10</f>
        <v>9.9971953057649294</v>
      </c>
      <c r="O16" s="66">
        <f>[3]Report!G10</f>
        <v>0.1021178912271023</v>
      </c>
      <c r="Q16">
        <f t="shared" ref="Q16:R18" si="4">N16-K16</f>
        <v>-2.3823507929598975E-3</v>
      </c>
      <c r="R16">
        <f t="shared" si="4"/>
        <v>0.1081567350329682</v>
      </c>
      <c r="S16" s="66">
        <f>Q16/[3]Report!E10</f>
        <v>-3.9768517978765954</v>
      </c>
      <c r="T16" s="66">
        <f>R16/[3]Report!F10</f>
        <v>5.1341125330587642E-2</v>
      </c>
    </row>
    <row r="17" spans="3:20">
      <c r="C17" s="323" t="s">
        <v>347</v>
      </c>
      <c r="D17">
        <v>100.00729320000001</v>
      </c>
      <c r="E17">
        <v>8.5789999999999998E-4</v>
      </c>
      <c r="F17">
        <v>20.6</v>
      </c>
      <c r="G17">
        <f>(D17/100-1)*1000000</f>
        <v>72.932000000136554</v>
      </c>
      <c r="H17" s="83">
        <f t="shared" si="2"/>
        <v>0.85786408005356463</v>
      </c>
      <c r="I17" s="88">
        <f>G17+L6</f>
        <v>70.557655789160975</v>
      </c>
      <c r="J17" s="88">
        <f>H17+M6</f>
        <v>-0.52704968247658246</v>
      </c>
      <c r="K17">
        <f>100*(1+I17*0.000001)</f>
        <v>100.00705576557891</v>
      </c>
      <c r="L17" s="66">
        <f t="shared" si="3"/>
        <v>-5.2704968247658244E-4</v>
      </c>
      <c r="N17">
        <f>[3]Report!D9</f>
        <v>99.994855108658371</v>
      </c>
      <c r="O17" s="66">
        <f>[3]Report!G9</f>
        <v>0.10866181066691974</v>
      </c>
      <c r="Q17">
        <f t="shared" si="4"/>
        <v>-1.2200656920541064E-2</v>
      </c>
      <c r="R17">
        <f t="shared" si="4"/>
        <v>0.10918886034939632</v>
      </c>
      <c r="S17" s="66">
        <f>Q17/[3]Report!E9</f>
        <v>-2.3989915682871286</v>
      </c>
      <c r="T17" s="66">
        <f>R17/[3]Report!F9</f>
        <v>5.0510179913211543E-2</v>
      </c>
    </row>
    <row r="18" spans="3:20">
      <c r="C18" s="323" t="s">
        <v>348</v>
      </c>
      <c r="D18">
        <v>999.8739084</v>
      </c>
      <c r="E18">
        <v>2.0499E-2</v>
      </c>
      <c r="F18">
        <v>20.58</v>
      </c>
      <c r="G18">
        <f>(D18/1000-1)*1000000</f>
        <v>-126.09159999998897</v>
      </c>
      <c r="H18" s="83">
        <f t="shared" si="2"/>
        <v>2.0502221843100346</v>
      </c>
      <c r="I18" s="88">
        <f>G18+L8</f>
        <v>-130.05984421100391</v>
      </c>
      <c r="J18" s="88">
        <f>H18+M8</f>
        <v>-22.588832553008217</v>
      </c>
      <c r="K18">
        <f>1000*(1+I18*0.000001)</f>
        <v>999.86994015578898</v>
      </c>
      <c r="L18" s="66">
        <f t="shared" si="3"/>
        <v>-2.2588832553008219E-2</v>
      </c>
      <c r="N18">
        <f>[3]Report!D8</f>
        <v>999.79444293385575</v>
      </c>
      <c r="O18" s="66">
        <f>[3]Report!G8</f>
        <v>-1.8113472553878095E-3</v>
      </c>
      <c r="Q18">
        <f t="shared" si="4"/>
        <v>-7.549722193323305E-2</v>
      </c>
      <c r="R18">
        <f t="shared" si="4"/>
        <v>2.0777485297620409E-2</v>
      </c>
      <c r="S18" s="66">
        <f>Q18/[3]Report!E8</f>
        <v>-1.4847908506780962</v>
      </c>
      <c r="T18" s="66">
        <f>R18/[3]Report!F8</f>
        <v>9.6115566087186122E-3</v>
      </c>
    </row>
    <row r="20" spans="3:20">
      <c r="N20" s="246" t="s">
        <v>369</v>
      </c>
    </row>
    <row r="21" spans="3:20">
      <c r="N21" s="246" t="s">
        <v>107</v>
      </c>
      <c r="O21" s="246" t="s">
        <v>317</v>
      </c>
    </row>
    <row r="22" spans="3:20">
      <c r="K22">
        <f>K15</f>
        <v>0.9999479648778945</v>
      </c>
      <c r="L22" s="66">
        <f>L15</f>
        <v>-6.4398361151360439E-2</v>
      </c>
      <c r="N22">
        <f>[3]Report!D28</f>
        <v>0.99988954580232448</v>
      </c>
      <c r="O22" s="66">
        <f>[3]Report!G28</f>
        <v>-9.7509912484205902E-3</v>
      </c>
      <c r="Q22">
        <f>N22-K22</f>
        <v>-5.8419075570026457E-5</v>
      </c>
      <c r="R22" s="66">
        <f>O22-L22</f>
        <v>5.4647369902939849E-2</v>
      </c>
      <c r="S22" s="66">
        <f>Q22/[3]Report!E11</f>
        <v>-0.14050119928231086</v>
      </c>
      <c r="T22" s="66">
        <f>R22/[3]Report!F11</f>
        <v>2.1403177840331512E-2</v>
      </c>
    </row>
    <row r="23" spans="3:20">
      <c r="K23">
        <f t="shared" ref="K23:L25" si="5">K16</f>
        <v>9.9995776565578893</v>
      </c>
      <c r="L23" s="66">
        <f t="shared" si="5"/>
        <v>-6.0388438058658987E-3</v>
      </c>
      <c r="N23">
        <f>[3]Report!D27</f>
        <v>9.9980953863722739</v>
      </c>
      <c r="O23" s="66">
        <f>[3]Report!G27</f>
        <v>-1.5382483875996688E-3</v>
      </c>
      <c r="Q23">
        <f t="shared" ref="Q23:R25" si="6">N23-K23</f>
        <v>-1.4822701856154197E-3</v>
      </c>
      <c r="R23" s="66">
        <f t="shared" si="6"/>
        <v>4.5005954182662303E-3</v>
      </c>
      <c r="S23" s="66">
        <f>Q23/[3]Report!E10</f>
        <v>-2.4743496507832647</v>
      </c>
      <c r="T23" s="66">
        <f>R23/[3]Report!F10</f>
        <v>2.1363961602672444E-3</v>
      </c>
    </row>
    <row r="24" spans="3:20">
      <c r="K24">
        <f t="shared" si="5"/>
        <v>100.00705576557891</v>
      </c>
      <c r="L24" s="66">
        <f t="shared" si="5"/>
        <v>-5.2704968247658244E-4</v>
      </c>
      <c r="N24">
        <f>[3]Report!D26</f>
        <v>100.00215576247349</v>
      </c>
      <c r="O24" s="66">
        <f>[3]Report!G26</f>
        <v>4.0501108048644557E-4</v>
      </c>
      <c r="Q24">
        <f t="shared" si="6"/>
        <v>-4.9000031054191595E-3</v>
      </c>
      <c r="R24" s="66">
        <f t="shared" si="6"/>
        <v>9.3206076296302801E-4</v>
      </c>
      <c r="S24" s="66">
        <f>Q24/[3]Report!E9</f>
        <v>-0.96347813163162088</v>
      </c>
      <c r="T24" s="66">
        <f>R24/[3]Report!F9</f>
        <v>4.3116629916879659E-4</v>
      </c>
    </row>
    <row r="25" spans="3:20">
      <c r="K25">
        <f t="shared" si="5"/>
        <v>999.86994015578898</v>
      </c>
      <c r="L25" s="66">
        <f t="shared" si="5"/>
        <v>-2.2588832553008219E-2</v>
      </c>
      <c r="N25" s="83">
        <f>[3]Report!D25</f>
        <v>999.82744737198152</v>
      </c>
      <c r="O25" s="66">
        <f>[3]Report!G25</f>
        <v>2.8984232585345382E-4</v>
      </c>
      <c r="Q25">
        <f t="shared" si="6"/>
        <v>-4.249278380746091E-2</v>
      </c>
      <c r="R25" s="66">
        <f t="shared" si="6"/>
        <v>2.2878674878861673E-2</v>
      </c>
      <c r="S25" s="66">
        <f>Q25/[3]Report!E8</f>
        <v>-0.83569825487032279</v>
      </c>
      <c r="T25" s="66">
        <f>R25/[3]Report!F8</f>
        <v>1.0583555978058228E-2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39997558519241921"/>
  </sheetPr>
  <dimension ref="B1:T22"/>
  <sheetViews>
    <sheetView workbookViewId="0">
      <selection activeCell="G25" sqref="G25"/>
    </sheetView>
  </sheetViews>
  <sheetFormatPr defaultRowHeight="12.75"/>
  <cols>
    <col min="2" max="2" width="10.140625" bestFit="1" customWidth="1"/>
    <col min="3" max="3" width="10.42578125" customWidth="1"/>
    <col min="5" max="5" width="10" bestFit="1" customWidth="1"/>
    <col min="6" max="6" width="12" customWidth="1"/>
    <col min="17" max="17" width="13.140625" bestFit="1" customWidth="1"/>
  </cols>
  <sheetData>
    <row r="1" spans="2:20">
      <c r="I1" s="246"/>
    </row>
    <row r="2" spans="2:20">
      <c r="B2" s="2">
        <v>44216</v>
      </c>
      <c r="I2" s="246" t="s">
        <v>350</v>
      </c>
      <c r="L2" s="246" t="s">
        <v>354</v>
      </c>
    </row>
    <row r="3" spans="2:20">
      <c r="B3" s="246" t="s">
        <v>344</v>
      </c>
      <c r="D3" s="246" t="s">
        <v>107</v>
      </c>
      <c r="E3" s="246" t="s">
        <v>1</v>
      </c>
      <c r="F3" s="246" t="s">
        <v>349</v>
      </c>
      <c r="G3" s="246" t="s">
        <v>310</v>
      </c>
      <c r="H3" s="246" t="s">
        <v>353</v>
      </c>
      <c r="I3" s="246" t="s">
        <v>351</v>
      </c>
      <c r="J3" s="246" t="s">
        <v>352</v>
      </c>
      <c r="L3" s="246" t="s">
        <v>351</v>
      </c>
      <c r="M3" s="246" t="s">
        <v>352</v>
      </c>
    </row>
    <row r="4" spans="2:20">
      <c r="C4" s="317" t="s">
        <v>248</v>
      </c>
      <c r="D4" s="318">
        <v>9.9999748000000004</v>
      </c>
      <c r="E4" s="318">
        <v>-1.4200000000000001E-4</v>
      </c>
      <c r="H4" s="83">
        <f>E4*0.000000001/(2*PI()*1591.5)/(D4*0.000000000001)*1000000</f>
        <v>-1.4200476827645303</v>
      </c>
    </row>
    <row r="5" spans="2:20">
      <c r="C5" s="317" t="s">
        <v>249</v>
      </c>
      <c r="D5" s="318">
        <v>99.999818000000005</v>
      </c>
      <c r="E5" s="318">
        <v>1.6379999999999999E-3</v>
      </c>
      <c r="G5">
        <f>(D5/100-1)*1000000</f>
        <v>-1.8199999999302108</v>
      </c>
      <c r="H5" s="83">
        <f t="shared" ref="H5:H8" si="0">E5*0.000000001/(2*PI()*1591.5)/(D5*0.000000000001)*1000000</f>
        <v>1.6380538564356788</v>
      </c>
      <c r="I5">
        <v>-4.191244210982358</v>
      </c>
      <c r="J5">
        <v>0.27809090909090983</v>
      </c>
      <c r="L5">
        <f t="shared" ref="L5:L8" si="1">I5-G5</f>
        <v>-2.3712442110521472</v>
      </c>
      <c r="M5">
        <f t="shared" ref="M5:M8" si="2">J5-H5</f>
        <v>-1.359962947344769</v>
      </c>
    </row>
    <row r="6" spans="2:20">
      <c r="C6" s="317" t="s">
        <v>173</v>
      </c>
      <c r="D6" s="318">
        <v>1000.0319</v>
      </c>
      <c r="E6" s="318">
        <v>0.20147000000000001</v>
      </c>
      <c r="F6">
        <v>23.994</v>
      </c>
      <c r="G6">
        <f>(D6/1000-1)*1000000</f>
        <v>31.899999999973616</v>
      </c>
      <c r="H6" s="83">
        <f t="shared" si="0"/>
        <v>20.146983063501764</v>
      </c>
      <c r="I6">
        <v>27.819755789017641</v>
      </c>
      <c r="J6">
        <v>-6.1878181818181801</v>
      </c>
      <c r="L6">
        <f>I6-G6</f>
        <v>-4.0802442109559749</v>
      </c>
      <c r="M6">
        <f t="shared" si="2"/>
        <v>-26.334801245319944</v>
      </c>
    </row>
    <row r="7" spans="2:20">
      <c r="C7" s="317" t="s">
        <v>36</v>
      </c>
      <c r="D7" s="318">
        <v>1000.0614</v>
      </c>
      <c r="E7" s="318">
        <v>9.6100000000000005E-2</v>
      </c>
      <c r="F7">
        <v>23.994</v>
      </c>
      <c r="G7">
        <f>(D7/1000-1)*1000000</f>
        <v>61.400000000100263</v>
      </c>
      <c r="H7" s="83">
        <f t="shared" si="0"/>
        <v>9.6097084440342062</v>
      </c>
      <c r="I7">
        <v>14.179755789017641</v>
      </c>
      <c r="J7">
        <v>-6.76181818181818</v>
      </c>
      <c r="L7">
        <f t="shared" si="1"/>
        <v>-47.220244211082623</v>
      </c>
      <c r="M7">
        <f t="shared" si="2"/>
        <v>-16.371526625852386</v>
      </c>
    </row>
    <row r="8" spans="2:20">
      <c r="C8" s="317" t="s">
        <v>478</v>
      </c>
      <c r="D8" s="318">
        <v>1000.1602</v>
      </c>
      <c r="E8" s="318">
        <v>0.13444999999999999</v>
      </c>
      <c r="F8">
        <v>23.994</v>
      </c>
      <c r="G8">
        <f>(D8/100-1)*1000000</f>
        <v>9001602</v>
      </c>
      <c r="H8" s="83">
        <f t="shared" si="0"/>
        <v>13.443263981761913</v>
      </c>
      <c r="I8">
        <v>36.563755789017641</v>
      </c>
      <c r="J8">
        <v>-1.5909090909090651E-2</v>
      </c>
      <c r="L8">
        <f t="shared" si="1"/>
        <v>-9001565.4362442102</v>
      </c>
      <c r="M8">
        <f t="shared" si="2"/>
        <v>-13.459173072671003</v>
      </c>
    </row>
    <row r="9" spans="2:20">
      <c r="C9" s="317"/>
      <c r="D9" s="318"/>
      <c r="E9" s="318"/>
      <c r="H9" s="83"/>
    </row>
    <row r="10" spans="2:20">
      <c r="C10" s="317"/>
      <c r="D10" s="318"/>
      <c r="E10" s="318"/>
      <c r="H10" s="83"/>
      <c r="I10" s="246" t="s">
        <v>365</v>
      </c>
      <c r="N10" s="246" t="s">
        <v>358</v>
      </c>
      <c r="Q10" s="246" t="s">
        <v>356</v>
      </c>
      <c r="S10" s="246" t="s">
        <v>357</v>
      </c>
    </row>
    <row r="11" spans="2:20">
      <c r="C11" s="318"/>
      <c r="D11" s="318"/>
      <c r="E11" s="318"/>
      <c r="I11" s="246" t="s">
        <v>351</v>
      </c>
      <c r="J11" s="246" t="s">
        <v>355</v>
      </c>
      <c r="K11" s="246" t="s">
        <v>107</v>
      </c>
      <c r="L11" s="246" t="s">
        <v>317</v>
      </c>
      <c r="N11" s="246" t="s">
        <v>107</v>
      </c>
      <c r="O11" s="246" t="s">
        <v>317</v>
      </c>
      <c r="Q11" s="246" t="s">
        <v>107</v>
      </c>
      <c r="R11" s="246" t="s">
        <v>317</v>
      </c>
    </row>
    <row r="12" spans="2:20">
      <c r="C12" s="317" t="s">
        <v>345</v>
      </c>
      <c r="D12" s="318">
        <v>0.99906700000000004</v>
      </c>
      <c r="E12" s="318">
        <v>-4.7150000000000002E-4</v>
      </c>
      <c r="F12">
        <v>19.78</v>
      </c>
      <c r="G12">
        <f>(D12/1-1)*1000000</f>
        <v>-932.99999999996169</v>
      </c>
      <c r="H12" s="83">
        <f t="shared" ref="H12" si="3">E12*0.000000001/(2*PI()*1591.5)/(D12*0.000000000001)*1000000</f>
        <v>-47.195497846760055</v>
      </c>
      <c r="I12" s="88" t="e">
        <f>G12+#REF!</f>
        <v>#REF!</v>
      </c>
      <c r="J12" s="88" t="e">
        <f>H12+#REF!</f>
        <v>#REF!</v>
      </c>
      <c r="K12" t="e">
        <f>1*(1+I12*0.000001)</f>
        <v>#REF!</v>
      </c>
      <c r="L12" s="66" t="e">
        <f>J12/1000</f>
        <v>#REF!</v>
      </c>
      <c r="N12">
        <f>Report!D11</f>
        <v>0.99988954580232448</v>
      </c>
      <c r="O12" s="66">
        <f>Report!G11</f>
        <v>0.11607746456575932</v>
      </c>
      <c r="Q12" t="e">
        <f>N12-K12</f>
        <v>#REF!</v>
      </c>
      <c r="R12" t="e">
        <f>O12-L12</f>
        <v>#REF!</v>
      </c>
      <c r="S12" s="66" t="e">
        <f>Q12/Report!E11</f>
        <v>#REF!</v>
      </c>
      <c r="T12" s="66" t="e">
        <f>R12/Report!F11</f>
        <v>#REF!</v>
      </c>
    </row>
    <row r="13" spans="2:20">
      <c r="C13" s="317" t="s">
        <v>346</v>
      </c>
      <c r="D13" s="318">
        <v>9.9992965999999992</v>
      </c>
      <c r="E13" s="318">
        <v>-4.6700000000000002E-4</v>
      </c>
      <c r="G13">
        <f>(D13/10-1)*1000000</f>
        <v>-70.340000000057586</v>
      </c>
      <c r="H13" s="83">
        <f t="shared" ref="H13:H15" si="4">E13*0.000000001/(2*PI()*1591.5)/(D13*0.000000000001)*1000000</f>
        <v>-4.6704735681679717</v>
      </c>
      <c r="I13" s="88">
        <f>G13+L5</f>
        <v>-72.711244211109729</v>
      </c>
      <c r="J13" s="88">
        <f>H13+M5</f>
        <v>-6.0304365155127408</v>
      </c>
      <c r="K13">
        <f>10*(1+I13*0.000001)</f>
        <v>9.999272887557888</v>
      </c>
      <c r="L13" s="66">
        <f t="shared" ref="L13:L15" si="5">J13/1000</f>
        <v>-6.0304365155127411E-3</v>
      </c>
      <c r="N13">
        <f>Report!D10</f>
        <v>9.9971953057649294</v>
      </c>
      <c r="O13" s="66">
        <f>Report!G10</f>
        <v>0.1021178912271023</v>
      </c>
      <c r="Q13">
        <f t="shared" ref="Q13:R15" si="6">N13-K13</f>
        <v>-2.0775817929585827E-3</v>
      </c>
      <c r="R13">
        <f t="shared" si="6"/>
        <v>0.10814832774261504</v>
      </c>
      <c r="S13" s="66">
        <f>Q13/Report!E10</f>
        <v>-3.4681017224578397</v>
      </c>
      <c r="T13" s="66">
        <f>R13/Report!F10</f>
        <v>5.1337134458012017E-2</v>
      </c>
    </row>
    <row r="14" spans="2:20">
      <c r="C14" s="317" t="s">
        <v>347</v>
      </c>
      <c r="D14" s="318">
        <v>100.0586</v>
      </c>
      <c r="E14" s="318">
        <v>8.1599999999999999E-4</v>
      </c>
      <c r="G14">
        <f>(D14/100-1)*1000000</f>
        <v>585.99999999997544</v>
      </c>
      <c r="H14" s="83">
        <f t="shared" si="4"/>
        <v>0.81554743361475079</v>
      </c>
      <c r="I14" s="88">
        <f>G14+L5</f>
        <v>583.62875578892329</v>
      </c>
      <c r="J14" s="88">
        <f>H14+M5</f>
        <v>-0.54441551373001817</v>
      </c>
      <c r="K14">
        <f>100*(1+I14*0.000001)</f>
        <v>100.05836287557889</v>
      </c>
      <c r="L14" s="66">
        <f t="shared" si="5"/>
        <v>-5.4441551373001819E-4</v>
      </c>
      <c r="N14">
        <f>Report!D9</f>
        <v>99.994855108658371</v>
      </c>
      <c r="O14" s="66">
        <f>Report!G9</f>
        <v>0.10866181066691974</v>
      </c>
      <c r="Q14">
        <f t="shared" si="6"/>
        <v>-6.3507766920523068E-2</v>
      </c>
      <c r="R14">
        <f t="shared" si="6"/>
        <v>0.10920622618064976</v>
      </c>
      <c r="S14" s="66">
        <f>Q14/Report!E9</f>
        <v>-12.4874093547024</v>
      </c>
      <c r="T14" s="66">
        <f>R14/Report!F9</f>
        <v>5.0518213253408953E-2</v>
      </c>
    </row>
    <row r="15" spans="2:20">
      <c r="C15" s="317" t="s">
        <v>348</v>
      </c>
      <c r="D15" s="318">
        <v>999.84577999999999</v>
      </c>
      <c r="E15" s="318">
        <v>1.8880000000000001E-2</v>
      </c>
      <c r="F15">
        <v>19.82</v>
      </c>
      <c r="G15">
        <f>(D15/1000-1)*1000000</f>
        <v>-154.21999999998269</v>
      </c>
      <c r="H15" s="83">
        <f t="shared" si="4"/>
        <v>1.8883498613250289</v>
      </c>
      <c r="I15" s="88">
        <f>G15+L6</f>
        <v>-158.30024421093867</v>
      </c>
      <c r="J15" s="88">
        <f>H15+M6</f>
        <v>-24.446451383994916</v>
      </c>
      <c r="K15">
        <f>1000*(1+I15*0.000001)</f>
        <v>999.84169975578902</v>
      </c>
      <c r="L15" s="66">
        <f t="shared" si="5"/>
        <v>-2.4446451383994917E-2</v>
      </c>
      <c r="N15">
        <f>Report!D8</f>
        <v>999.79444293385575</v>
      </c>
      <c r="O15" s="66">
        <f>Report!G8</f>
        <v>-1.8113472553878095E-3</v>
      </c>
      <c r="Q15">
        <f t="shared" si="6"/>
        <v>-4.7256821933274296E-2</v>
      </c>
      <c r="R15">
        <f t="shared" si="6"/>
        <v>2.2635104128607107E-2</v>
      </c>
      <c r="S15" s="66">
        <f>Q15/Report!E8</f>
        <v>-0.92939177153700192</v>
      </c>
      <c r="T15" s="66">
        <f>R15/Report!F8</f>
        <v>1.0470881416109775E-2</v>
      </c>
    </row>
    <row r="17" spans="11:20">
      <c r="N17" s="246" t="s">
        <v>369</v>
      </c>
    </row>
    <row r="18" spans="11:20">
      <c r="N18" s="246" t="s">
        <v>107</v>
      </c>
      <c r="O18" s="246" t="s">
        <v>317</v>
      </c>
    </row>
    <row r="19" spans="11:20">
      <c r="K19" t="e">
        <f>K12</f>
        <v>#REF!</v>
      </c>
      <c r="L19" s="66" t="e">
        <f>L12</f>
        <v>#REF!</v>
      </c>
      <c r="N19">
        <f>Report!D28</f>
        <v>0.99988954580232448</v>
      </c>
      <c r="O19" s="66">
        <f>Report!G28</f>
        <v>-9.7509912484205902E-3</v>
      </c>
      <c r="Q19" t="e">
        <f>N19-K19</f>
        <v>#REF!</v>
      </c>
      <c r="R19" s="66" t="e">
        <f>O19-L19</f>
        <v>#REF!</v>
      </c>
      <c r="S19" s="66" t="e">
        <f>Q19/Report!E11</f>
        <v>#REF!</v>
      </c>
      <c r="T19" s="66" t="e">
        <f>R19/Report!F11</f>
        <v>#REF!</v>
      </c>
    </row>
    <row r="20" spans="11:20">
      <c r="K20">
        <f t="shared" ref="K20:L20" si="7">K13</f>
        <v>9.999272887557888</v>
      </c>
      <c r="L20" s="66">
        <f t="shared" si="7"/>
        <v>-6.0304365155127411E-3</v>
      </c>
      <c r="N20">
        <f>Report!D27</f>
        <v>9.9980953863722739</v>
      </c>
      <c r="O20" s="66">
        <f>Report!G27</f>
        <v>-1.5382483875996688E-3</v>
      </c>
      <c r="Q20">
        <f t="shared" ref="Q20:Q22" si="8">N20-K20</f>
        <v>-1.1775011856141049E-3</v>
      </c>
      <c r="R20" s="66">
        <f t="shared" ref="R20:R22" si="9">O20-L20</f>
        <v>4.4921881279130719E-3</v>
      </c>
      <c r="S20" s="66">
        <f>Q20/Report!E10</f>
        <v>-1.965599575364509</v>
      </c>
      <c r="T20" s="66">
        <f>R20/Report!F10</f>
        <v>2.1324052876916201E-3</v>
      </c>
    </row>
    <row r="21" spans="11:20">
      <c r="K21">
        <f t="shared" ref="K21:L21" si="10">K14</f>
        <v>100.05836287557889</v>
      </c>
      <c r="L21" s="66">
        <f t="shared" si="10"/>
        <v>-5.4441551373001819E-4</v>
      </c>
      <c r="N21">
        <f>Report!D26</f>
        <v>100.00215576247349</v>
      </c>
      <c r="O21" s="66">
        <f>Report!G26</f>
        <v>4.0501108048644557E-4</v>
      </c>
      <c r="Q21">
        <f t="shared" si="8"/>
        <v>-5.6207113105401163E-2</v>
      </c>
      <c r="R21" s="66">
        <f t="shared" si="9"/>
        <v>9.4942659421646375E-4</v>
      </c>
      <c r="S21" s="66">
        <f>Q21/Report!E9</f>
        <v>-11.051895918046894</v>
      </c>
      <c r="T21" s="66">
        <f>R21/Report!F9</f>
        <v>4.3919963936620037E-4</v>
      </c>
    </row>
    <row r="22" spans="11:20">
      <c r="K22">
        <f t="shared" ref="K22:L22" si="11">K15</f>
        <v>999.84169975578902</v>
      </c>
      <c r="L22" s="66">
        <f t="shared" si="11"/>
        <v>-2.4446451383994917E-2</v>
      </c>
      <c r="N22" s="83">
        <f>Report!D25</f>
        <v>999.82744737198152</v>
      </c>
      <c r="O22" s="66">
        <f>Report!G25</f>
        <v>2.8984232585345382E-4</v>
      </c>
      <c r="Q22">
        <f t="shared" si="8"/>
        <v>-1.4252383807502156E-2</v>
      </c>
      <c r="R22" s="66">
        <f t="shared" si="9"/>
        <v>2.4736293709848371E-2</v>
      </c>
      <c r="S22" s="66">
        <f>Q22/Report!E8</f>
        <v>-0.28029917572922847</v>
      </c>
      <c r="T22" s="66">
        <f>R22/Report!F8</f>
        <v>1.1442880785449389E-2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68"/>
  <sheetViews>
    <sheetView topLeftCell="A132" workbookViewId="0">
      <selection activeCell="I145" sqref="I145"/>
    </sheetView>
  </sheetViews>
  <sheetFormatPr defaultRowHeight="12.75"/>
  <cols>
    <col min="1" max="1" width="15.5703125" customWidth="1"/>
  </cols>
  <sheetData>
    <row r="1" spans="1:3">
      <c r="A1" s="267">
        <v>41863</v>
      </c>
      <c r="B1">
        <v>20.52</v>
      </c>
      <c r="C1">
        <v>41.34</v>
      </c>
    </row>
    <row r="2" spans="1:3">
      <c r="A2" s="267">
        <v>41863.003472222219</v>
      </c>
      <c r="B2">
        <v>20.53</v>
      </c>
      <c r="C2">
        <v>41.22</v>
      </c>
    </row>
    <row r="3" spans="1:3">
      <c r="A3" s="267">
        <v>41863.006944444445</v>
      </c>
      <c r="B3">
        <v>20.51</v>
      </c>
      <c r="C3">
        <v>41.25</v>
      </c>
    </row>
    <row r="4" spans="1:3">
      <c r="A4" s="267">
        <v>41863.010416666664</v>
      </c>
      <c r="B4">
        <v>20.45</v>
      </c>
      <c r="C4">
        <v>41.34</v>
      </c>
    </row>
    <row r="5" spans="1:3">
      <c r="A5" s="267">
        <v>41863.013888888891</v>
      </c>
      <c r="B5">
        <v>20.5</v>
      </c>
      <c r="C5">
        <v>41.1</v>
      </c>
    </row>
    <row r="6" spans="1:3">
      <c r="A6" s="267">
        <v>41863.017361111109</v>
      </c>
      <c r="B6">
        <v>20.49</v>
      </c>
      <c r="C6">
        <v>41.22</v>
      </c>
    </row>
    <row r="7" spans="1:3">
      <c r="A7" s="267">
        <v>41863.020833333336</v>
      </c>
      <c r="B7">
        <v>20.53</v>
      </c>
      <c r="C7">
        <v>40.950000000000003</v>
      </c>
    </row>
    <row r="8" spans="1:3">
      <c r="A8" s="267">
        <v>41863.024305555555</v>
      </c>
      <c r="B8">
        <v>20.51</v>
      </c>
      <c r="C8">
        <v>41.22</v>
      </c>
    </row>
    <row r="9" spans="1:3">
      <c r="A9" s="267">
        <v>41863.027777777781</v>
      </c>
      <c r="B9">
        <v>20.5</v>
      </c>
      <c r="C9">
        <v>41.47</v>
      </c>
    </row>
    <row r="10" spans="1:3">
      <c r="A10" s="267">
        <v>41863.03125</v>
      </c>
      <c r="B10">
        <v>20.41</v>
      </c>
      <c r="C10">
        <v>41.3</v>
      </c>
    </row>
    <row r="11" spans="1:3">
      <c r="A11" s="267">
        <v>41863.034722222219</v>
      </c>
      <c r="B11">
        <v>20.440000000000001</v>
      </c>
      <c r="C11">
        <v>41.44</v>
      </c>
    </row>
    <row r="12" spans="1:3">
      <c r="A12" s="267">
        <v>41863.038194444445</v>
      </c>
      <c r="B12">
        <v>20.45</v>
      </c>
      <c r="C12">
        <v>41</v>
      </c>
    </row>
    <row r="13" spans="1:3">
      <c r="A13" s="267">
        <v>41863.041666666664</v>
      </c>
      <c r="B13">
        <v>20.45</v>
      </c>
      <c r="C13">
        <v>41.2</v>
      </c>
    </row>
    <row r="14" spans="1:3">
      <c r="A14" s="267">
        <v>41863.045138888891</v>
      </c>
      <c r="B14">
        <v>20.5</v>
      </c>
      <c r="C14">
        <v>40.9</v>
      </c>
    </row>
    <row r="15" spans="1:3">
      <c r="A15" s="267">
        <v>41863.048611111109</v>
      </c>
      <c r="B15">
        <v>20.52</v>
      </c>
      <c r="C15">
        <v>40.98</v>
      </c>
    </row>
    <row r="16" spans="1:3">
      <c r="A16" s="267">
        <v>41863.052083333336</v>
      </c>
      <c r="B16">
        <v>20.49</v>
      </c>
      <c r="C16">
        <v>40.98</v>
      </c>
    </row>
    <row r="17" spans="1:3">
      <c r="A17" s="267">
        <v>41863.055555555555</v>
      </c>
      <c r="B17">
        <v>20.51</v>
      </c>
      <c r="C17">
        <v>41.03</v>
      </c>
    </row>
    <row r="18" spans="1:3">
      <c r="A18" s="267">
        <v>41863.059027777781</v>
      </c>
      <c r="B18">
        <v>20.52</v>
      </c>
      <c r="C18">
        <v>41.15</v>
      </c>
    </row>
    <row r="19" spans="1:3">
      <c r="A19" s="267">
        <v>41863.0625</v>
      </c>
      <c r="B19">
        <v>20.51</v>
      </c>
      <c r="C19">
        <v>41.15</v>
      </c>
    </row>
    <row r="20" spans="1:3">
      <c r="A20" s="267">
        <v>41863.065972222219</v>
      </c>
      <c r="B20">
        <v>20.49</v>
      </c>
      <c r="C20">
        <v>41.03</v>
      </c>
    </row>
    <row r="21" spans="1:3">
      <c r="A21" s="267">
        <v>41863.069444444445</v>
      </c>
      <c r="B21">
        <v>20.53</v>
      </c>
      <c r="C21">
        <v>41.12</v>
      </c>
    </row>
    <row r="22" spans="1:3">
      <c r="A22" s="267">
        <v>41863.072916666664</v>
      </c>
      <c r="B22">
        <v>20.53</v>
      </c>
      <c r="C22">
        <v>41.2</v>
      </c>
    </row>
    <row r="23" spans="1:3">
      <c r="A23" s="267">
        <v>41863.076388888891</v>
      </c>
      <c r="B23">
        <v>20.61</v>
      </c>
      <c r="C23">
        <v>41.2</v>
      </c>
    </row>
    <row r="24" spans="1:3">
      <c r="A24" s="267">
        <v>41863.079861111109</v>
      </c>
      <c r="B24">
        <v>20.61</v>
      </c>
      <c r="C24">
        <v>41.12</v>
      </c>
    </row>
    <row r="25" spans="1:3">
      <c r="A25" s="267">
        <v>41863.083333333336</v>
      </c>
      <c r="B25">
        <v>20.63</v>
      </c>
      <c r="C25">
        <v>41</v>
      </c>
    </row>
    <row r="26" spans="1:3">
      <c r="A26" s="267">
        <v>41863.086805555555</v>
      </c>
      <c r="B26">
        <v>20.62</v>
      </c>
      <c r="C26">
        <v>41</v>
      </c>
    </row>
    <row r="27" spans="1:3">
      <c r="A27" s="267">
        <v>41863.090277777781</v>
      </c>
      <c r="B27">
        <v>20.6</v>
      </c>
      <c r="C27">
        <v>41.03</v>
      </c>
    </row>
    <row r="28" spans="1:3">
      <c r="A28" s="267">
        <v>41863.09375</v>
      </c>
      <c r="B28">
        <v>20.53</v>
      </c>
      <c r="C28">
        <v>40.880000000000003</v>
      </c>
    </row>
    <row r="29" spans="1:3">
      <c r="A29" s="267">
        <v>41863.097222222219</v>
      </c>
      <c r="B29">
        <v>20.56</v>
      </c>
      <c r="C29">
        <v>40.93</v>
      </c>
    </row>
    <row r="30" spans="1:3">
      <c r="A30" s="267">
        <v>41863.100694444445</v>
      </c>
      <c r="B30">
        <v>20.58</v>
      </c>
      <c r="C30">
        <v>40.85</v>
      </c>
    </row>
    <row r="31" spans="1:3">
      <c r="A31" s="267">
        <v>41863.104166666664</v>
      </c>
      <c r="B31">
        <v>20.6</v>
      </c>
      <c r="C31">
        <v>40.93</v>
      </c>
    </row>
    <row r="32" spans="1:3">
      <c r="A32" s="267">
        <v>41863.107638888891</v>
      </c>
      <c r="B32">
        <v>20.57</v>
      </c>
      <c r="C32">
        <v>41.03</v>
      </c>
    </row>
    <row r="33" spans="1:3">
      <c r="A33" s="267">
        <v>41863.111111111109</v>
      </c>
      <c r="B33">
        <v>20.55</v>
      </c>
      <c r="C33">
        <v>40.98</v>
      </c>
    </row>
    <row r="34" spans="1:3">
      <c r="A34" s="267">
        <v>41863.114583333336</v>
      </c>
      <c r="B34">
        <v>20.55</v>
      </c>
      <c r="C34">
        <v>41.03</v>
      </c>
    </row>
    <row r="35" spans="1:3">
      <c r="A35" s="267">
        <v>41863.118055555555</v>
      </c>
      <c r="B35">
        <v>20.58</v>
      </c>
      <c r="C35">
        <v>41.17</v>
      </c>
    </row>
    <row r="36" spans="1:3">
      <c r="A36" s="267">
        <v>41863.121527777781</v>
      </c>
      <c r="B36">
        <v>20.61</v>
      </c>
      <c r="C36">
        <v>40.950000000000003</v>
      </c>
    </row>
    <row r="37" spans="1:3">
      <c r="A37" s="267">
        <v>41863.125</v>
      </c>
      <c r="B37">
        <v>20.61</v>
      </c>
      <c r="C37">
        <v>40.85</v>
      </c>
    </row>
    <row r="38" spans="1:3">
      <c r="A38" s="267">
        <v>41863.128472222219</v>
      </c>
      <c r="B38">
        <v>20.61</v>
      </c>
      <c r="C38">
        <v>40.78</v>
      </c>
    </row>
    <row r="39" spans="1:3">
      <c r="A39" s="267">
        <v>41863.131944444445</v>
      </c>
      <c r="B39">
        <v>20.62</v>
      </c>
      <c r="C39">
        <v>40.71</v>
      </c>
    </row>
    <row r="40" spans="1:3">
      <c r="A40" s="267">
        <v>41863.135416666664</v>
      </c>
      <c r="B40">
        <v>20.61</v>
      </c>
      <c r="C40">
        <v>40.71</v>
      </c>
    </row>
    <row r="41" spans="1:3">
      <c r="A41" s="267">
        <v>41863.138888888891</v>
      </c>
      <c r="B41">
        <v>20.61</v>
      </c>
      <c r="C41">
        <v>40.659999999999997</v>
      </c>
    </row>
    <row r="42" spans="1:3">
      <c r="A42" s="267">
        <v>41863.142361111109</v>
      </c>
      <c r="B42">
        <v>20.62</v>
      </c>
      <c r="C42">
        <v>40.58</v>
      </c>
    </row>
    <row r="43" spans="1:3">
      <c r="A43" s="267">
        <v>41863.145833333336</v>
      </c>
      <c r="B43">
        <v>20.62</v>
      </c>
      <c r="C43">
        <v>40.58</v>
      </c>
    </row>
    <row r="44" spans="1:3">
      <c r="A44" s="267">
        <v>41863.149305555555</v>
      </c>
      <c r="B44">
        <v>20.62</v>
      </c>
      <c r="C44">
        <v>40.51</v>
      </c>
    </row>
    <row r="45" spans="1:3">
      <c r="A45" s="267">
        <v>41863.152777777781</v>
      </c>
      <c r="B45">
        <v>20.61</v>
      </c>
      <c r="C45">
        <v>40.51</v>
      </c>
    </row>
    <row r="46" spans="1:3">
      <c r="A46" s="267">
        <v>41863.15625</v>
      </c>
      <c r="B46">
        <v>20.62</v>
      </c>
      <c r="C46">
        <v>40.39</v>
      </c>
    </row>
    <row r="47" spans="1:3">
      <c r="A47" s="267">
        <v>41863.159722222219</v>
      </c>
      <c r="B47">
        <v>20.61</v>
      </c>
      <c r="C47">
        <v>40.409999999999997</v>
      </c>
    </row>
    <row r="48" spans="1:3">
      <c r="A48" s="267">
        <v>41863.163194444445</v>
      </c>
      <c r="B48">
        <v>20.6</v>
      </c>
      <c r="C48">
        <v>40.39</v>
      </c>
    </row>
    <row r="49" spans="1:3">
      <c r="A49" s="267">
        <v>41863.166666666664</v>
      </c>
      <c r="B49">
        <v>20.58</v>
      </c>
      <c r="C49">
        <v>40.46</v>
      </c>
    </row>
    <row r="50" spans="1:3">
      <c r="A50" s="267">
        <v>41863.170138888891</v>
      </c>
      <c r="B50">
        <v>20.65</v>
      </c>
      <c r="C50">
        <v>40.46</v>
      </c>
    </row>
    <row r="51" spans="1:3">
      <c r="A51" s="267">
        <v>41863.173611111109</v>
      </c>
      <c r="B51">
        <v>20.62</v>
      </c>
      <c r="C51">
        <v>40.44</v>
      </c>
    </row>
    <row r="52" spans="1:3">
      <c r="A52" s="267">
        <v>41863.177083333336</v>
      </c>
      <c r="B52">
        <v>20.62</v>
      </c>
      <c r="C52">
        <v>40.51</v>
      </c>
    </row>
    <row r="53" spans="1:3">
      <c r="A53" s="267">
        <v>41863.180555555555</v>
      </c>
      <c r="B53">
        <v>20.58</v>
      </c>
      <c r="C53">
        <v>40.58</v>
      </c>
    </row>
    <row r="54" spans="1:3">
      <c r="A54" s="267">
        <v>41863.184027777781</v>
      </c>
      <c r="B54">
        <v>20.6</v>
      </c>
      <c r="C54">
        <v>40.61</v>
      </c>
    </row>
    <row r="55" spans="1:3">
      <c r="A55" s="267">
        <v>41863.1875</v>
      </c>
      <c r="B55">
        <v>20.58</v>
      </c>
      <c r="C55">
        <v>40.54</v>
      </c>
    </row>
    <row r="56" spans="1:3">
      <c r="A56" s="267">
        <v>41863.190972222219</v>
      </c>
      <c r="B56">
        <v>20.57</v>
      </c>
      <c r="C56">
        <v>40.46</v>
      </c>
    </row>
    <row r="57" spans="1:3">
      <c r="A57" s="267">
        <v>41863.194444444445</v>
      </c>
      <c r="B57">
        <v>20.61</v>
      </c>
      <c r="C57">
        <v>40.409999999999997</v>
      </c>
    </row>
    <row r="58" spans="1:3">
      <c r="A58" s="267">
        <v>41863.197916666664</v>
      </c>
      <c r="B58">
        <v>20.61</v>
      </c>
      <c r="C58">
        <v>40.24</v>
      </c>
    </row>
    <row r="59" spans="1:3">
      <c r="A59" s="267">
        <v>41863.201388888891</v>
      </c>
      <c r="B59">
        <v>20.58</v>
      </c>
      <c r="C59">
        <v>40.340000000000003</v>
      </c>
    </row>
    <row r="60" spans="1:3">
      <c r="A60" s="267">
        <v>41863.204861111109</v>
      </c>
      <c r="B60">
        <v>20.6</v>
      </c>
      <c r="C60">
        <v>40.31</v>
      </c>
    </row>
    <row r="61" spans="1:3">
      <c r="A61" s="267">
        <v>41863.208333333336</v>
      </c>
      <c r="B61">
        <v>20.66</v>
      </c>
      <c r="C61">
        <v>40.270000000000003</v>
      </c>
    </row>
    <row r="62" spans="1:3">
      <c r="A62" s="267">
        <v>41863.211805555555</v>
      </c>
      <c r="B62">
        <v>20.66</v>
      </c>
      <c r="C62">
        <v>40.17</v>
      </c>
    </row>
    <row r="63" spans="1:3">
      <c r="A63" s="267">
        <v>41863.215277777781</v>
      </c>
      <c r="B63">
        <v>20.66</v>
      </c>
      <c r="C63">
        <v>40.22</v>
      </c>
    </row>
    <row r="64" spans="1:3">
      <c r="A64" s="267">
        <v>41863.21875</v>
      </c>
      <c r="B64">
        <v>20.6</v>
      </c>
      <c r="C64">
        <v>40.24</v>
      </c>
    </row>
    <row r="65" spans="1:3">
      <c r="A65" s="267">
        <v>41863.222222222219</v>
      </c>
      <c r="B65">
        <v>20.66</v>
      </c>
      <c r="C65">
        <v>40.14</v>
      </c>
    </row>
    <row r="66" spans="1:3">
      <c r="A66" s="267">
        <v>41863.225694444445</v>
      </c>
      <c r="B66">
        <v>20.63</v>
      </c>
      <c r="C66">
        <v>40.119999999999997</v>
      </c>
    </row>
    <row r="67" spans="1:3">
      <c r="A67" s="267">
        <v>41863.229166666664</v>
      </c>
      <c r="B67">
        <v>20.61</v>
      </c>
      <c r="C67">
        <v>40.19</v>
      </c>
    </row>
    <row r="68" spans="1:3">
      <c r="A68" s="267">
        <v>41863.232638888891</v>
      </c>
      <c r="B68">
        <v>20.67</v>
      </c>
      <c r="C68">
        <v>40.22</v>
      </c>
    </row>
    <row r="69" spans="1:3">
      <c r="A69" s="267">
        <v>41863.236111111109</v>
      </c>
      <c r="B69">
        <v>20.68</v>
      </c>
      <c r="C69">
        <v>40.31</v>
      </c>
    </row>
    <row r="70" spans="1:3">
      <c r="A70" s="267">
        <v>41863.239583333336</v>
      </c>
      <c r="B70">
        <v>20.67</v>
      </c>
      <c r="C70">
        <v>40.31</v>
      </c>
    </row>
    <row r="71" spans="1:3">
      <c r="A71" s="267">
        <v>41863.243055555555</v>
      </c>
      <c r="B71">
        <v>20.66</v>
      </c>
      <c r="C71">
        <v>40.36</v>
      </c>
    </row>
    <row r="72" spans="1:3">
      <c r="A72" s="267">
        <v>41863.246527777781</v>
      </c>
      <c r="B72">
        <v>20.63</v>
      </c>
      <c r="C72">
        <v>40.44</v>
      </c>
    </row>
    <row r="73" spans="1:3">
      <c r="A73" s="267">
        <v>41863.25</v>
      </c>
      <c r="B73">
        <v>20.65</v>
      </c>
      <c r="C73">
        <v>40.44</v>
      </c>
    </row>
    <row r="74" spans="1:3">
      <c r="A74" s="267">
        <v>41863.253472222219</v>
      </c>
      <c r="B74">
        <v>20.65</v>
      </c>
      <c r="C74">
        <v>40.409999999999997</v>
      </c>
    </row>
    <row r="75" spans="1:3">
      <c r="A75" s="267">
        <v>41863.256944444445</v>
      </c>
      <c r="B75">
        <v>20.62</v>
      </c>
      <c r="C75">
        <v>40.54</v>
      </c>
    </row>
    <row r="76" spans="1:3">
      <c r="A76" s="267">
        <v>41863.260416666664</v>
      </c>
      <c r="B76">
        <v>20.65</v>
      </c>
      <c r="C76">
        <v>40.340000000000003</v>
      </c>
    </row>
    <row r="77" spans="1:3">
      <c r="A77" s="267">
        <v>41863.263888888891</v>
      </c>
      <c r="B77">
        <v>20.69</v>
      </c>
      <c r="C77">
        <v>40.409999999999997</v>
      </c>
    </row>
    <row r="78" spans="1:3">
      <c r="A78" s="267">
        <v>41863.267361111109</v>
      </c>
      <c r="B78">
        <v>20.67</v>
      </c>
      <c r="C78">
        <v>40.44</v>
      </c>
    </row>
    <row r="79" spans="1:3">
      <c r="A79" s="267">
        <v>41863.270833333336</v>
      </c>
      <c r="B79">
        <v>20.69</v>
      </c>
      <c r="C79">
        <v>40.44</v>
      </c>
    </row>
    <row r="80" spans="1:3">
      <c r="A80" s="267">
        <v>41863.274305555555</v>
      </c>
      <c r="B80">
        <v>20.68</v>
      </c>
      <c r="C80">
        <v>40.409999999999997</v>
      </c>
    </row>
    <row r="81" spans="1:3">
      <c r="A81" s="267">
        <v>41863.277777777781</v>
      </c>
      <c r="B81">
        <v>20.69</v>
      </c>
      <c r="C81">
        <v>40.49</v>
      </c>
    </row>
    <row r="82" spans="1:3">
      <c r="A82" s="267">
        <v>41863.28125</v>
      </c>
      <c r="B82">
        <v>20.68</v>
      </c>
      <c r="C82">
        <v>40.44</v>
      </c>
    </row>
    <row r="83" spans="1:3">
      <c r="A83" s="267">
        <v>41863.284722222219</v>
      </c>
      <c r="B83">
        <v>20.68</v>
      </c>
      <c r="C83">
        <v>40.49</v>
      </c>
    </row>
    <row r="84" spans="1:3">
      <c r="A84" s="267">
        <v>41863.288194444445</v>
      </c>
      <c r="B84">
        <v>20.69</v>
      </c>
      <c r="C84">
        <v>40.409999999999997</v>
      </c>
    </row>
    <row r="85" spans="1:3">
      <c r="A85" s="267">
        <v>41863.291666666664</v>
      </c>
      <c r="B85">
        <v>20.74</v>
      </c>
      <c r="C85">
        <v>40.44</v>
      </c>
    </row>
    <row r="86" spans="1:3">
      <c r="A86" s="267">
        <v>41863.295138888891</v>
      </c>
      <c r="B86">
        <v>20.72</v>
      </c>
      <c r="C86">
        <v>40.36</v>
      </c>
    </row>
    <row r="87" spans="1:3">
      <c r="A87" s="267">
        <v>41863.298611111109</v>
      </c>
      <c r="B87">
        <v>20.74</v>
      </c>
      <c r="C87">
        <v>40.36</v>
      </c>
    </row>
    <row r="88" spans="1:3">
      <c r="A88" s="267">
        <v>41863.302083333336</v>
      </c>
      <c r="B88">
        <v>20.73</v>
      </c>
      <c r="C88">
        <v>40.36</v>
      </c>
    </row>
    <row r="89" spans="1:3">
      <c r="A89" s="267">
        <v>41863.305555555555</v>
      </c>
      <c r="B89">
        <v>20.68</v>
      </c>
      <c r="C89">
        <v>40.58</v>
      </c>
    </row>
    <row r="90" spans="1:3">
      <c r="A90" s="267">
        <v>41863.309027777781</v>
      </c>
      <c r="B90">
        <v>20.69</v>
      </c>
      <c r="C90">
        <v>40.44</v>
      </c>
    </row>
    <row r="91" spans="1:3">
      <c r="A91" s="267">
        <v>41863.3125</v>
      </c>
      <c r="B91">
        <v>20.69</v>
      </c>
      <c r="C91">
        <v>40.58</v>
      </c>
    </row>
    <row r="92" spans="1:3">
      <c r="A92" s="267">
        <v>41863.315972222219</v>
      </c>
      <c r="B92">
        <v>20.69</v>
      </c>
      <c r="C92">
        <v>40.54</v>
      </c>
    </row>
    <row r="93" spans="1:3">
      <c r="A93" s="267">
        <v>41863.319444444445</v>
      </c>
      <c r="B93">
        <v>20.72</v>
      </c>
      <c r="C93">
        <v>40.659999999999997</v>
      </c>
    </row>
    <row r="94" spans="1:3">
      <c r="A94" s="267">
        <v>41863.322916666664</v>
      </c>
      <c r="B94">
        <v>20.72</v>
      </c>
      <c r="C94">
        <v>40.54</v>
      </c>
    </row>
    <row r="95" spans="1:3">
      <c r="A95" s="267">
        <v>41863.326388888891</v>
      </c>
      <c r="B95">
        <v>20.67</v>
      </c>
      <c r="C95">
        <v>40.76</v>
      </c>
    </row>
    <row r="96" spans="1:3">
      <c r="A96" s="267">
        <v>41863.329861111109</v>
      </c>
      <c r="B96">
        <v>20.69</v>
      </c>
      <c r="C96">
        <v>40.56</v>
      </c>
    </row>
    <row r="97" spans="1:3">
      <c r="A97" s="267">
        <v>41863.333333333336</v>
      </c>
      <c r="B97">
        <v>20.69</v>
      </c>
      <c r="C97">
        <v>40.630000000000003</v>
      </c>
    </row>
    <row r="98" spans="1:3">
      <c r="A98" s="267">
        <v>41863.336805555555</v>
      </c>
      <c r="B98">
        <v>20.74</v>
      </c>
      <c r="C98">
        <v>40.54</v>
      </c>
    </row>
    <row r="99" spans="1:3">
      <c r="A99" s="267">
        <v>41863.340277777781</v>
      </c>
      <c r="B99">
        <v>20.76</v>
      </c>
      <c r="C99">
        <v>40.76</v>
      </c>
    </row>
    <row r="100" spans="1:3">
      <c r="A100" s="267">
        <v>41863.34375</v>
      </c>
      <c r="B100">
        <v>20.71</v>
      </c>
      <c r="C100">
        <v>40.950000000000003</v>
      </c>
    </row>
    <row r="101" spans="1:3">
      <c r="A101" s="267">
        <v>41863.347222222219</v>
      </c>
      <c r="B101">
        <v>20.69</v>
      </c>
      <c r="C101">
        <v>40.9</v>
      </c>
    </row>
    <row r="102" spans="1:3">
      <c r="A102" s="267">
        <v>41863.350694444445</v>
      </c>
      <c r="B102">
        <v>20.65</v>
      </c>
      <c r="C102">
        <v>41.07</v>
      </c>
    </row>
    <row r="103" spans="1:3">
      <c r="A103" s="267">
        <v>41863.354166666664</v>
      </c>
      <c r="B103">
        <v>20.68</v>
      </c>
      <c r="C103">
        <v>41.05</v>
      </c>
    </row>
    <row r="104" spans="1:3">
      <c r="A104" s="267">
        <v>41863.357638888891</v>
      </c>
      <c r="B104">
        <v>20.66</v>
      </c>
      <c r="C104">
        <v>41.07</v>
      </c>
    </row>
    <row r="105" spans="1:3">
      <c r="A105" s="267">
        <v>41863.361111111109</v>
      </c>
      <c r="B105">
        <v>20.69</v>
      </c>
      <c r="C105">
        <v>41</v>
      </c>
    </row>
    <row r="106" spans="1:3">
      <c r="A106" s="267">
        <v>41863.364583333336</v>
      </c>
      <c r="B106">
        <v>20.69</v>
      </c>
      <c r="C106">
        <v>40.950000000000003</v>
      </c>
    </row>
    <row r="107" spans="1:3">
      <c r="A107" s="267">
        <v>41863.368055555555</v>
      </c>
      <c r="B107">
        <v>20.68</v>
      </c>
      <c r="C107">
        <v>41.07</v>
      </c>
    </row>
    <row r="108" spans="1:3">
      <c r="A108" s="267">
        <v>41863.371527777781</v>
      </c>
      <c r="B108">
        <v>20.68</v>
      </c>
      <c r="C108">
        <v>40.950000000000003</v>
      </c>
    </row>
    <row r="109" spans="1:3">
      <c r="A109" s="267">
        <v>41863.375</v>
      </c>
      <c r="B109">
        <v>20.71</v>
      </c>
      <c r="C109">
        <v>40.9</v>
      </c>
    </row>
    <row r="110" spans="1:3">
      <c r="A110" s="267">
        <v>41863.378472222219</v>
      </c>
      <c r="B110">
        <v>20.68</v>
      </c>
      <c r="C110">
        <v>40.83</v>
      </c>
    </row>
    <row r="111" spans="1:3">
      <c r="A111" s="267">
        <v>41863.381944444445</v>
      </c>
      <c r="B111">
        <v>20.69</v>
      </c>
      <c r="C111">
        <v>40.9</v>
      </c>
    </row>
    <row r="112" spans="1:3">
      <c r="A112" s="267">
        <v>41863.385416666664</v>
      </c>
      <c r="B112">
        <v>20.71</v>
      </c>
      <c r="C112">
        <v>40.71</v>
      </c>
    </row>
    <row r="113" spans="1:3">
      <c r="A113" s="267">
        <v>41863.388888888891</v>
      </c>
      <c r="B113">
        <v>20.68</v>
      </c>
      <c r="C113">
        <v>40.68</v>
      </c>
    </row>
    <row r="114" spans="1:3">
      <c r="A114" s="267">
        <v>41863.392361111109</v>
      </c>
      <c r="B114">
        <v>20.67</v>
      </c>
      <c r="C114">
        <v>40.880000000000003</v>
      </c>
    </row>
    <row r="115" spans="1:3">
      <c r="A115" s="267">
        <v>41863.395833333336</v>
      </c>
      <c r="B115">
        <v>20.71</v>
      </c>
      <c r="C115">
        <v>40.78</v>
      </c>
    </row>
    <row r="116" spans="1:3">
      <c r="A116" s="267">
        <v>41863.399305555555</v>
      </c>
      <c r="B116">
        <v>20.77</v>
      </c>
      <c r="C116">
        <v>40.83</v>
      </c>
    </row>
    <row r="117" spans="1:3">
      <c r="A117" s="267">
        <v>41863.402777777781</v>
      </c>
      <c r="B117">
        <v>20.84</v>
      </c>
      <c r="C117">
        <v>40.76</v>
      </c>
    </row>
    <row r="118" spans="1:3">
      <c r="A118" s="267">
        <v>41863.40625</v>
      </c>
      <c r="B118">
        <v>20.84</v>
      </c>
      <c r="C118">
        <v>40.81</v>
      </c>
    </row>
    <row r="119" spans="1:3">
      <c r="A119" s="267">
        <v>41863.409722222219</v>
      </c>
      <c r="B119">
        <v>20.79</v>
      </c>
      <c r="C119">
        <v>40.9</v>
      </c>
    </row>
    <row r="120" spans="1:3">
      <c r="A120" s="267">
        <v>41863.413194444445</v>
      </c>
      <c r="B120">
        <v>20.82</v>
      </c>
      <c r="C120">
        <v>41.05</v>
      </c>
    </row>
    <row r="121" spans="1:3">
      <c r="A121" s="267">
        <v>41863.416666666664</v>
      </c>
      <c r="B121">
        <v>20.74</v>
      </c>
      <c r="C121">
        <v>40.98</v>
      </c>
    </row>
    <row r="122" spans="1:3">
      <c r="A122" s="267">
        <v>41863.420138888891</v>
      </c>
      <c r="B122">
        <v>20.78</v>
      </c>
      <c r="C122">
        <v>40.93</v>
      </c>
    </row>
    <row r="123" spans="1:3">
      <c r="A123" s="267">
        <v>41863.423611111109</v>
      </c>
      <c r="B123">
        <v>20.8</v>
      </c>
      <c r="C123">
        <v>40.729999999999997</v>
      </c>
    </row>
    <row r="124" spans="1:3">
      <c r="A124" s="267">
        <v>41863.427083333336</v>
      </c>
      <c r="B124">
        <v>20.73</v>
      </c>
      <c r="C124">
        <v>40.76</v>
      </c>
    </row>
    <row r="125" spans="1:3">
      <c r="A125" s="267">
        <v>41863.430555555555</v>
      </c>
      <c r="B125">
        <v>20.76</v>
      </c>
      <c r="C125">
        <v>40.71</v>
      </c>
    </row>
    <row r="126" spans="1:3">
      <c r="A126" s="267">
        <v>41863.434027777781</v>
      </c>
      <c r="B126">
        <v>20.79</v>
      </c>
      <c r="C126">
        <v>40.56</v>
      </c>
    </row>
    <row r="127" spans="1:3">
      <c r="A127" s="267">
        <v>41863.4375</v>
      </c>
      <c r="B127">
        <v>20.79</v>
      </c>
      <c r="C127">
        <v>40.44</v>
      </c>
    </row>
    <row r="128" spans="1:3">
      <c r="A128" s="267">
        <v>41863.440972222219</v>
      </c>
      <c r="B128">
        <v>20.82</v>
      </c>
      <c r="C128">
        <v>40.409999999999997</v>
      </c>
    </row>
    <row r="129" spans="1:6">
      <c r="A129" s="267">
        <v>41863.444444444445</v>
      </c>
      <c r="B129">
        <v>20.85</v>
      </c>
      <c r="C129">
        <v>40.29</v>
      </c>
    </row>
    <row r="130" spans="1:6">
      <c r="A130" s="267">
        <v>41863.447916666664</v>
      </c>
      <c r="B130">
        <v>20.88</v>
      </c>
      <c r="C130">
        <v>40.24</v>
      </c>
    </row>
    <row r="131" spans="1:6">
      <c r="A131" s="267">
        <v>41863.451388888891</v>
      </c>
      <c r="B131">
        <v>20.9</v>
      </c>
      <c r="C131">
        <v>40.31</v>
      </c>
    </row>
    <row r="132" spans="1:6">
      <c r="A132" s="267">
        <v>41863.454861111109</v>
      </c>
      <c r="B132">
        <v>20.89</v>
      </c>
      <c r="C132">
        <v>40.409999999999997</v>
      </c>
    </row>
    <row r="133" spans="1:6">
      <c r="A133" s="267">
        <v>41863.458333333336</v>
      </c>
      <c r="B133">
        <v>20.89</v>
      </c>
      <c r="C133">
        <v>40.409999999999997</v>
      </c>
      <c r="E133" s="268">
        <f>AVERAGE(B133:B181)</f>
        <v>20.852653061224501</v>
      </c>
      <c r="F133" s="268">
        <f>AVERAGE(C133:C181)</f>
        <v>40.239183673469398</v>
      </c>
    </row>
    <row r="134" spans="1:6">
      <c r="A134" s="267">
        <v>41863.461805555555</v>
      </c>
      <c r="B134">
        <v>20.84</v>
      </c>
      <c r="C134">
        <v>40.46</v>
      </c>
      <c r="E134" s="268">
        <f>STDEV(B133:B181)</f>
        <v>3.1542003094028201E-2</v>
      </c>
      <c r="F134" s="268">
        <f>STDEV(C133:C181)</f>
        <v>0.19819851932147314</v>
      </c>
    </row>
    <row r="135" spans="1:6">
      <c r="A135" s="267">
        <v>41863.465277777781</v>
      </c>
      <c r="B135">
        <v>20.87</v>
      </c>
      <c r="C135">
        <v>40.36</v>
      </c>
    </row>
    <row r="136" spans="1:6">
      <c r="A136" s="267">
        <v>41863.46875</v>
      </c>
      <c r="B136">
        <v>20.85</v>
      </c>
      <c r="C136">
        <v>40.39</v>
      </c>
    </row>
    <row r="137" spans="1:6">
      <c r="A137" s="267">
        <v>41863.472222222219</v>
      </c>
      <c r="B137">
        <v>20.8</v>
      </c>
      <c r="C137">
        <v>40.409999999999997</v>
      </c>
    </row>
    <row r="138" spans="1:6">
      <c r="A138" s="267">
        <v>41863.475694444445</v>
      </c>
      <c r="B138">
        <v>20.87</v>
      </c>
      <c r="C138">
        <v>40.270000000000003</v>
      </c>
    </row>
    <row r="139" spans="1:6">
      <c r="A139" s="267">
        <v>41863.479166666664</v>
      </c>
      <c r="B139">
        <v>20.88</v>
      </c>
      <c r="C139">
        <v>40.22</v>
      </c>
    </row>
    <row r="140" spans="1:6">
      <c r="A140" s="267">
        <v>41863.482638888891</v>
      </c>
      <c r="B140">
        <v>20.9</v>
      </c>
      <c r="C140">
        <v>40.270000000000003</v>
      </c>
    </row>
    <row r="141" spans="1:6">
      <c r="A141" s="267">
        <v>41863.486111111109</v>
      </c>
      <c r="B141">
        <v>20.87</v>
      </c>
      <c r="C141">
        <v>40.17</v>
      </c>
    </row>
    <row r="142" spans="1:6">
      <c r="A142" s="267">
        <v>41863.489583333336</v>
      </c>
      <c r="B142">
        <v>20.94</v>
      </c>
      <c r="C142">
        <v>40.07</v>
      </c>
    </row>
    <row r="143" spans="1:6">
      <c r="A143" s="267">
        <v>41863.493055555555</v>
      </c>
      <c r="B143">
        <v>20.88</v>
      </c>
      <c r="C143">
        <v>40.04</v>
      </c>
    </row>
    <row r="144" spans="1:6">
      <c r="A144" s="267">
        <v>41863.496527777781</v>
      </c>
      <c r="B144">
        <v>20.87</v>
      </c>
      <c r="C144">
        <v>39.97</v>
      </c>
    </row>
    <row r="145" spans="1:3">
      <c r="A145" s="267">
        <v>41863.5</v>
      </c>
      <c r="B145">
        <v>20.88</v>
      </c>
      <c r="C145">
        <v>39.950000000000003</v>
      </c>
    </row>
    <row r="146" spans="1:3">
      <c r="A146" s="267">
        <v>41863.503472222219</v>
      </c>
      <c r="B146">
        <v>20.87</v>
      </c>
      <c r="C146">
        <v>39.869999999999997</v>
      </c>
    </row>
    <row r="147" spans="1:3">
      <c r="A147" s="267">
        <v>41863.506944444445</v>
      </c>
      <c r="B147">
        <v>20.85</v>
      </c>
      <c r="C147">
        <v>39.950000000000003</v>
      </c>
    </row>
    <row r="148" spans="1:3">
      <c r="A148" s="267">
        <v>41863.510416666664</v>
      </c>
      <c r="B148">
        <v>20.84</v>
      </c>
      <c r="C148">
        <v>40.07</v>
      </c>
    </row>
    <row r="149" spans="1:3">
      <c r="A149" s="267">
        <v>41863.513888888891</v>
      </c>
      <c r="B149">
        <v>20.85</v>
      </c>
      <c r="C149">
        <v>40.17</v>
      </c>
    </row>
    <row r="150" spans="1:3">
      <c r="A150" s="267">
        <v>41863.517361111109</v>
      </c>
      <c r="B150">
        <v>20.83</v>
      </c>
      <c r="C150">
        <v>40.14</v>
      </c>
    </row>
    <row r="151" spans="1:3">
      <c r="A151" s="267">
        <v>41863.520833333336</v>
      </c>
      <c r="B151">
        <v>20.84</v>
      </c>
      <c r="C151">
        <v>40.22</v>
      </c>
    </row>
    <row r="152" spans="1:3">
      <c r="A152" s="267">
        <v>41863.524305555555</v>
      </c>
      <c r="B152">
        <v>20.82</v>
      </c>
      <c r="C152">
        <v>40.24</v>
      </c>
    </row>
    <row r="153" spans="1:3">
      <c r="A153" s="267">
        <v>41863.527777777781</v>
      </c>
      <c r="B153">
        <v>20.88</v>
      </c>
      <c r="C153">
        <v>40.090000000000003</v>
      </c>
    </row>
    <row r="154" spans="1:3">
      <c r="A154" s="267">
        <v>41863.53125</v>
      </c>
      <c r="B154">
        <v>20.88</v>
      </c>
      <c r="C154">
        <v>40.090000000000003</v>
      </c>
    </row>
    <row r="155" spans="1:3">
      <c r="A155" s="267">
        <v>41863.534722222219</v>
      </c>
      <c r="B155">
        <v>20.89</v>
      </c>
      <c r="C155">
        <v>39.97</v>
      </c>
    </row>
    <row r="156" spans="1:3">
      <c r="A156" s="267">
        <v>41863.538194444445</v>
      </c>
      <c r="B156">
        <v>20.9</v>
      </c>
      <c r="C156">
        <v>40.020000000000003</v>
      </c>
    </row>
    <row r="157" spans="1:3">
      <c r="A157" s="267">
        <v>41863.541666666664</v>
      </c>
      <c r="B157">
        <v>20.85</v>
      </c>
      <c r="C157">
        <v>39.92</v>
      </c>
    </row>
    <row r="158" spans="1:3">
      <c r="A158" s="267">
        <v>41863.545138888891</v>
      </c>
      <c r="B158">
        <v>20.87</v>
      </c>
      <c r="C158">
        <v>40.020000000000003</v>
      </c>
    </row>
    <row r="159" spans="1:3">
      <c r="A159" s="267">
        <v>41863.548611111109</v>
      </c>
      <c r="B159">
        <v>20.79</v>
      </c>
      <c r="C159">
        <v>40.17</v>
      </c>
    </row>
    <row r="160" spans="1:3">
      <c r="A160" s="267">
        <v>41863.552083333336</v>
      </c>
      <c r="B160">
        <v>20.8</v>
      </c>
      <c r="C160">
        <v>40.270000000000003</v>
      </c>
    </row>
    <row r="161" spans="1:3">
      <c r="A161" s="267">
        <v>41863.555555555555</v>
      </c>
      <c r="B161">
        <v>20.82</v>
      </c>
      <c r="C161">
        <v>40.340000000000003</v>
      </c>
    </row>
    <row r="162" spans="1:3">
      <c r="A162" s="267">
        <v>41863.559027777781</v>
      </c>
      <c r="B162">
        <v>20.83</v>
      </c>
      <c r="C162">
        <v>40.17</v>
      </c>
    </row>
    <row r="163" spans="1:3">
      <c r="A163" s="267">
        <v>41863.5625</v>
      </c>
      <c r="B163">
        <v>20.92</v>
      </c>
      <c r="C163">
        <v>40.14</v>
      </c>
    </row>
    <row r="164" spans="1:3">
      <c r="A164" s="267">
        <v>41863.565972222219</v>
      </c>
      <c r="B164">
        <v>20.82</v>
      </c>
      <c r="C164">
        <v>40.24</v>
      </c>
    </row>
    <row r="165" spans="1:3">
      <c r="A165" s="267">
        <v>41863.569444444445</v>
      </c>
      <c r="B165">
        <v>20.83</v>
      </c>
      <c r="C165">
        <v>40.31</v>
      </c>
    </row>
    <row r="166" spans="1:3">
      <c r="A166" s="267">
        <v>41863.572916666664</v>
      </c>
      <c r="B166">
        <v>20.87</v>
      </c>
      <c r="C166">
        <v>40.07</v>
      </c>
    </row>
    <row r="167" spans="1:3">
      <c r="A167" s="267">
        <v>41863.576388888891</v>
      </c>
      <c r="B167">
        <v>20.84</v>
      </c>
      <c r="C167">
        <v>40.17</v>
      </c>
    </row>
    <row r="168" spans="1:3">
      <c r="A168" s="267">
        <v>41863.579861111109</v>
      </c>
      <c r="B168">
        <v>20.84</v>
      </c>
      <c r="C168">
        <v>40.17</v>
      </c>
    </row>
    <row r="169" spans="1:3">
      <c r="A169" s="267">
        <v>41863.583333333336</v>
      </c>
      <c r="B169">
        <v>20.85</v>
      </c>
      <c r="C169">
        <v>40.22</v>
      </c>
    </row>
    <row r="170" spans="1:3">
      <c r="A170" s="267">
        <v>41863.586805555555</v>
      </c>
      <c r="B170">
        <v>20.87</v>
      </c>
      <c r="C170">
        <v>40.29</v>
      </c>
    </row>
    <row r="171" spans="1:3">
      <c r="A171" s="267">
        <v>41863.590277777781</v>
      </c>
      <c r="B171">
        <v>20.87</v>
      </c>
      <c r="C171">
        <v>40.340000000000003</v>
      </c>
    </row>
    <row r="172" spans="1:3">
      <c r="A172" s="267">
        <v>41863.59375</v>
      </c>
      <c r="B172">
        <v>20.82</v>
      </c>
      <c r="C172">
        <v>40.46</v>
      </c>
    </row>
    <row r="173" spans="1:3">
      <c r="A173" s="267">
        <v>41863.597222222219</v>
      </c>
      <c r="B173">
        <v>20.85</v>
      </c>
      <c r="C173">
        <v>40.49</v>
      </c>
    </row>
    <row r="174" spans="1:3">
      <c r="A174" s="267">
        <v>41863.600694444445</v>
      </c>
      <c r="B174">
        <v>20.84</v>
      </c>
      <c r="C174">
        <v>40.56</v>
      </c>
    </row>
    <row r="175" spans="1:3">
      <c r="A175" s="267">
        <v>41863.604166666664</v>
      </c>
      <c r="B175">
        <v>20.83</v>
      </c>
      <c r="C175">
        <v>40.44</v>
      </c>
    </row>
    <row r="176" spans="1:3">
      <c r="A176" s="267">
        <v>41863.607638888891</v>
      </c>
      <c r="B176">
        <v>20.82</v>
      </c>
      <c r="C176">
        <v>40.409999999999997</v>
      </c>
    </row>
    <row r="177" spans="1:3">
      <c r="A177" s="267">
        <v>41863.611111111109</v>
      </c>
      <c r="B177">
        <v>20.82</v>
      </c>
      <c r="C177">
        <v>40.46</v>
      </c>
    </row>
    <row r="178" spans="1:3">
      <c r="A178" s="267">
        <v>41863.614583333336</v>
      </c>
      <c r="B178">
        <v>20.87</v>
      </c>
      <c r="C178">
        <v>40.409999999999997</v>
      </c>
    </row>
    <row r="179" spans="1:3">
      <c r="A179" s="267">
        <v>41863.618055555555</v>
      </c>
      <c r="B179">
        <v>20.82</v>
      </c>
      <c r="C179">
        <v>40.44</v>
      </c>
    </row>
    <row r="180" spans="1:3">
      <c r="A180" s="267">
        <v>41863.621527777781</v>
      </c>
      <c r="B180">
        <v>20.83</v>
      </c>
      <c r="C180">
        <v>40.58</v>
      </c>
    </row>
    <row r="181" spans="1:3">
      <c r="A181" s="267">
        <v>41863.625</v>
      </c>
      <c r="B181">
        <v>20.82</v>
      </c>
      <c r="C181">
        <v>40.81</v>
      </c>
    </row>
    <row r="182" spans="1:3">
      <c r="A182" s="267">
        <v>41863.628472222219</v>
      </c>
      <c r="B182">
        <v>20.83</v>
      </c>
      <c r="C182">
        <v>40.9</v>
      </c>
    </row>
    <row r="183" spans="1:3">
      <c r="A183" s="267">
        <v>41863.631944444445</v>
      </c>
      <c r="B183">
        <v>20.8</v>
      </c>
      <c r="C183">
        <v>40.85</v>
      </c>
    </row>
    <row r="184" spans="1:3">
      <c r="A184" s="267">
        <v>41863.635416666664</v>
      </c>
      <c r="B184">
        <v>20.83</v>
      </c>
      <c r="C184">
        <v>40.78</v>
      </c>
    </row>
    <row r="185" spans="1:3">
      <c r="A185" s="267">
        <v>41863.638888888891</v>
      </c>
      <c r="B185">
        <v>20.79</v>
      </c>
      <c r="C185">
        <v>40.71</v>
      </c>
    </row>
    <row r="186" spans="1:3">
      <c r="A186" s="267">
        <v>41863.642361111109</v>
      </c>
      <c r="B186">
        <v>20.84</v>
      </c>
      <c r="C186">
        <v>40.409999999999997</v>
      </c>
    </row>
    <row r="187" spans="1:3">
      <c r="A187" s="267">
        <v>41863.645833333336</v>
      </c>
      <c r="B187">
        <v>20.83</v>
      </c>
      <c r="C187">
        <v>40.409999999999997</v>
      </c>
    </row>
    <row r="188" spans="1:3">
      <c r="A188" s="267">
        <v>41863.649305555555</v>
      </c>
      <c r="B188">
        <v>20.79</v>
      </c>
      <c r="C188">
        <v>40.58</v>
      </c>
    </row>
    <row r="189" spans="1:3">
      <c r="A189" s="267">
        <v>41863.652777777781</v>
      </c>
      <c r="B189">
        <v>20.79</v>
      </c>
      <c r="C189">
        <v>40.630000000000003</v>
      </c>
    </row>
    <row r="190" spans="1:3">
      <c r="A190" s="267">
        <v>41863.65625</v>
      </c>
      <c r="B190">
        <v>20.85</v>
      </c>
      <c r="C190">
        <v>40.729999999999997</v>
      </c>
    </row>
    <row r="191" spans="1:3">
      <c r="A191" s="267">
        <v>41863.659722222219</v>
      </c>
      <c r="B191">
        <v>20.82</v>
      </c>
      <c r="C191">
        <v>40.76</v>
      </c>
    </row>
    <row r="192" spans="1:3">
      <c r="A192" s="267">
        <v>41863.663194444445</v>
      </c>
      <c r="B192">
        <v>20.83</v>
      </c>
      <c r="C192">
        <v>40.76</v>
      </c>
    </row>
    <row r="193" spans="1:3">
      <c r="A193" s="267">
        <v>41863.666666666664</v>
      </c>
      <c r="B193">
        <v>20.82</v>
      </c>
      <c r="C193">
        <v>40.630000000000003</v>
      </c>
    </row>
    <row r="194" spans="1:3">
      <c r="A194" s="267">
        <v>41863.670138888891</v>
      </c>
      <c r="B194">
        <v>20.82</v>
      </c>
      <c r="C194">
        <v>40.71</v>
      </c>
    </row>
    <row r="195" spans="1:3">
      <c r="A195" s="267">
        <v>41863.673611111109</v>
      </c>
      <c r="B195">
        <v>20.84</v>
      </c>
      <c r="C195">
        <v>40.659999999999997</v>
      </c>
    </row>
    <row r="196" spans="1:3">
      <c r="A196" s="267">
        <v>41863.677083333336</v>
      </c>
      <c r="B196">
        <v>20.83</v>
      </c>
      <c r="C196">
        <v>40.76</v>
      </c>
    </row>
    <row r="197" spans="1:3">
      <c r="A197" s="267">
        <v>41863.680555555555</v>
      </c>
      <c r="B197">
        <v>20.83</v>
      </c>
      <c r="C197">
        <v>40.880000000000003</v>
      </c>
    </row>
    <row r="198" spans="1:3">
      <c r="A198" s="267">
        <v>41863.684027777781</v>
      </c>
      <c r="B198">
        <v>20.82</v>
      </c>
      <c r="C198">
        <v>40.880000000000003</v>
      </c>
    </row>
    <row r="199" spans="1:3">
      <c r="A199" s="267">
        <v>41863.6875</v>
      </c>
      <c r="B199">
        <v>20.78</v>
      </c>
      <c r="C199">
        <v>40.81</v>
      </c>
    </row>
    <row r="200" spans="1:3">
      <c r="A200" s="267">
        <v>41863.690972222219</v>
      </c>
      <c r="B200">
        <v>20.82</v>
      </c>
      <c r="C200">
        <v>40.78</v>
      </c>
    </row>
    <row r="201" spans="1:3">
      <c r="A201" s="267">
        <v>41863.694444444445</v>
      </c>
      <c r="B201">
        <v>20.84</v>
      </c>
      <c r="C201">
        <v>40.71</v>
      </c>
    </row>
    <row r="202" spans="1:3">
      <c r="A202" s="267">
        <v>41863.697916666664</v>
      </c>
      <c r="B202">
        <v>20.84</v>
      </c>
      <c r="C202">
        <v>40.630000000000003</v>
      </c>
    </row>
    <row r="203" spans="1:3">
      <c r="A203" s="267">
        <v>41863.701388888891</v>
      </c>
      <c r="B203">
        <v>20.82</v>
      </c>
      <c r="C203">
        <v>40.61</v>
      </c>
    </row>
    <row r="204" spans="1:3">
      <c r="A204" s="267">
        <v>41863.704861111109</v>
      </c>
      <c r="B204">
        <v>20.84</v>
      </c>
      <c r="C204">
        <v>40.409999999999997</v>
      </c>
    </row>
    <row r="205" spans="1:3">
      <c r="A205" s="267">
        <v>41863.708333333336</v>
      </c>
      <c r="B205">
        <v>20.79</v>
      </c>
      <c r="C205">
        <v>40.71</v>
      </c>
    </row>
    <row r="206" spans="1:3">
      <c r="A206" s="267">
        <v>41863.711805555555</v>
      </c>
      <c r="B206">
        <v>20.76</v>
      </c>
      <c r="C206">
        <v>40.76</v>
      </c>
    </row>
    <row r="207" spans="1:3">
      <c r="A207" s="267">
        <v>41863.715277777781</v>
      </c>
      <c r="B207">
        <v>20.72</v>
      </c>
      <c r="C207">
        <v>41.1</v>
      </c>
    </row>
    <row r="208" spans="1:3">
      <c r="A208" s="267">
        <v>41863.71875</v>
      </c>
      <c r="B208">
        <v>20.79</v>
      </c>
      <c r="C208">
        <v>40.9</v>
      </c>
    </row>
    <row r="209" spans="1:3">
      <c r="A209" s="267">
        <v>41863.722222222219</v>
      </c>
      <c r="B209">
        <v>20.78</v>
      </c>
      <c r="C209">
        <v>40.880000000000003</v>
      </c>
    </row>
    <row r="210" spans="1:3">
      <c r="A210" s="267">
        <v>41863.725694444445</v>
      </c>
      <c r="B210">
        <v>20.83</v>
      </c>
      <c r="C210">
        <v>40.729999999999997</v>
      </c>
    </row>
    <row r="211" spans="1:3">
      <c r="A211" s="267">
        <v>41863.729166666664</v>
      </c>
      <c r="B211">
        <v>20.79</v>
      </c>
      <c r="C211">
        <v>40.76</v>
      </c>
    </row>
    <row r="212" spans="1:3">
      <c r="A212" s="267">
        <v>41863.732638888891</v>
      </c>
      <c r="B212">
        <v>20.84</v>
      </c>
      <c r="C212">
        <v>40.630000000000003</v>
      </c>
    </row>
    <row r="213" spans="1:3">
      <c r="A213" s="267">
        <v>41863.736111111109</v>
      </c>
      <c r="B213">
        <v>20.84</v>
      </c>
      <c r="C213">
        <v>40.58</v>
      </c>
    </row>
    <row r="214" spans="1:3">
      <c r="A214" s="267">
        <v>41863.739583333336</v>
      </c>
      <c r="B214">
        <v>20.84</v>
      </c>
      <c r="C214">
        <v>40.46</v>
      </c>
    </row>
    <row r="215" spans="1:3">
      <c r="A215" s="267">
        <v>41863.743055555555</v>
      </c>
      <c r="B215">
        <v>20.85</v>
      </c>
      <c r="C215">
        <v>40.54</v>
      </c>
    </row>
    <row r="216" spans="1:3">
      <c r="A216" s="267">
        <v>41863.746527777781</v>
      </c>
      <c r="B216">
        <v>20.79</v>
      </c>
      <c r="C216">
        <v>40.68</v>
      </c>
    </row>
    <row r="217" spans="1:3">
      <c r="A217" s="267">
        <v>41863.75</v>
      </c>
      <c r="B217">
        <v>20.83</v>
      </c>
      <c r="C217">
        <v>40.880000000000003</v>
      </c>
    </row>
    <row r="218" spans="1:3">
      <c r="A218" s="267">
        <v>41863.753472222219</v>
      </c>
      <c r="B218">
        <v>20.8</v>
      </c>
      <c r="C218">
        <v>40.76</v>
      </c>
    </row>
    <row r="219" spans="1:3">
      <c r="A219" s="267">
        <v>41863.756944444445</v>
      </c>
      <c r="B219">
        <v>20.83</v>
      </c>
      <c r="C219">
        <v>40.98</v>
      </c>
    </row>
    <row r="220" spans="1:3">
      <c r="A220" s="267">
        <v>41863.760416666664</v>
      </c>
      <c r="B220">
        <v>20.84</v>
      </c>
      <c r="C220">
        <v>40.950000000000003</v>
      </c>
    </row>
    <row r="221" spans="1:3">
      <c r="A221" s="267">
        <v>41863.763888888891</v>
      </c>
      <c r="B221">
        <v>20.85</v>
      </c>
      <c r="C221">
        <v>40.93</v>
      </c>
    </row>
    <row r="222" spans="1:3">
      <c r="A222" s="267">
        <v>41863.767361111109</v>
      </c>
      <c r="B222">
        <v>20.89</v>
      </c>
      <c r="C222">
        <v>41</v>
      </c>
    </row>
    <row r="223" spans="1:3">
      <c r="A223" s="267">
        <v>41863.770833333336</v>
      </c>
      <c r="B223">
        <v>20.85</v>
      </c>
      <c r="C223">
        <v>40.81</v>
      </c>
    </row>
    <row r="224" spans="1:3">
      <c r="A224" s="267">
        <v>41863.774305555555</v>
      </c>
      <c r="B224">
        <v>20.88</v>
      </c>
      <c r="C224">
        <v>40.83</v>
      </c>
    </row>
    <row r="225" spans="1:3">
      <c r="A225" s="267">
        <v>41863.777777777781</v>
      </c>
      <c r="B225">
        <v>20.88</v>
      </c>
      <c r="C225">
        <v>40.83</v>
      </c>
    </row>
    <row r="226" spans="1:3">
      <c r="A226" s="267">
        <v>41863.78125</v>
      </c>
      <c r="B226">
        <v>20.85</v>
      </c>
      <c r="C226">
        <v>40.98</v>
      </c>
    </row>
    <row r="227" spans="1:3">
      <c r="A227" s="267">
        <v>41863.784722222219</v>
      </c>
      <c r="B227">
        <v>20.85</v>
      </c>
      <c r="C227">
        <v>40.81</v>
      </c>
    </row>
    <row r="228" spans="1:3">
      <c r="A228" s="267">
        <v>41863.788194444445</v>
      </c>
      <c r="B228">
        <v>20.88</v>
      </c>
      <c r="C228">
        <v>40.729999999999997</v>
      </c>
    </row>
    <row r="229" spans="1:3">
      <c r="A229" s="267">
        <v>41863.791666666664</v>
      </c>
      <c r="B229">
        <v>20.9</v>
      </c>
      <c r="C229">
        <v>40.880000000000003</v>
      </c>
    </row>
    <row r="230" spans="1:3">
      <c r="A230" s="267">
        <v>41863.795138888891</v>
      </c>
      <c r="B230">
        <v>20.92</v>
      </c>
      <c r="C230">
        <v>40.98</v>
      </c>
    </row>
    <row r="231" spans="1:3">
      <c r="A231" s="267">
        <v>41863.798611111109</v>
      </c>
      <c r="B231">
        <v>20.89</v>
      </c>
      <c r="C231">
        <v>41</v>
      </c>
    </row>
    <row r="232" spans="1:3">
      <c r="A232" s="267">
        <v>41863.802083333336</v>
      </c>
      <c r="B232">
        <v>20.93</v>
      </c>
      <c r="C232">
        <v>41.15</v>
      </c>
    </row>
    <row r="233" spans="1:3">
      <c r="A233" s="267">
        <v>41863.805555555555</v>
      </c>
      <c r="B233">
        <v>20.87</v>
      </c>
      <c r="C233">
        <v>41.2</v>
      </c>
    </row>
    <row r="234" spans="1:3">
      <c r="A234" s="267">
        <v>41863.809027777781</v>
      </c>
      <c r="B234">
        <v>20.9</v>
      </c>
      <c r="C234">
        <v>41.1</v>
      </c>
    </row>
    <row r="235" spans="1:3">
      <c r="A235" s="267">
        <v>41863.8125</v>
      </c>
      <c r="B235">
        <v>20.89</v>
      </c>
      <c r="C235">
        <v>41.05</v>
      </c>
    </row>
    <row r="236" spans="1:3">
      <c r="A236" s="267">
        <v>41863.815972222219</v>
      </c>
      <c r="B236">
        <v>20.88</v>
      </c>
      <c r="C236">
        <v>40.9</v>
      </c>
    </row>
    <row r="237" spans="1:3">
      <c r="A237" s="267">
        <v>41863.819444444445</v>
      </c>
      <c r="B237">
        <v>20.89</v>
      </c>
      <c r="C237">
        <v>40.950000000000003</v>
      </c>
    </row>
    <row r="238" spans="1:3">
      <c r="A238" s="267">
        <v>41863.822916666664</v>
      </c>
      <c r="B238">
        <v>20.84</v>
      </c>
      <c r="C238">
        <v>41.03</v>
      </c>
    </row>
    <row r="239" spans="1:3">
      <c r="A239" s="267">
        <v>41863.826388888891</v>
      </c>
      <c r="B239">
        <v>20.88</v>
      </c>
      <c r="C239">
        <v>41.17</v>
      </c>
    </row>
    <row r="240" spans="1:3">
      <c r="A240" s="267">
        <v>41863.829861111109</v>
      </c>
      <c r="B240">
        <v>20.93</v>
      </c>
      <c r="C240">
        <v>41.25</v>
      </c>
    </row>
    <row r="241" spans="1:3">
      <c r="A241" s="267">
        <v>41863.833333333336</v>
      </c>
      <c r="B241">
        <v>20.9</v>
      </c>
      <c r="C241">
        <v>41.17</v>
      </c>
    </row>
    <row r="242" spans="1:3">
      <c r="A242" s="267">
        <v>41863.836805555555</v>
      </c>
      <c r="B242">
        <v>20.88</v>
      </c>
      <c r="C242">
        <v>41.27</v>
      </c>
    </row>
    <row r="243" spans="1:3">
      <c r="A243" s="267">
        <v>41863.840277777781</v>
      </c>
      <c r="B243">
        <v>20.83</v>
      </c>
      <c r="C243">
        <v>41.3</v>
      </c>
    </row>
    <row r="244" spans="1:3">
      <c r="A244" s="267">
        <v>41863.84375</v>
      </c>
      <c r="B244">
        <v>20.87</v>
      </c>
      <c r="C244">
        <v>41.07</v>
      </c>
    </row>
    <row r="245" spans="1:3">
      <c r="A245" s="267">
        <v>41863.847222222219</v>
      </c>
      <c r="B245">
        <v>20.85</v>
      </c>
      <c r="C245">
        <v>41.03</v>
      </c>
    </row>
    <row r="246" spans="1:3">
      <c r="A246" s="267">
        <v>41863.850694444445</v>
      </c>
      <c r="B246">
        <v>20.85</v>
      </c>
      <c r="C246">
        <v>40.98</v>
      </c>
    </row>
    <row r="247" spans="1:3">
      <c r="A247" s="267">
        <v>41863.854166666664</v>
      </c>
      <c r="B247">
        <v>20.88</v>
      </c>
      <c r="C247">
        <v>41.03</v>
      </c>
    </row>
    <row r="248" spans="1:3">
      <c r="A248" s="267">
        <v>41863.857638888891</v>
      </c>
      <c r="B248">
        <v>20.9</v>
      </c>
      <c r="C248">
        <v>41.07</v>
      </c>
    </row>
    <row r="249" spans="1:3">
      <c r="A249" s="267">
        <v>41863.861111111109</v>
      </c>
      <c r="B249">
        <v>20.88</v>
      </c>
      <c r="C249">
        <v>41.15</v>
      </c>
    </row>
    <row r="250" spans="1:3">
      <c r="A250" s="267">
        <v>41863.864583333336</v>
      </c>
      <c r="B250">
        <v>20.84</v>
      </c>
      <c r="C250">
        <v>41.27</v>
      </c>
    </row>
    <row r="251" spans="1:3">
      <c r="A251" s="267">
        <v>41863.868055555555</v>
      </c>
      <c r="B251">
        <v>20.88</v>
      </c>
      <c r="C251">
        <v>41.2</v>
      </c>
    </row>
    <row r="252" spans="1:3">
      <c r="A252" s="267">
        <v>41863.871527777781</v>
      </c>
      <c r="B252">
        <v>20.89</v>
      </c>
      <c r="C252">
        <v>41.17</v>
      </c>
    </row>
    <row r="253" spans="1:3">
      <c r="A253" s="267">
        <v>41863.875</v>
      </c>
      <c r="B253">
        <v>20.87</v>
      </c>
      <c r="C253">
        <v>41.05</v>
      </c>
    </row>
    <row r="254" spans="1:3">
      <c r="A254" s="267">
        <v>41863.878472222219</v>
      </c>
      <c r="B254">
        <v>20.92</v>
      </c>
      <c r="C254">
        <v>41.05</v>
      </c>
    </row>
    <row r="255" spans="1:3">
      <c r="A255" s="267">
        <v>41863.881944444445</v>
      </c>
      <c r="B255">
        <v>20.89</v>
      </c>
      <c r="C255">
        <v>40.85</v>
      </c>
    </row>
    <row r="256" spans="1:3">
      <c r="A256" s="267">
        <v>41863.885416666664</v>
      </c>
      <c r="B256">
        <v>20.87</v>
      </c>
      <c r="C256">
        <v>41.05</v>
      </c>
    </row>
    <row r="257" spans="1:3">
      <c r="A257" s="267">
        <v>41863.888888888891</v>
      </c>
      <c r="B257">
        <v>20.85</v>
      </c>
      <c r="C257">
        <v>41.12</v>
      </c>
    </row>
    <row r="258" spans="1:3">
      <c r="A258" s="267">
        <v>41863.892361111109</v>
      </c>
      <c r="B258">
        <v>20.84</v>
      </c>
      <c r="C258">
        <v>41.12</v>
      </c>
    </row>
    <row r="259" spans="1:3">
      <c r="A259" s="267">
        <v>41863.895833333336</v>
      </c>
      <c r="B259">
        <v>20.83</v>
      </c>
      <c r="C259">
        <v>41.05</v>
      </c>
    </row>
    <row r="260" spans="1:3">
      <c r="A260" s="267">
        <v>41863.899305555555</v>
      </c>
      <c r="B260">
        <v>20.84</v>
      </c>
      <c r="C260">
        <v>41.12</v>
      </c>
    </row>
    <row r="261" spans="1:3">
      <c r="A261" s="267">
        <v>41863.902777777781</v>
      </c>
      <c r="B261">
        <v>20.83</v>
      </c>
      <c r="C261">
        <v>41.07</v>
      </c>
    </row>
    <row r="262" spans="1:3">
      <c r="A262" s="267">
        <v>41863.90625</v>
      </c>
      <c r="B262">
        <v>20.87</v>
      </c>
      <c r="C262">
        <v>40.93</v>
      </c>
    </row>
    <row r="263" spans="1:3">
      <c r="A263" s="267">
        <v>41863.909722222219</v>
      </c>
      <c r="B263">
        <v>20.84</v>
      </c>
      <c r="C263">
        <v>40.880000000000003</v>
      </c>
    </row>
    <row r="264" spans="1:3">
      <c r="A264" s="267">
        <v>41863.913194444445</v>
      </c>
      <c r="B264">
        <v>20.87</v>
      </c>
      <c r="C264">
        <v>40.83</v>
      </c>
    </row>
    <row r="265" spans="1:3">
      <c r="A265" s="267">
        <v>41863.916666666664</v>
      </c>
      <c r="B265">
        <v>20.87</v>
      </c>
      <c r="C265">
        <v>40.880000000000003</v>
      </c>
    </row>
    <row r="266" spans="1:3">
      <c r="A266" s="267">
        <v>41863.920138888891</v>
      </c>
      <c r="B266">
        <v>20.84</v>
      </c>
      <c r="C266">
        <v>41.1</v>
      </c>
    </row>
    <row r="267" spans="1:3">
      <c r="A267" s="267">
        <v>41863.923611111109</v>
      </c>
      <c r="B267">
        <v>20.84</v>
      </c>
      <c r="C267">
        <v>41.03</v>
      </c>
    </row>
    <row r="268" spans="1:3">
      <c r="A268" s="267">
        <v>41863.927083333336</v>
      </c>
      <c r="B268">
        <v>20.85</v>
      </c>
      <c r="C268">
        <v>41</v>
      </c>
    </row>
    <row r="269" spans="1:3">
      <c r="A269" s="267">
        <v>41863.930555555555</v>
      </c>
      <c r="B269">
        <v>20.87</v>
      </c>
      <c r="C269">
        <v>40.880000000000003</v>
      </c>
    </row>
    <row r="270" spans="1:3">
      <c r="A270" s="267">
        <v>41863.934027777781</v>
      </c>
      <c r="B270">
        <v>20.85</v>
      </c>
      <c r="C270">
        <v>40.81</v>
      </c>
    </row>
    <row r="271" spans="1:3">
      <c r="A271" s="267">
        <v>41863.9375</v>
      </c>
      <c r="B271">
        <v>20.88</v>
      </c>
      <c r="C271">
        <v>40.659999999999997</v>
      </c>
    </row>
    <row r="272" spans="1:3">
      <c r="A272" s="267">
        <v>41863.940972222219</v>
      </c>
      <c r="B272">
        <v>20.89</v>
      </c>
      <c r="C272">
        <v>40.71</v>
      </c>
    </row>
    <row r="273" spans="1:3">
      <c r="A273" s="267">
        <v>41863.944444444445</v>
      </c>
      <c r="B273">
        <v>20.89</v>
      </c>
      <c r="C273">
        <v>41</v>
      </c>
    </row>
    <row r="274" spans="1:3">
      <c r="A274" s="267">
        <v>41863.947916666664</v>
      </c>
      <c r="B274">
        <v>20.93</v>
      </c>
      <c r="C274">
        <v>40.85</v>
      </c>
    </row>
    <row r="275" spans="1:3">
      <c r="A275" s="267">
        <v>41863.951388888891</v>
      </c>
      <c r="B275">
        <v>20.85</v>
      </c>
      <c r="C275">
        <v>40.950000000000003</v>
      </c>
    </row>
    <row r="276" spans="1:3">
      <c r="A276" s="267">
        <v>41863.954861111109</v>
      </c>
      <c r="B276">
        <v>20.87</v>
      </c>
      <c r="C276">
        <v>40.76</v>
      </c>
    </row>
    <row r="277" spans="1:3">
      <c r="A277" s="267">
        <v>41863.958333333336</v>
      </c>
      <c r="B277">
        <v>20.9</v>
      </c>
      <c r="C277">
        <v>40.68</v>
      </c>
    </row>
    <row r="278" spans="1:3">
      <c r="A278" s="267">
        <v>41863.961805555555</v>
      </c>
      <c r="B278">
        <v>20.92</v>
      </c>
      <c r="C278">
        <v>40.68</v>
      </c>
    </row>
    <row r="279" spans="1:3">
      <c r="A279" s="267">
        <v>41863.965277777781</v>
      </c>
      <c r="B279">
        <v>20.92</v>
      </c>
      <c r="C279">
        <v>40.630000000000003</v>
      </c>
    </row>
    <row r="280" spans="1:3">
      <c r="A280" s="267">
        <v>41863.96875</v>
      </c>
      <c r="B280">
        <v>20.94</v>
      </c>
      <c r="C280">
        <v>40.46</v>
      </c>
    </row>
    <row r="281" spans="1:3">
      <c r="A281" s="267">
        <v>41863.972222222219</v>
      </c>
      <c r="B281">
        <v>20.94</v>
      </c>
      <c r="C281">
        <v>40.340000000000003</v>
      </c>
    </row>
    <row r="282" spans="1:3">
      <c r="A282" s="267">
        <v>41863.975694444445</v>
      </c>
      <c r="B282">
        <v>20.95</v>
      </c>
      <c r="C282">
        <v>40.36</v>
      </c>
    </row>
    <row r="283" spans="1:3">
      <c r="A283" s="267">
        <v>41863.979166666664</v>
      </c>
      <c r="B283">
        <v>20.92</v>
      </c>
      <c r="C283">
        <v>40.58</v>
      </c>
    </row>
    <row r="284" spans="1:3">
      <c r="A284" s="267">
        <v>41863.982638888891</v>
      </c>
      <c r="B284">
        <v>20.88</v>
      </c>
      <c r="C284">
        <v>40.630000000000003</v>
      </c>
    </row>
    <row r="285" spans="1:3">
      <c r="A285" s="267">
        <v>41863.986111111109</v>
      </c>
      <c r="B285">
        <v>20.94</v>
      </c>
      <c r="C285">
        <v>40.68</v>
      </c>
    </row>
    <row r="286" spans="1:3">
      <c r="A286" s="267">
        <v>41863.989583333336</v>
      </c>
      <c r="B286">
        <v>20.93</v>
      </c>
      <c r="C286">
        <v>40.58</v>
      </c>
    </row>
    <row r="287" spans="1:3">
      <c r="A287" s="267">
        <v>41863.993055555555</v>
      </c>
      <c r="B287">
        <v>20.93</v>
      </c>
      <c r="C287">
        <v>40.56</v>
      </c>
    </row>
    <row r="288" spans="1:3">
      <c r="A288" s="267">
        <v>41863.996527777781</v>
      </c>
      <c r="B288">
        <v>20.93</v>
      </c>
      <c r="C288">
        <v>40.409999999999997</v>
      </c>
    </row>
    <row r="289" spans="1:1">
      <c r="A289" s="267"/>
    </row>
    <row r="290" spans="1:1">
      <c r="A290" s="267"/>
    </row>
    <row r="291" spans="1:1">
      <c r="A291" s="267"/>
    </row>
    <row r="292" spans="1:1">
      <c r="A292" s="267"/>
    </row>
    <row r="293" spans="1:1">
      <c r="A293" s="267"/>
    </row>
    <row r="294" spans="1:1">
      <c r="A294" s="267"/>
    </row>
    <row r="295" spans="1:1">
      <c r="A295" s="267"/>
    </row>
    <row r="296" spans="1:1">
      <c r="A296" s="267"/>
    </row>
    <row r="297" spans="1:1">
      <c r="A297" s="267"/>
    </row>
    <row r="298" spans="1:1">
      <c r="A298" s="267"/>
    </row>
    <row r="299" spans="1:1">
      <c r="A299" s="267"/>
    </row>
    <row r="300" spans="1:1">
      <c r="A300" s="267"/>
    </row>
    <row r="301" spans="1:1">
      <c r="A301" s="267"/>
    </row>
    <row r="302" spans="1:1">
      <c r="A302" s="267"/>
    </row>
    <row r="303" spans="1:1">
      <c r="A303" s="267"/>
    </row>
    <row r="304" spans="1:1">
      <c r="A304" s="267"/>
    </row>
    <row r="305" spans="1:1">
      <c r="A305" s="267"/>
    </row>
    <row r="306" spans="1:1">
      <c r="A306" s="267"/>
    </row>
    <row r="307" spans="1:1">
      <c r="A307" s="267"/>
    </row>
    <row r="308" spans="1:1">
      <c r="A308" s="267"/>
    </row>
    <row r="309" spans="1:1">
      <c r="A309" s="267"/>
    </row>
    <row r="310" spans="1:1">
      <c r="A310" s="267"/>
    </row>
    <row r="311" spans="1:1">
      <c r="A311" s="267"/>
    </row>
    <row r="312" spans="1:1">
      <c r="A312" s="267"/>
    </row>
    <row r="313" spans="1:1">
      <c r="A313" s="267"/>
    </row>
    <row r="314" spans="1:1">
      <c r="A314" s="267"/>
    </row>
    <row r="315" spans="1:1">
      <c r="A315" s="267"/>
    </row>
    <row r="316" spans="1:1">
      <c r="A316" s="267"/>
    </row>
    <row r="317" spans="1:1">
      <c r="A317" s="267"/>
    </row>
    <row r="318" spans="1:1">
      <c r="A318" s="267"/>
    </row>
    <row r="319" spans="1:1">
      <c r="A319" s="267"/>
    </row>
    <row r="320" spans="1:1">
      <c r="A320" s="267"/>
    </row>
    <row r="321" spans="1:1">
      <c r="A321" s="267"/>
    </row>
    <row r="322" spans="1:1">
      <c r="A322" s="267"/>
    </row>
    <row r="323" spans="1:1">
      <c r="A323" s="267"/>
    </row>
    <row r="324" spans="1:1">
      <c r="A324" s="267"/>
    </row>
    <row r="325" spans="1:1">
      <c r="A325" s="267"/>
    </row>
    <row r="326" spans="1:1">
      <c r="A326" s="267"/>
    </row>
    <row r="327" spans="1:1">
      <c r="A327" s="267"/>
    </row>
    <row r="328" spans="1:1">
      <c r="A328" s="267"/>
    </row>
    <row r="329" spans="1:1">
      <c r="A329" s="267"/>
    </row>
    <row r="330" spans="1:1">
      <c r="A330" s="267"/>
    </row>
    <row r="331" spans="1:1">
      <c r="A331" s="267"/>
    </row>
    <row r="332" spans="1:1">
      <c r="A332" s="267"/>
    </row>
    <row r="333" spans="1:1">
      <c r="A333" s="267"/>
    </row>
    <row r="334" spans="1:1">
      <c r="A334" s="267"/>
    </row>
    <row r="335" spans="1:1">
      <c r="A335" s="267"/>
    </row>
    <row r="336" spans="1:1">
      <c r="A336" s="267"/>
    </row>
    <row r="337" spans="1:1">
      <c r="A337" s="267"/>
    </row>
    <row r="338" spans="1:1">
      <c r="A338" s="267"/>
    </row>
    <row r="339" spans="1:1">
      <c r="A339" s="267"/>
    </row>
    <row r="340" spans="1:1">
      <c r="A340" s="267"/>
    </row>
    <row r="341" spans="1:1">
      <c r="A341" s="267"/>
    </row>
    <row r="342" spans="1:1">
      <c r="A342" s="267"/>
    </row>
    <row r="343" spans="1:1">
      <c r="A343" s="267"/>
    </row>
    <row r="344" spans="1:1">
      <c r="A344" s="267"/>
    </row>
    <row r="345" spans="1:1">
      <c r="A345" s="267"/>
    </row>
    <row r="346" spans="1:1">
      <c r="A346" s="267"/>
    </row>
    <row r="347" spans="1:1">
      <c r="A347" s="267"/>
    </row>
    <row r="348" spans="1:1">
      <c r="A348" s="267"/>
    </row>
    <row r="349" spans="1:1">
      <c r="A349" s="267"/>
    </row>
    <row r="350" spans="1:1">
      <c r="A350" s="267"/>
    </row>
    <row r="351" spans="1:1">
      <c r="A351" s="267"/>
    </row>
    <row r="352" spans="1:1">
      <c r="A352" s="267"/>
    </row>
    <row r="353" spans="1:1">
      <c r="A353" s="267"/>
    </row>
    <row r="354" spans="1:1">
      <c r="A354" s="267"/>
    </row>
    <row r="355" spans="1:1">
      <c r="A355" s="267"/>
    </row>
    <row r="356" spans="1:1">
      <c r="A356" s="267"/>
    </row>
    <row r="357" spans="1:1">
      <c r="A357" s="267"/>
    </row>
    <row r="358" spans="1:1">
      <c r="A358" s="267"/>
    </row>
    <row r="359" spans="1:1">
      <c r="A359" s="267"/>
    </row>
    <row r="360" spans="1:1">
      <c r="A360" s="267"/>
    </row>
    <row r="361" spans="1:1">
      <c r="A361" s="267"/>
    </row>
    <row r="362" spans="1:1">
      <c r="A362" s="267"/>
    </row>
    <row r="363" spans="1:1">
      <c r="A363" s="267"/>
    </row>
    <row r="364" spans="1:1">
      <c r="A364" s="267"/>
    </row>
    <row r="365" spans="1:1">
      <c r="A365" s="267"/>
    </row>
    <row r="366" spans="1:1">
      <c r="A366" s="267"/>
    </row>
    <row r="367" spans="1:1">
      <c r="A367" s="267"/>
    </row>
    <row r="368" spans="1:1">
      <c r="A368" s="267"/>
    </row>
    <row r="369" spans="1:1">
      <c r="A369" s="267"/>
    </row>
    <row r="370" spans="1:1">
      <c r="A370" s="267"/>
    </row>
    <row r="371" spans="1:1">
      <c r="A371" s="267"/>
    </row>
    <row r="372" spans="1:1">
      <c r="A372" s="267"/>
    </row>
    <row r="373" spans="1:1">
      <c r="A373" s="267"/>
    </row>
    <row r="374" spans="1:1">
      <c r="A374" s="267"/>
    </row>
    <row r="375" spans="1:1">
      <c r="A375" s="267"/>
    </row>
    <row r="376" spans="1:1">
      <c r="A376" s="267"/>
    </row>
    <row r="377" spans="1:1">
      <c r="A377" s="267"/>
    </row>
    <row r="378" spans="1:1">
      <c r="A378" s="267"/>
    </row>
    <row r="379" spans="1:1">
      <c r="A379" s="267"/>
    </row>
    <row r="380" spans="1:1">
      <c r="A380" s="267"/>
    </row>
    <row r="381" spans="1:1">
      <c r="A381" s="267"/>
    </row>
    <row r="382" spans="1:1">
      <c r="A382" s="267"/>
    </row>
    <row r="383" spans="1:1">
      <c r="A383" s="267"/>
    </row>
    <row r="384" spans="1:1">
      <c r="A384" s="267"/>
    </row>
    <row r="385" spans="1:1">
      <c r="A385" s="267"/>
    </row>
    <row r="386" spans="1:1">
      <c r="A386" s="267"/>
    </row>
    <row r="387" spans="1:1">
      <c r="A387" s="267"/>
    </row>
    <row r="388" spans="1:1">
      <c r="A388" s="267"/>
    </row>
    <row r="389" spans="1:1">
      <c r="A389" s="267"/>
    </row>
    <row r="390" spans="1:1">
      <c r="A390" s="267"/>
    </row>
    <row r="391" spans="1:1">
      <c r="A391" s="267"/>
    </row>
    <row r="392" spans="1:1">
      <c r="A392" s="267"/>
    </row>
    <row r="393" spans="1:1">
      <c r="A393" s="267"/>
    </row>
    <row r="394" spans="1:1">
      <c r="A394" s="267"/>
    </row>
    <row r="395" spans="1:1">
      <c r="A395" s="267"/>
    </row>
    <row r="396" spans="1:1">
      <c r="A396" s="267"/>
    </row>
    <row r="397" spans="1:1">
      <c r="A397" s="267"/>
    </row>
    <row r="398" spans="1:1">
      <c r="A398" s="267"/>
    </row>
    <row r="399" spans="1:1">
      <c r="A399" s="267"/>
    </row>
    <row r="400" spans="1:1">
      <c r="A400" s="267"/>
    </row>
    <row r="401" spans="1:1">
      <c r="A401" s="267"/>
    </row>
    <row r="402" spans="1:1">
      <c r="A402" s="267"/>
    </row>
    <row r="403" spans="1:1">
      <c r="A403" s="267"/>
    </row>
    <row r="404" spans="1:1">
      <c r="A404" s="267"/>
    </row>
    <row r="405" spans="1:1">
      <c r="A405" s="267"/>
    </row>
    <row r="406" spans="1:1">
      <c r="A406" s="267"/>
    </row>
    <row r="407" spans="1:1">
      <c r="A407" s="267"/>
    </row>
    <row r="408" spans="1:1">
      <c r="A408" s="267"/>
    </row>
    <row r="409" spans="1:1">
      <c r="A409" s="267"/>
    </row>
    <row r="410" spans="1:1">
      <c r="A410" s="267"/>
    </row>
    <row r="411" spans="1:1">
      <c r="A411" s="267"/>
    </row>
    <row r="412" spans="1:1">
      <c r="A412" s="267"/>
    </row>
    <row r="413" spans="1:1">
      <c r="A413" s="267"/>
    </row>
    <row r="414" spans="1:1">
      <c r="A414" s="267"/>
    </row>
    <row r="415" spans="1:1">
      <c r="A415" s="267"/>
    </row>
    <row r="416" spans="1:1">
      <c r="A416" s="267"/>
    </row>
    <row r="417" spans="1:1">
      <c r="A417" s="267"/>
    </row>
    <row r="418" spans="1:1">
      <c r="A418" s="267"/>
    </row>
    <row r="419" spans="1:1">
      <c r="A419" s="267"/>
    </row>
    <row r="420" spans="1:1">
      <c r="A420" s="267"/>
    </row>
    <row r="421" spans="1:1">
      <c r="A421" s="267"/>
    </row>
    <row r="422" spans="1:1">
      <c r="A422" s="267"/>
    </row>
    <row r="423" spans="1:1">
      <c r="A423" s="267"/>
    </row>
    <row r="424" spans="1:1">
      <c r="A424" s="267"/>
    </row>
    <row r="425" spans="1:1">
      <c r="A425" s="267"/>
    </row>
    <row r="426" spans="1:1">
      <c r="A426" s="267"/>
    </row>
    <row r="427" spans="1:1">
      <c r="A427" s="267"/>
    </row>
    <row r="428" spans="1:1">
      <c r="A428" s="267"/>
    </row>
    <row r="429" spans="1:1">
      <c r="A429" s="267"/>
    </row>
    <row r="430" spans="1:1">
      <c r="A430" s="267"/>
    </row>
    <row r="431" spans="1:1">
      <c r="A431" s="267"/>
    </row>
    <row r="432" spans="1:1">
      <c r="A432" s="267"/>
    </row>
    <row r="433" spans="1:1">
      <c r="A433" s="267"/>
    </row>
    <row r="434" spans="1:1">
      <c r="A434" s="267"/>
    </row>
    <row r="435" spans="1:1">
      <c r="A435" s="267"/>
    </row>
    <row r="436" spans="1:1">
      <c r="A436" s="267"/>
    </row>
    <row r="437" spans="1:1">
      <c r="A437" s="267"/>
    </row>
    <row r="438" spans="1:1">
      <c r="A438" s="267"/>
    </row>
    <row r="439" spans="1:1">
      <c r="A439" s="267"/>
    </row>
    <row r="440" spans="1:1">
      <c r="A440" s="267"/>
    </row>
    <row r="441" spans="1:1">
      <c r="A441" s="267"/>
    </row>
    <row r="442" spans="1:1">
      <c r="A442" s="267"/>
    </row>
    <row r="443" spans="1:1">
      <c r="A443" s="267"/>
    </row>
    <row r="444" spans="1:1">
      <c r="A444" s="267"/>
    </row>
    <row r="445" spans="1:1">
      <c r="A445" s="267"/>
    </row>
    <row r="446" spans="1:1">
      <c r="A446" s="267"/>
    </row>
    <row r="447" spans="1:1">
      <c r="A447" s="267"/>
    </row>
    <row r="448" spans="1:1">
      <c r="A448" s="267"/>
    </row>
    <row r="449" spans="1:1">
      <c r="A449" s="267"/>
    </row>
    <row r="450" spans="1:1">
      <c r="A450" s="267"/>
    </row>
    <row r="451" spans="1:1">
      <c r="A451" s="267"/>
    </row>
    <row r="452" spans="1:1">
      <c r="A452" s="267"/>
    </row>
    <row r="453" spans="1:1">
      <c r="A453" s="267"/>
    </row>
    <row r="454" spans="1:1">
      <c r="A454" s="267"/>
    </row>
    <row r="455" spans="1:1">
      <c r="A455" s="267"/>
    </row>
    <row r="456" spans="1:1">
      <c r="A456" s="267"/>
    </row>
    <row r="457" spans="1:1">
      <c r="A457" s="267"/>
    </row>
    <row r="458" spans="1:1">
      <c r="A458" s="267"/>
    </row>
    <row r="459" spans="1:1">
      <c r="A459" s="267"/>
    </row>
    <row r="460" spans="1:1">
      <c r="A460" s="267"/>
    </row>
    <row r="461" spans="1:1">
      <c r="A461" s="267"/>
    </row>
    <row r="462" spans="1:1">
      <c r="A462" s="267"/>
    </row>
    <row r="463" spans="1:1">
      <c r="A463" s="267"/>
    </row>
    <row r="464" spans="1:1">
      <c r="A464" s="267"/>
    </row>
    <row r="465" spans="1:1">
      <c r="A465" s="267"/>
    </row>
    <row r="466" spans="1:1">
      <c r="A466" s="267"/>
    </row>
    <row r="467" spans="1:1">
      <c r="A467" s="267"/>
    </row>
    <row r="468" spans="1:1">
      <c r="A468" s="267"/>
    </row>
    <row r="469" spans="1:1">
      <c r="A469" s="267"/>
    </row>
    <row r="470" spans="1:1">
      <c r="A470" s="267"/>
    </row>
    <row r="471" spans="1:1">
      <c r="A471" s="267"/>
    </row>
    <row r="472" spans="1:1">
      <c r="A472" s="267"/>
    </row>
    <row r="473" spans="1:1">
      <c r="A473" s="267"/>
    </row>
    <row r="474" spans="1:1">
      <c r="A474" s="267"/>
    </row>
    <row r="475" spans="1:1">
      <c r="A475" s="267"/>
    </row>
    <row r="476" spans="1:1">
      <c r="A476" s="267"/>
    </row>
    <row r="477" spans="1:1">
      <c r="A477" s="267"/>
    </row>
    <row r="478" spans="1:1">
      <c r="A478" s="267"/>
    </row>
    <row r="479" spans="1:1">
      <c r="A479" s="267"/>
    </row>
    <row r="480" spans="1:1">
      <c r="A480" s="267"/>
    </row>
    <row r="481" spans="1:1">
      <c r="A481" s="267"/>
    </row>
    <row r="482" spans="1:1">
      <c r="A482" s="267"/>
    </row>
    <row r="483" spans="1:1">
      <c r="A483" s="267"/>
    </row>
    <row r="484" spans="1:1">
      <c r="A484" s="267"/>
    </row>
    <row r="485" spans="1:1">
      <c r="A485" s="267"/>
    </row>
    <row r="486" spans="1:1">
      <c r="A486" s="267"/>
    </row>
    <row r="487" spans="1:1">
      <c r="A487" s="267"/>
    </row>
    <row r="488" spans="1:1">
      <c r="A488" s="267"/>
    </row>
    <row r="489" spans="1:1">
      <c r="A489" s="267"/>
    </row>
    <row r="490" spans="1:1">
      <c r="A490" s="267"/>
    </row>
    <row r="491" spans="1:1">
      <c r="A491" s="267"/>
    </row>
    <row r="492" spans="1:1">
      <c r="A492" s="267"/>
    </row>
    <row r="493" spans="1:1">
      <c r="A493" s="267"/>
    </row>
    <row r="494" spans="1:1">
      <c r="A494" s="267"/>
    </row>
    <row r="495" spans="1:1">
      <c r="A495" s="267"/>
    </row>
    <row r="496" spans="1:1">
      <c r="A496" s="267"/>
    </row>
    <row r="497" spans="1:1">
      <c r="A497" s="267"/>
    </row>
    <row r="498" spans="1:1">
      <c r="A498" s="267"/>
    </row>
    <row r="499" spans="1:1">
      <c r="A499" s="267"/>
    </row>
    <row r="500" spans="1:1">
      <c r="A500" s="267"/>
    </row>
    <row r="501" spans="1:1">
      <c r="A501" s="267"/>
    </row>
    <row r="502" spans="1:1">
      <c r="A502" s="267"/>
    </row>
    <row r="503" spans="1:1">
      <c r="A503" s="267"/>
    </row>
    <row r="504" spans="1:1">
      <c r="A504" s="267"/>
    </row>
    <row r="505" spans="1:1">
      <c r="A505" s="267"/>
    </row>
    <row r="506" spans="1:1">
      <c r="A506" s="267"/>
    </row>
    <row r="507" spans="1:1">
      <c r="A507" s="267"/>
    </row>
    <row r="508" spans="1:1">
      <c r="A508" s="267"/>
    </row>
    <row r="509" spans="1:1">
      <c r="A509" s="267"/>
    </row>
    <row r="510" spans="1:1">
      <c r="A510" s="267"/>
    </row>
    <row r="511" spans="1:1">
      <c r="A511" s="267"/>
    </row>
    <row r="512" spans="1:1">
      <c r="A512" s="267"/>
    </row>
    <row r="513" spans="1:1">
      <c r="A513" s="267"/>
    </row>
    <row r="514" spans="1:1">
      <c r="A514" s="267"/>
    </row>
    <row r="515" spans="1:1">
      <c r="A515" s="267"/>
    </row>
    <row r="516" spans="1:1">
      <c r="A516" s="267"/>
    </row>
    <row r="517" spans="1:1">
      <c r="A517" s="267"/>
    </row>
    <row r="518" spans="1:1">
      <c r="A518" s="267"/>
    </row>
    <row r="519" spans="1:1">
      <c r="A519" s="267"/>
    </row>
    <row r="520" spans="1:1">
      <c r="A520" s="267"/>
    </row>
    <row r="521" spans="1:1">
      <c r="A521" s="267"/>
    </row>
    <row r="522" spans="1:1">
      <c r="A522" s="267"/>
    </row>
    <row r="523" spans="1:1">
      <c r="A523" s="267"/>
    </row>
    <row r="524" spans="1:1">
      <c r="A524" s="267"/>
    </row>
    <row r="525" spans="1:1">
      <c r="A525" s="267"/>
    </row>
    <row r="526" spans="1:1">
      <c r="A526" s="267"/>
    </row>
    <row r="527" spans="1:1">
      <c r="A527" s="267"/>
    </row>
    <row r="528" spans="1:1">
      <c r="A528" s="267"/>
    </row>
    <row r="529" spans="1:1">
      <c r="A529" s="267"/>
    </row>
    <row r="530" spans="1:1">
      <c r="A530" s="267"/>
    </row>
    <row r="531" spans="1:1">
      <c r="A531" s="267"/>
    </row>
    <row r="532" spans="1:1">
      <c r="A532" s="267"/>
    </row>
    <row r="533" spans="1:1">
      <c r="A533" s="267"/>
    </row>
    <row r="534" spans="1:1">
      <c r="A534" s="267"/>
    </row>
    <row r="535" spans="1:1">
      <c r="A535" s="267"/>
    </row>
    <row r="536" spans="1:1">
      <c r="A536" s="267"/>
    </row>
    <row r="537" spans="1:1">
      <c r="A537" s="267"/>
    </row>
    <row r="538" spans="1:1">
      <c r="A538" s="267"/>
    </row>
    <row r="539" spans="1:1">
      <c r="A539" s="267"/>
    </row>
    <row r="540" spans="1:1">
      <c r="A540" s="267"/>
    </row>
    <row r="541" spans="1:1">
      <c r="A541" s="267"/>
    </row>
    <row r="542" spans="1:1">
      <c r="A542" s="267"/>
    </row>
    <row r="543" spans="1:1">
      <c r="A543" s="267"/>
    </row>
    <row r="544" spans="1:1">
      <c r="A544" s="267"/>
    </row>
    <row r="545" spans="1:1">
      <c r="A545" s="267"/>
    </row>
    <row r="546" spans="1:1">
      <c r="A546" s="267"/>
    </row>
    <row r="547" spans="1:1">
      <c r="A547" s="267"/>
    </row>
    <row r="548" spans="1:1">
      <c r="A548" s="267"/>
    </row>
    <row r="549" spans="1:1">
      <c r="A549" s="267"/>
    </row>
    <row r="550" spans="1:1">
      <c r="A550" s="267"/>
    </row>
    <row r="551" spans="1:1">
      <c r="A551" s="267"/>
    </row>
    <row r="552" spans="1:1">
      <c r="A552" s="267"/>
    </row>
    <row r="553" spans="1:1">
      <c r="A553" s="267"/>
    </row>
    <row r="554" spans="1:1">
      <c r="A554" s="267"/>
    </row>
    <row r="555" spans="1:1">
      <c r="A555" s="267"/>
    </row>
    <row r="556" spans="1:1">
      <c r="A556" s="267"/>
    </row>
    <row r="557" spans="1:1">
      <c r="A557" s="267"/>
    </row>
    <row r="558" spans="1:1">
      <c r="A558" s="267"/>
    </row>
    <row r="559" spans="1:1">
      <c r="A559" s="267"/>
    </row>
    <row r="560" spans="1:1">
      <c r="A560" s="267"/>
    </row>
    <row r="561" spans="1:1">
      <c r="A561" s="267"/>
    </row>
    <row r="562" spans="1:1">
      <c r="A562" s="267"/>
    </row>
    <row r="563" spans="1:1">
      <c r="A563" s="267"/>
    </row>
    <row r="564" spans="1:1">
      <c r="A564" s="267"/>
    </row>
    <row r="565" spans="1:1">
      <c r="A565" s="267"/>
    </row>
    <row r="566" spans="1:1">
      <c r="A566" s="267"/>
    </row>
    <row r="567" spans="1:1">
      <c r="A567" s="267"/>
    </row>
    <row r="568" spans="1:1">
      <c r="A568" s="267"/>
    </row>
    <row r="569" spans="1:1">
      <c r="A569" s="267"/>
    </row>
    <row r="570" spans="1:1">
      <c r="A570" s="267"/>
    </row>
    <row r="571" spans="1:1">
      <c r="A571" s="267"/>
    </row>
    <row r="572" spans="1:1">
      <c r="A572" s="267"/>
    </row>
    <row r="573" spans="1:1">
      <c r="A573" s="267"/>
    </row>
    <row r="574" spans="1:1">
      <c r="A574" s="267"/>
    </row>
    <row r="575" spans="1:1">
      <c r="A575" s="267"/>
    </row>
    <row r="576" spans="1:1">
      <c r="A576" s="267"/>
    </row>
    <row r="577" spans="1:1">
      <c r="A577" s="267"/>
    </row>
    <row r="578" spans="1:1">
      <c r="A578" s="267"/>
    </row>
    <row r="579" spans="1:1">
      <c r="A579" s="267"/>
    </row>
    <row r="580" spans="1:1">
      <c r="A580" s="267"/>
    </row>
    <row r="581" spans="1:1">
      <c r="A581" s="267"/>
    </row>
    <row r="582" spans="1:1">
      <c r="A582" s="267"/>
    </row>
    <row r="583" spans="1:1">
      <c r="A583" s="267"/>
    </row>
    <row r="584" spans="1:1">
      <c r="A584" s="267"/>
    </row>
    <row r="585" spans="1:1">
      <c r="A585" s="267"/>
    </row>
    <row r="586" spans="1:1">
      <c r="A586" s="267"/>
    </row>
    <row r="587" spans="1:1">
      <c r="A587" s="267"/>
    </row>
    <row r="588" spans="1:1">
      <c r="A588" s="267"/>
    </row>
    <row r="589" spans="1:1">
      <c r="A589" s="267"/>
    </row>
    <row r="590" spans="1:1">
      <c r="A590" s="267"/>
    </row>
    <row r="591" spans="1:1">
      <c r="A591" s="267"/>
    </row>
    <row r="592" spans="1:1">
      <c r="A592" s="267"/>
    </row>
    <row r="593" spans="1:1">
      <c r="A593" s="267"/>
    </row>
    <row r="594" spans="1:1">
      <c r="A594" s="267"/>
    </row>
    <row r="595" spans="1:1">
      <c r="A595" s="267"/>
    </row>
    <row r="596" spans="1:1">
      <c r="A596" s="267"/>
    </row>
    <row r="597" spans="1:1">
      <c r="A597" s="267"/>
    </row>
    <row r="598" spans="1:1">
      <c r="A598" s="267"/>
    </row>
    <row r="599" spans="1:1">
      <c r="A599" s="267"/>
    </row>
    <row r="600" spans="1:1">
      <c r="A600" s="267"/>
    </row>
    <row r="601" spans="1:1">
      <c r="A601" s="267"/>
    </row>
    <row r="602" spans="1:1">
      <c r="A602" s="267"/>
    </row>
    <row r="603" spans="1:1">
      <c r="A603" s="267"/>
    </row>
    <row r="604" spans="1:1">
      <c r="A604" s="267"/>
    </row>
    <row r="605" spans="1:1">
      <c r="A605" s="267"/>
    </row>
    <row r="606" spans="1:1">
      <c r="A606" s="267"/>
    </row>
    <row r="607" spans="1:1">
      <c r="A607" s="267"/>
    </row>
    <row r="608" spans="1:1">
      <c r="A608" s="267"/>
    </row>
    <row r="609" spans="1:1">
      <c r="A609" s="267"/>
    </row>
    <row r="610" spans="1:1">
      <c r="A610" s="267"/>
    </row>
    <row r="611" spans="1:1">
      <c r="A611" s="267"/>
    </row>
    <row r="612" spans="1:1">
      <c r="A612" s="267"/>
    </row>
    <row r="613" spans="1:1">
      <c r="A613" s="267"/>
    </row>
    <row r="614" spans="1:1">
      <c r="A614" s="267"/>
    </row>
    <row r="615" spans="1:1">
      <c r="A615" s="267"/>
    </row>
    <row r="616" spans="1:1">
      <c r="A616" s="267"/>
    </row>
    <row r="617" spans="1:1">
      <c r="A617" s="267"/>
    </row>
    <row r="618" spans="1:1">
      <c r="A618" s="267"/>
    </row>
    <row r="619" spans="1:1">
      <c r="A619" s="267"/>
    </row>
    <row r="620" spans="1:1">
      <c r="A620" s="267"/>
    </row>
    <row r="621" spans="1:1">
      <c r="A621" s="267"/>
    </row>
    <row r="622" spans="1:1">
      <c r="A622" s="267"/>
    </row>
    <row r="623" spans="1:1">
      <c r="A623" s="267"/>
    </row>
    <row r="624" spans="1:1">
      <c r="A624" s="267"/>
    </row>
    <row r="625" spans="1:1">
      <c r="A625" s="267"/>
    </row>
    <row r="626" spans="1:1">
      <c r="A626" s="267"/>
    </row>
    <row r="627" spans="1:1">
      <c r="A627" s="267"/>
    </row>
    <row r="628" spans="1:1">
      <c r="A628" s="267"/>
    </row>
    <row r="629" spans="1:1">
      <c r="A629" s="267"/>
    </row>
    <row r="630" spans="1:1">
      <c r="A630" s="267"/>
    </row>
    <row r="631" spans="1:1">
      <c r="A631" s="267"/>
    </row>
    <row r="632" spans="1:1">
      <c r="A632" s="267"/>
    </row>
    <row r="633" spans="1:1">
      <c r="A633" s="267"/>
    </row>
    <row r="634" spans="1:1">
      <c r="A634" s="267"/>
    </row>
    <row r="635" spans="1:1">
      <c r="A635" s="267"/>
    </row>
    <row r="636" spans="1:1">
      <c r="A636" s="267"/>
    </row>
    <row r="637" spans="1:1">
      <c r="A637" s="267"/>
    </row>
    <row r="638" spans="1:1">
      <c r="A638" s="267"/>
    </row>
    <row r="639" spans="1:1">
      <c r="A639" s="267"/>
    </row>
    <row r="640" spans="1:1">
      <c r="A640" s="267"/>
    </row>
    <row r="641" spans="1:1">
      <c r="A641" s="267"/>
    </row>
    <row r="642" spans="1:1">
      <c r="A642" s="267"/>
    </row>
    <row r="643" spans="1:1">
      <c r="A643" s="267"/>
    </row>
    <row r="644" spans="1:1">
      <c r="A644" s="267"/>
    </row>
    <row r="645" spans="1:1">
      <c r="A645" s="267"/>
    </row>
    <row r="646" spans="1:1">
      <c r="A646" s="267"/>
    </row>
    <row r="647" spans="1:1">
      <c r="A647" s="267"/>
    </row>
    <row r="648" spans="1:1">
      <c r="A648" s="267"/>
    </row>
    <row r="649" spans="1:1">
      <c r="A649" s="267"/>
    </row>
    <row r="650" spans="1:1">
      <c r="A650" s="267"/>
    </row>
    <row r="651" spans="1:1">
      <c r="A651" s="267"/>
    </row>
    <row r="652" spans="1:1">
      <c r="A652" s="267"/>
    </row>
    <row r="653" spans="1:1">
      <c r="A653" s="267"/>
    </row>
    <row r="654" spans="1:1">
      <c r="A654" s="267"/>
    </row>
    <row r="655" spans="1:1">
      <c r="A655" s="267"/>
    </row>
    <row r="656" spans="1:1">
      <c r="A656" s="267"/>
    </row>
    <row r="657" spans="1:1">
      <c r="A657" s="267"/>
    </row>
    <row r="658" spans="1:1">
      <c r="A658" s="267"/>
    </row>
    <row r="659" spans="1:1">
      <c r="A659" s="267"/>
    </row>
    <row r="660" spans="1:1">
      <c r="A660" s="267"/>
    </row>
    <row r="661" spans="1:1">
      <c r="A661" s="267"/>
    </row>
    <row r="662" spans="1:1">
      <c r="A662" s="267"/>
    </row>
    <row r="663" spans="1:1">
      <c r="A663" s="267"/>
    </row>
    <row r="664" spans="1:1">
      <c r="A664" s="267"/>
    </row>
    <row r="665" spans="1:1">
      <c r="A665" s="267"/>
    </row>
    <row r="666" spans="1:1">
      <c r="A666" s="267"/>
    </row>
    <row r="667" spans="1:1">
      <c r="A667" s="267"/>
    </row>
    <row r="668" spans="1:1">
      <c r="A668" s="267"/>
    </row>
    <row r="669" spans="1:1">
      <c r="A669" s="267"/>
    </row>
    <row r="670" spans="1:1">
      <c r="A670" s="267"/>
    </row>
    <row r="671" spans="1:1">
      <c r="A671" s="267"/>
    </row>
    <row r="672" spans="1:1">
      <c r="A672" s="267"/>
    </row>
    <row r="673" spans="1:1">
      <c r="A673" s="267"/>
    </row>
    <row r="674" spans="1:1">
      <c r="A674" s="267"/>
    </row>
    <row r="675" spans="1:1">
      <c r="A675" s="267"/>
    </row>
    <row r="676" spans="1:1">
      <c r="A676" s="267"/>
    </row>
    <row r="677" spans="1:1">
      <c r="A677" s="267"/>
    </row>
    <row r="678" spans="1:1">
      <c r="A678" s="267"/>
    </row>
    <row r="679" spans="1:1">
      <c r="A679" s="267"/>
    </row>
    <row r="680" spans="1:1">
      <c r="A680" s="267"/>
    </row>
    <row r="681" spans="1:1">
      <c r="A681" s="267"/>
    </row>
    <row r="682" spans="1:1">
      <c r="A682" s="267"/>
    </row>
    <row r="683" spans="1:1">
      <c r="A683" s="267"/>
    </row>
    <row r="684" spans="1:1">
      <c r="A684" s="267"/>
    </row>
    <row r="685" spans="1:1">
      <c r="A685" s="267"/>
    </row>
    <row r="686" spans="1:1">
      <c r="A686" s="267"/>
    </row>
    <row r="687" spans="1:1">
      <c r="A687" s="267"/>
    </row>
    <row r="688" spans="1:1">
      <c r="A688" s="267"/>
    </row>
    <row r="689" spans="1:1">
      <c r="A689" s="267"/>
    </row>
    <row r="690" spans="1:1">
      <c r="A690" s="267"/>
    </row>
    <row r="691" spans="1:1">
      <c r="A691" s="267"/>
    </row>
    <row r="692" spans="1:1">
      <c r="A692" s="267"/>
    </row>
    <row r="693" spans="1:1">
      <c r="A693" s="267"/>
    </row>
    <row r="694" spans="1:1">
      <c r="A694" s="267"/>
    </row>
    <row r="695" spans="1:1">
      <c r="A695" s="267"/>
    </row>
    <row r="696" spans="1:1">
      <c r="A696" s="267"/>
    </row>
    <row r="697" spans="1:1">
      <c r="A697" s="267"/>
    </row>
    <row r="698" spans="1:1">
      <c r="A698" s="267"/>
    </row>
    <row r="699" spans="1:1">
      <c r="A699" s="267"/>
    </row>
    <row r="700" spans="1:1">
      <c r="A700" s="267"/>
    </row>
    <row r="701" spans="1:1">
      <c r="A701" s="267"/>
    </row>
    <row r="702" spans="1:1">
      <c r="A702" s="267"/>
    </row>
    <row r="703" spans="1:1">
      <c r="A703" s="267"/>
    </row>
    <row r="704" spans="1:1">
      <c r="A704" s="267"/>
    </row>
    <row r="705" spans="1:1">
      <c r="A705" s="267"/>
    </row>
    <row r="706" spans="1:1">
      <c r="A706" s="267"/>
    </row>
    <row r="707" spans="1:1">
      <c r="A707" s="267"/>
    </row>
    <row r="708" spans="1:1">
      <c r="A708" s="267"/>
    </row>
    <row r="709" spans="1:1">
      <c r="A709" s="267"/>
    </row>
    <row r="710" spans="1:1">
      <c r="A710" s="267"/>
    </row>
    <row r="711" spans="1:1">
      <c r="A711" s="267"/>
    </row>
    <row r="712" spans="1:1">
      <c r="A712" s="267"/>
    </row>
    <row r="713" spans="1:1">
      <c r="A713" s="267"/>
    </row>
    <row r="714" spans="1:1">
      <c r="A714" s="267"/>
    </row>
    <row r="715" spans="1:1">
      <c r="A715" s="267"/>
    </row>
    <row r="716" spans="1:1">
      <c r="A716" s="267"/>
    </row>
    <row r="717" spans="1:1">
      <c r="A717" s="267"/>
    </row>
    <row r="718" spans="1:1">
      <c r="A718" s="267"/>
    </row>
    <row r="719" spans="1:1">
      <c r="A719" s="267"/>
    </row>
    <row r="720" spans="1:1">
      <c r="A720" s="267"/>
    </row>
    <row r="721" spans="1:1">
      <c r="A721" s="267"/>
    </row>
    <row r="722" spans="1:1">
      <c r="A722" s="267"/>
    </row>
    <row r="723" spans="1:1">
      <c r="A723" s="267"/>
    </row>
    <row r="724" spans="1:1">
      <c r="A724" s="267"/>
    </row>
    <row r="725" spans="1:1">
      <c r="A725" s="267"/>
    </row>
    <row r="726" spans="1:1">
      <c r="A726" s="267"/>
    </row>
    <row r="727" spans="1:1">
      <c r="A727" s="267"/>
    </row>
    <row r="728" spans="1:1">
      <c r="A728" s="267"/>
    </row>
    <row r="729" spans="1:1">
      <c r="A729" s="267"/>
    </row>
    <row r="730" spans="1:1">
      <c r="A730" s="267"/>
    </row>
    <row r="731" spans="1:1">
      <c r="A731" s="267"/>
    </row>
    <row r="732" spans="1:1">
      <c r="A732" s="267"/>
    </row>
    <row r="733" spans="1:1">
      <c r="A733" s="267"/>
    </row>
    <row r="734" spans="1:1">
      <c r="A734" s="267"/>
    </row>
    <row r="735" spans="1:1">
      <c r="A735" s="267"/>
    </row>
    <row r="736" spans="1:1">
      <c r="A736" s="267"/>
    </row>
    <row r="737" spans="1:1">
      <c r="A737" s="267"/>
    </row>
    <row r="738" spans="1:1">
      <c r="A738" s="267"/>
    </row>
    <row r="739" spans="1:1">
      <c r="A739" s="267"/>
    </row>
    <row r="740" spans="1:1">
      <c r="A740" s="267"/>
    </row>
    <row r="741" spans="1:1">
      <c r="A741" s="267"/>
    </row>
    <row r="742" spans="1:1">
      <c r="A742" s="267"/>
    </row>
    <row r="743" spans="1:1">
      <c r="A743" s="267"/>
    </row>
    <row r="744" spans="1:1">
      <c r="A744" s="267"/>
    </row>
    <row r="745" spans="1:1">
      <c r="A745" s="267"/>
    </row>
    <row r="746" spans="1:1">
      <c r="A746" s="267"/>
    </row>
    <row r="747" spans="1:1">
      <c r="A747" s="267"/>
    </row>
    <row r="748" spans="1:1">
      <c r="A748" s="267"/>
    </row>
    <row r="749" spans="1:1">
      <c r="A749" s="267"/>
    </row>
    <row r="750" spans="1:1">
      <c r="A750" s="267"/>
    </row>
    <row r="751" spans="1:1">
      <c r="A751" s="267"/>
    </row>
    <row r="752" spans="1:1">
      <c r="A752" s="267"/>
    </row>
    <row r="753" spans="1:1">
      <c r="A753" s="267"/>
    </row>
    <row r="754" spans="1:1">
      <c r="A754" s="267"/>
    </row>
    <row r="755" spans="1:1">
      <c r="A755" s="267"/>
    </row>
    <row r="756" spans="1:1">
      <c r="A756" s="267"/>
    </row>
    <row r="757" spans="1:1">
      <c r="A757" s="267"/>
    </row>
    <row r="758" spans="1:1">
      <c r="A758" s="267"/>
    </row>
    <row r="759" spans="1:1">
      <c r="A759" s="267"/>
    </row>
    <row r="760" spans="1:1">
      <c r="A760" s="267"/>
    </row>
    <row r="761" spans="1:1">
      <c r="A761" s="267"/>
    </row>
    <row r="762" spans="1:1">
      <c r="A762" s="267"/>
    </row>
    <row r="763" spans="1:1">
      <c r="A763" s="267"/>
    </row>
    <row r="764" spans="1:1">
      <c r="A764" s="267"/>
    </row>
    <row r="765" spans="1:1">
      <c r="A765" s="267"/>
    </row>
    <row r="766" spans="1:1">
      <c r="A766" s="267"/>
    </row>
    <row r="767" spans="1:1">
      <c r="A767" s="267"/>
    </row>
    <row r="768" spans="1:1">
      <c r="A768" s="2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42</vt:i4>
      </vt:variant>
    </vt:vector>
  </HeadingPairs>
  <TitlesOfParts>
    <vt:vector size="55" baseType="lpstr">
      <vt:lpstr>Commentary</vt:lpstr>
      <vt:lpstr>pyUBreadings</vt:lpstr>
      <vt:lpstr>pyUBresults</vt:lpstr>
      <vt:lpstr>pyReport</vt:lpstr>
      <vt:lpstr>Results</vt:lpstr>
      <vt:lpstr>Universal Bridge</vt:lpstr>
      <vt:lpstr>Uncertainty</vt:lpstr>
      <vt:lpstr>Report</vt:lpstr>
      <vt:lpstr>Range7</vt:lpstr>
      <vt:lpstr>HP History</vt:lpstr>
      <vt:lpstr>AH_reading_280121</vt:lpstr>
      <vt:lpstr>AH_manual_200121</vt:lpstr>
      <vt:lpstr>RoomLogger</vt:lpstr>
      <vt:lpstr>alpha</vt:lpstr>
      <vt:lpstr>beta</vt:lpstr>
      <vt:lpstr>C_1</vt:lpstr>
      <vt:lpstr>C_standard_uncertainty</vt:lpstr>
      <vt:lpstr>C_unit_mult</vt:lpstr>
      <vt:lpstr>correction_c</vt:lpstr>
      <vt:lpstr>corrections</vt:lpstr>
      <vt:lpstr>Data</vt:lpstr>
      <vt:lpstr>Date</vt:lpstr>
      <vt:lpstr>frequency</vt:lpstr>
      <vt:lpstr>G_1</vt:lpstr>
      <vt:lpstr>G_2</vt:lpstr>
      <vt:lpstr>G_standard_uncertainty</vt:lpstr>
      <vt:lpstr>G_unit_mult</vt:lpstr>
      <vt:lpstr>history</vt:lpstr>
      <vt:lpstr>Inductance</vt:lpstr>
      <vt:lpstr>L_standard_uncertainty</vt:lpstr>
      <vt:lpstr>L_v</vt:lpstr>
      <vt:lpstr>label</vt:lpstr>
      <vt:lpstr>multiplier</vt:lpstr>
      <vt:lpstr>Nominal_Value</vt:lpstr>
      <vt:lpstr>Old_date</vt:lpstr>
      <vt:lpstr>Old_Inductance</vt:lpstr>
      <vt:lpstr>Old_Resistance</vt:lpstr>
      <vt:lpstr>Params</vt:lpstr>
      <vt:lpstr>'HP History'!Print_Area</vt:lpstr>
      <vt:lpstr>Report!Print_Area</vt:lpstr>
      <vt:lpstr>Uncertainty!Print_Area</vt:lpstr>
      <vt:lpstr>pyanswers</vt:lpstr>
      <vt:lpstr>R_4A</vt:lpstr>
      <vt:lpstr>R_4B</vt:lpstr>
      <vt:lpstr>R_4C</vt:lpstr>
      <vt:lpstr>R_standard_uncertainty</vt:lpstr>
      <vt:lpstr>R_v</vt:lpstr>
      <vt:lpstr>Range</vt:lpstr>
      <vt:lpstr>Rangex</vt:lpstr>
      <vt:lpstr>Record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2021-01-29T00:02:10Z</cp:lastPrinted>
  <dcterms:created xsi:type="dcterms:W3CDTF">1999-09-28T04:51:25Z</dcterms:created>
  <dcterms:modified xsi:type="dcterms:W3CDTF">2021-02-02T01:25:02Z</dcterms:modified>
</cp:coreProperties>
</file>