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D6C8D0E8-493F-4CAD-8609-1EB491D46632}" xr6:coauthVersionLast="45" xr6:coauthVersionMax="45" xr10:uidLastSave="{00000000-0000-0000-0000-000000000000}"/>
  <bookViews>
    <workbookView xWindow="945" yWindow="720" windowWidth="18180" windowHeight="13185" tabRatio="596" activeTab="4" xr2:uid="{00000000-000D-0000-FFFF-FFFF00000000}"/>
  </bookViews>
  <sheets>
    <sheet name="Commentary" sheetId="11" r:id="rId1"/>
    <sheet name="Instructions" sheetId="8" r:id="rId2"/>
    <sheet name="pyUBreadings" sheetId="13" r:id="rId3"/>
    <sheet name="pyUBresults" sheetId="14" r:id="rId4"/>
    <sheet name="pyReport" sheetId="15" r:id="rId5"/>
    <sheet name="Results" sheetId="2" r:id="rId6"/>
    <sheet name="Universal Bridge" sheetId="3" r:id="rId7"/>
    <sheet name="Uncertainty" sheetId="4" r:id="rId8"/>
    <sheet name="Report" sheetId="5" r:id="rId9"/>
    <sheet name="Previous reports" sheetId="7" r:id="rId10"/>
    <sheet name="Sheet1" sheetId="10" r:id="rId11"/>
    <sheet name="Conditions" sheetId="12" r:id="rId12"/>
  </sheets>
  <externalReferences>
    <externalReference r:id="rId13"/>
  </externalReferences>
  <definedNames>
    <definedName name="alpha">Results!$D$8:$D$62</definedName>
    <definedName name="answers">pyUBresults!$A$2:$AI$56</definedName>
    <definedName name="beta">Results!$E$8:$E$62</definedName>
    <definedName name="C_1">'Universal Bridge'!$F$4</definedName>
    <definedName name="CMCFUDGE">Uncertainty!$AB$5:$AP$59</definedName>
    <definedName name="correction_c">'Universal Bridge'!$G$12</definedName>
    <definedName name="corrections">'Universal Bridge'!$F$26:$H$39</definedName>
    <definedName name="Data">'Universal Bridge'!$L$2:$T$12</definedName>
    <definedName name="Date">Results!$A$4</definedName>
    <definedName name="frequency">Results!$J$8:$J$62</definedName>
    <definedName name="G_1">'Universal Bridge'!$F$8</definedName>
    <definedName name="G_2">'Universal Bridge'!$F$9</definedName>
    <definedName name="History">'Previous reports'!$A$6:$AR$48</definedName>
    <definedName name="Inductance">Results!$F$8:$F$62</definedName>
    <definedName name="inductor1">[1]pyUBresults!$A$1:$AI$23</definedName>
    <definedName name="L_standard_uncertainty">Uncertainty!$C$24</definedName>
    <definedName name="L_v">Uncertainty!$F$24</definedName>
    <definedName name="label">Uncertainty!$B$9</definedName>
    <definedName name="multiplier">'Universal Bridge'!$F$42:$O$55</definedName>
    <definedName name="Nominal_Value">Report!$B$6:$B$25</definedName>
    <definedName name="Old_date">Results!$O$4</definedName>
    <definedName name="Old_Inductance">Results!$O$5:$O$28</definedName>
    <definedName name="Old_Resistance">Results!$R$5:$R$28</definedName>
    <definedName name="Params">Uncertainty!$S$5:$AA$59</definedName>
    <definedName name="_xlnm.Print_Area" localSheetId="8">Report!$C$2:$N$47</definedName>
    <definedName name="_xlnm.Print_Area" localSheetId="7">Uncertainty!$A$1:$AF$81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Results!$C$8:$C$62</definedName>
    <definedName name="Record">'Universal Bridge'!$A$5:$C$19</definedName>
    <definedName name="Resistance">Results!$H$8:$H$28</definedName>
    <definedName name="Results">Results!$B$8:$T$62</definedName>
    <definedName name="Tap_No">Results!#REF!</definedName>
    <definedName name="Uncertainty">Uncertainty!$AB$5:$AG$59</definedName>
    <definedName name="zeros">'Universal Bridge'!$Q$20:$S$42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" i="13" l="1"/>
  <c r="K55" i="13"/>
  <c r="AF46" i="14"/>
  <c r="AG46" i="14" s="1"/>
  <c r="AF45" i="14"/>
  <c r="AG45" i="14" s="1"/>
  <c r="AF44" i="14"/>
  <c r="AG44" i="14" s="1"/>
  <c r="AF43" i="14"/>
  <c r="AG43" i="14" s="1"/>
  <c r="AF42" i="14"/>
  <c r="AG42" i="14" s="1"/>
  <c r="AF41" i="14"/>
  <c r="AG41" i="14" s="1"/>
  <c r="AF40" i="14"/>
  <c r="AG40" i="14" s="1"/>
  <c r="AF39" i="14"/>
  <c r="AG39" i="14" s="1"/>
  <c r="AF38" i="14"/>
  <c r="AG38" i="14" s="1"/>
  <c r="AF37" i="14"/>
  <c r="AG37" i="14" s="1"/>
  <c r="AF36" i="14"/>
  <c r="AG36" i="14" s="1"/>
  <c r="AF35" i="14"/>
  <c r="AG35" i="14" s="1"/>
  <c r="AF34" i="14"/>
  <c r="AG34" i="14" s="1"/>
  <c r="AF33" i="14"/>
  <c r="AG33" i="14" s="1"/>
  <c r="AF32" i="14"/>
  <c r="AG32" i="14" s="1"/>
  <c r="K38" i="2"/>
  <c r="X24" i="14" l="1"/>
  <c r="Y24" i="14"/>
  <c r="Z24" i="14"/>
  <c r="AB24" i="14"/>
  <c r="AC24" i="14"/>
  <c r="AD24" i="14"/>
  <c r="AF24" i="14"/>
  <c r="AG24" i="14"/>
  <c r="AH24" i="14"/>
  <c r="AI24" i="14"/>
  <c r="X25" i="14"/>
  <c r="Y25" i="14"/>
  <c r="Z25" i="14"/>
  <c r="AB25" i="14"/>
  <c r="AC25" i="14"/>
  <c r="AD25" i="14"/>
  <c r="AF25" i="14"/>
  <c r="AG25" i="14"/>
  <c r="AH25" i="14"/>
  <c r="AI25" i="14"/>
  <c r="X26" i="14"/>
  <c r="Y26" i="14"/>
  <c r="Z26" i="14"/>
  <c r="AB26" i="14"/>
  <c r="AC26" i="14"/>
  <c r="AD26" i="14"/>
  <c r="AF26" i="14"/>
  <c r="AG26" i="14"/>
  <c r="AH26" i="14"/>
  <c r="I22" i="15" s="1"/>
  <c r="AI26" i="14"/>
  <c r="X27" i="14"/>
  <c r="Y27" i="14"/>
  <c r="Z27" i="14"/>
  <c r="AB27" i="14"/>
  <c r="AC27" i="14"/>
  <c r="AD27" i="14"/>
  <c r="AF27" i="14"/>
  <c r="G23" i="15" s="1"/>
  <c r="AG27" i="14"/>
  <c r="H23" i="15" s="1"/>
  <c r="AH27" i="14"/>
  <c r="I23" i="15" s="1"/>
  <c r="AI27" i="14"/>
  <c r="X28" i="14"/>
  <c r="Y28" i="14"/>
  <c r="Z28" i="14"/>
  <c r="AB28" i="14"/>
  <c r="AC28" i="14"/>
  <c r="E24" i="15" s="1"/>
  <c r="AD28" i="14"/>
  <c r="F24" i="15" s="1"/>
  <c r="AF28" i="14"/>
  <c r="G24" i="15" s="1"/>
  <c r="AG28" i="14"/>
  <c r="AH28" i="14"/>
  <c r="AI28" i="14"/>
  <c r="X29" i="14"/>
  <c r="Y29" i="14"/>
  <c r="Z29" i="14"/>
  <c r="AB29" i="14"/>
  <c r="AC29" i="14"/>
  <c r="AD29" i="14"/>
  <c r="AF29" i="14"/>
  <c r="AG29" i="14"/>
  <c r="AH29" i="14"/>
  <c r="AI29" i="14"/>
  <c r="X30" i="14"/>
  <c r="Y30" i="14"/>
  <c r="Z30" i="14"/>
  <c r="AB30" i="14"/>
  <c r="AC30" i="14"/>
  <c r="AD30" i="14"/>
  <c r="AF30" i="14"/>
  <c r="AG30" i="14"/>
  <c r="AH30" i="14"/>
  <c r="AI30" i="14"/>
  <c r="X31" i="14"/>
  <c r="Y31" i="14"/>
  <c r="Z31" i="14"/>
  <c r="AB31" i="14"/>
  <c r="AC31" i="14"/>
  <c r="AD31" i="14"/>
  <c r="AF31" i="14"/>
  <c r="AG31" i="14"/>
  <c r="AH31" i="14"/>
  <c r="AI31" i="14"/>
  <c r="X32" i="14"/>
  <c r="Y32" i="14"/>
  <c r="Z32" i="14"/>
  <c r="AB32" i="14"/>
  <c r="AC32" i="14"/>
  <c r="E28" i="15" s="1"/>
  <c r="AD32" i="14"/>
  <c r="F28" i="15" s="1"/>
  <c r="G28" i="15"/>
  <c r="H28" i="15"/>
  <c r="AH32" i="14"/>
  <c r="I28" i="15" s="1"/>
  <c r="AI32" i="14"/>
  <c r="X33" i="14"/>
  <c r="Y33" i="14"/>
  <c r="Z33" i="14"/>
  <c r="AB33" i="14"/>
  <c r="D29" i="15" s="1"/>
  <c r="AC33" i="14"/>
  <c r="E29" i="15" s="1"/>
  <c r="AD33" i="14"/>
  <c r="G29" i="15"/>
  <c r="H29" i="15"/>
  <c r="AH33" i="14"/>
  <c r="AI33" i="14"/>
  <c r="X34" i="14"/>
  <c r="Y34" i="14"/>
  <c r="Z34" i="14"/>
  <c r="AB34" i="14"/>
  <c r="D30" i="15" s="1"/>
  <c r="AC34" i="14"/>
  <c r="E30" i="15" s="1"/>
  <c r="AD34" i="14"/>
  <c r="G30" i="15"/>
  <c r="H30" i="15"/>
  <c r="AH34" i="14"/>
  <c r="I30" i="15" s="1"/>
  <c r="AI34" i="14"/>
  <c r="X35" i="14"/>
  <c r="Y35" i="14"/>
  <c r="Z35" i="14"/>
  <c r="AB35" i="14"/>
  <c r="AC35" i="14"/>
  <c r="AD35" i="14"/>
  <c r="AH35" i="14"/>
  <c r="AI35" i="14"/>
  <c r="X36" i="14"/>
  <c r="Y36" i="14"/>
  <c r="Z36" i="14"/>
  <c r="AB36" i="14"/>
  <c r="AC36" i="14"/>
  <c r="AD36" i="14"/>
  <c r="AH36" i="14"/>
  <c r="AI36" i="14"/>
  <c r="X37" i="14"/>
  <c r="Y37" i="14"/>
  <c r="Z37" i="14"/>
  <c r="AB37" i="14"/>
  <c r="AC37" i="14"/>
  <c r="AD37" i="14"/>
  <c r="AH37" i="14"/>
  <c r="AI37" i="14"/>
  <c r="X38" i="14"/>
  <c r="Y38" i="14"/>
  <c r="Z38" i="14"/>
  <c r="AB38" i="14"/>
  <c r="AC38" i="14"/>
  <c r="AD38" i="14"/>
  <c r="G31" i="15"/>
  <c r="H31" i="15"/>
  <c r="AH38" i="14"/>
  <c r="I31" i="15" s="1"/>
  <c r="AI38" i="14"/>
  <c r="X39" i="14"/>
  <c r="Y39" i="14"/>
  <c r="Z39" i="14"/>
  <c r="AB39" i="14"/>
  <c r="AC39" i="14"/>
  <c r="AD39" i="14"/>
  <c r="F32" i="15" s="1"/>
  <c r="G32" i="15"/>
  <c r="H32" i="15"/>
  <c r="AH39" i="14"/>
  <c r="I32" i="15" s="1"/>
  <c r="AI39" i="14"/>
  <c r="X40" i="14"/>
  <c r="Y40" i="14"/>
  <c r="Z40" i="14"/>
  <c r="AB40" i="14"/>
  <c r="D33" i="15" s="1"/>
  <c r="AC40" i="14"/>
  <c r="AD40" i="14"/>
  <c r="G33" i="15"/>
  <c r="H33" i="15"/>
  <c r="AH40" i="14"/>
  <c r="AI40" i="14"/>
  <c r="X41" i="14"/>
  <c r="Y41" i="14"/>
  <c r="Z41" i="14"/>
  <c r="AB41" i="14"/>
  <c r="AC41" i="14"/>
  <c r="AD41" i="14"/>
  <c r="AH41" i="14"/>
  <c r="AI41" i="14"/>
  <c r="X42" i="14"/>
  <c r="Y42" i="14"/>
  <c r="Z42" i="14"/>
  <c r="AB42" i="14"/>
  <c r="AC42" i="14"/>
  <c r="AD42" i="14"/>
  <c r="AH42" i="14"/>
  <c r="AI42" i="14"/>
  <c r="X43" i="14"/>
  <c r="Y43" i="14"/>
  <c r="Z43" i="14"/>
  <c r="AB43" i="14"/>
  <c r="AC43" i="14"/>
  <c r="AD43" i="14"/>
  <c r="AH43" i="14"/>
  <c r="AI43" i="14"/>
  <c r="X44" i="14"/>
  <c r="Y44" i="14"/>
  <c r="Z44" i="14"/>
  <c r="AB44" i="14"/>
  <c r="AC44" i="14"/>
  <c r="AD44" i="14"/>
  <c r="AH44" i="14"/>
  <c r="I34" i="15" s="1"/>
  <c r="AI44" i="14"/>
  <c r="X45" i="14"/>
  <c r="Y45" i="14"/>
  <c r="Z45" i="14"/>
  <c r="AB45" i="14"/>
  <c r="AC45" i="14"/>
  <c r="AD45" i="14"/>
  <c r="G35" i="15"/>
  <c r="H35" i="15"/>
  <c r="AH45" i="14"/>
  <c r="I35" i="15" s="1"/>
  <c r="AI45" i="14"/>
  <c r="X46" i="14"/>
  <c r="Y46" i="14"/>
  <c r="Z46" i="14"/>
  <c r="AB46" i="14"/>
  <c r="AC46" i="14"/>
  <c r="E36" i="15" s="1"/>
  <c r="AD46" i="14"/>
  <c r="F36" i="15" s="1"/>
  <c r="G36" i="15"/>
  <c r="AH46" i="14"/>
  <c r="AI46" i="14"/>
  <c r="X47" i="14"/>
  <c r="Y47" i="14"/>
  <c r="Z47" i="14"/>
  <c r="AB47" i="14"/>
  <c r="AC47" i="14"/>
  <c r="AD47" i="14"/>
  <c r="AF47" i="14"/>
  <c r="G34" i="15" s="1"/>
  <c r="AG47" i="14"/>
  <c r="H34" i="15" s="1"/>
  <c r="AH47" i="14"/>
  <c r="AI47" i="14"/>
  <c r="X48" i="14"/>
  <c r="Y48" i="14"/>
  <c r="Z48" i="14"/>
  <c r="AB48" i="14"/>
  <c r="AC48" i="14"/>
  <c r="AD48" i="14"/>
  <c r="AF48" i="14"/>
  <c r="AG48" i="14"/>
  <c r="AH48" i="14"/>
  <c r="I48" i="15" s="1"/>
  <c r="AI48" i="14"/>
  <c r="X49" i="14"/>
  <c r="Y49" i="14"/>
  <c r="Z49" i="14"/>
  <c r="AB49" i="14"/>
  <c r="AC49" i="14"/>
  <c r="AD49" i="14"/>
  <c r="AF49" i="14"/>
  <c r="AG49" i="14"/>
  <c r="H36" i="15" s="1"/>
  <c r="AH49" i="14"/>
  <c r="AI49" i="14"/>
  <c r="X50" i="14"/>
  <c r="Y50" i="14"/>
  <c r="Z50" i="14"/>
  <c r="AB50" i="14"/>
  <c r="AC50" i="14"/>
  <c r="E49" i="15" s="1"/>
  <c r="AD50" i="14"/>
  <c r="F49" i="15" s="1"/>
  <c r="AF50" i="14"/>
  <c r="G49" i="15" s="1"/>
  <c r="AG50" i="14"/>
  <c r="AH50" i="14"/>
  <c r="AI50" i="14"/>
  <c r="X51" i="14"/>
  <c r="Y51" i="14"/>
  <c r="Z51" i="14"/>
  <c r="AB51" i="14"/>
  <c r="AC51" i="14"/>
  <c r="AD51" i="14"/>
  <c r="AF51" i="14"/>
  <c r="AG51" i="14"/>
  <c r="AH51" i="14"/>
  <c r="AI51" i="14"/>
  <c r="X52" i="14"/>
  <c r="Y52" i="14"/>
  <c r="Z52" i="14"/>
  <c r="AB52" i="14"/>
  <c r="AC52" i="14"/>
  <c r="AD52" i="14"/>
  <c r="AF52" i="14"/>
  <c r="AG52" i="14"/>
  <c r="AH52" i="14"/>
  <c r="AI52" i="14"/>
  <c r="X53" i="14"/>
  <c r="Y53" i="14"/>
  <c r="Z53" i="14"/>
  <c r="AB53" i="14"/>
  <c r="AC53" i="14"/>
  <c r="AD53" i="14"/>
  <c r="AF53" i="14"/>
  <c r="AG53" i="14"/>
  <c r="AH53" i="14"/>
  <c r="AI53" i="14"/>
  <c r="X54" i="14"/>
  <c r="Y54" i="14"/>
  <c r="Z54" i="14"/>
  <c r="AB54" i="14"/>
  <c r="D40" i="15" s="1"/>
  <c r="AC54" i="14"/>
  <c r="E40" i="15" s="1"/>
  <c r="AD54" i="14"/>
  <c r="F40" i="15" s="1"/>
  <c r="AF54" i="14"/>
  <c r="G40" i="15" s="1"/>
  <c r="AG54" i="14"/>
  <c r="H40" i="15" s="1"/>
  <c r="AH54" i="14"/>
  <c r="I40" i="15" s="1"/>
  <c r="AI54" i="14"/>
  <c r="X55" i="14"/>
  <c r="Y55" i="14"/>
  <c r="Z55" i="14"/>
  <c r="AB55" i="14"/>
  <c r="D41" i="15" s="1"/>
  <c r="AC55" i="14"/>
  <c r="E41" i="15" s="1"/>
  <c r="AD55" i="14"/>
  <c r="F41" i="15" s="1"/>
  <c r="AF55" i="14"/>
  <c r="G41" i="15" s="1"/>
  <c r="AG55" i="14"/>
  <c r="H41" i="15" s="1"/>
  <c r="AH55" i="14"/>
  <c r="I41" i="15" s="1"/>
  <c r="AI55" i="14"/>
  <c r="X56" i="14"/>
  <c r="Y56" i="14"/>
  <c r="Z56" i="14"/>
  <c r="AB56" i="14"/>
  <c r="D42" i="15" s="1"/>
  <c r="AC56" i="14"/>
  <c r="E42" i="15" s="1"/>
  <c r="AD56" i="14"/>
  <c r="F42" i="15" s="1"/>
  <c r="AF56" i="14"/>
  <c r="G42" i="15" s="1"/>
  <c r="AG56" i="14"/>
  <c r="H42" i="15" s="1"/>
  <c r="AH56" i="14"/>
  <c r="I42" i="15" s="1"/>
  <c r="AI56" i="14"/>
  <c r="AI23" i="14"/>
  <c r="AH23" i="14"/>
  <c r="AG23" i="14"/>
  <c r="AF23" i="14"/>
  <c r="AD23" i="14"/>
  <c r="AC23" i="14"/>
  <c r="AB23" i="14"/>
  <c r="Z23" i="14"/>
  <c r="Y23" i="14"/>
  <c r="X23" i="14"/>
  <c r="AI22" i="14"/>
  <c r="AH22" i="14"/>
  <c r="I21" i="15" s="1"/>
  <c r="AG22" i="14"/>
  <c r="H21" i="15" s="1"/>
  <c r="AF22" i="14"/>
  <c r="G21" i="15" s="1"/>
  <c r="AD22" i="14"/>
  <c r="F21" i="15" s="1"/>
  <c r="AC22" i="14"/>
  <c r="AB22" i="14"/>
  <c r="D21" i="15" s="1"/>
  <c r="Z22" i="14"/>
  <c r="Y22" i="14"/>
  <c r="X22" i="14"/>
  <c r="AI21" i="14"/>
  <c r="AH21" i="14"/>
  <c r="I20" i="15" s="1"/>
  <c r="AG21" i="14"/>
  <c r="H20" i="15" s="1"/>
  <c r="AF21" i="14"/>
  <c r="AD21" i="14"/>
  <c r="F20" i="15" s="1"/>
  <c r="AC21" i="14"/>
  <c r="E20" i="15" s="1"/>
  <c r="AB21" i="14"/>
  <c r="D20" i="15" s="1"/>
  <c r="Z21" i="14"/>
  <c r="Y21" i="14"/>
  <c r="X21" i="14"/>
  <c r="AI20" i="14"/>
  <c r="AH20" i="14"/>
  <c r="I19" i="15" s="1"/>
  <c r="AG20" i="14"/>
  <c r="H19" i="15" s="1"/>
  <c r="AF20" i="14"/>
  <c r="G19" i="15" s="1"/>
  <c r="AD20" i="14"/>
  <c r="F19" i="15" s="1"/>
  <c r="AC20" i="14"/>
  <c r="E19" i="15" s="1"/>
  <c r="AB20" i="14"/>
  <c r="Z20" i="14"/>
  <c r="Y20" i="14"/>
  <c r="X20" i="14"/>
  <c r="AI19" i="14"/>
  <c r="AH19" i="14"/>
  <c r="AG19" i="14"/>
  <c r="AF19" i="14"/>
  <c r="AD19" i="14"/>
  <c r="AC19" i="14"/>
  <c r="AB19" i="14"/>
  <c r="Z19" i="14"/>
  <c r="Y19" i="14"/>
  <c r="X19" i="14"/>
  <c r="AI18" i="14"/>
  <c r="AH18" i="14"/>
  <c r="AG18" i="14"/>
  <c r="AF18" i="14"/>
  <c r="AD18" i="14"/>
  <c r="AC18" i="14"/>
  <c r="AB18" i="14"/>
  <c r="Z18" i="14"/>
  <c r="Y18" i="14"/>
  <c r="X18" i="14"/>
  <c r="AI17" i="14"/>
  <c r="AH17" i="14"/>
  <c r="AG17" i="14"/>
  <c r="AF17" i="14"/>
  <c r="AD17" i="14"/>
  <c r="AC17" i="14"/>
  <c r="AB17" i="14"/>
  <c r="Z17" i="14"/>
  <c r="Y17" i="14"/>
  <c r="X17" i="14"/>
  <c r="AI16" i="14"/>
  <c r="AH16" i="14"/>
  <c r="I18" i="15" s="1"/>
  <c r="AG16" i="14"/>
  <c r="H18" i="15" s="1"/>
  <c r="AF16" i="14"/>
  <c r="G18" i="15" s="1"/>
  <c r="AD16" i="14"/>
  <c r="F18" i="15" s="1"/>
  <c r="AC16" i="14"/>
  <c r="E18" i="15" s="1"/>
  <c r="AB16" i="14"/>
  <c r="Z16" i="14"/>
  <c r="Y16" i="14"/>
  <c r="X16" i="14"/>
  <c r="AI15" i="14"/>
  <c r="AH15" i="14"/>
  <c r="I17" i="15" s="1"/>
  <c r="AG15" i="14"/>
  <c r="H17" i="15" s="1"/>
  <c r="AF15" i="14"/>
  <c r="G17" i="15" s="1"/>
  <c r="AD15" i="14"/>
  <c r="AC15" i="14"/>
  <c r="E17" i="15" s="1"/>
  <c r="AB15" i="14"/>
  <c r="Z15" i="14"/>
  <c r="Y15" i="14"/>
  <c r="X15" i="14"/>
  <c r="AI14" i="14"/>
  <c r="AH14" i="14"/>
  <c r="I16" i="15" s="1"/>
  <c r="AG14" i="14"/>
  <c r="AF14" i="14"/>
  <c r="G16" i="15" s="1"/>
  <c r="AD14" i="14"/>
  <c r="AC14" i="14"/>
  <c r="E16" i="15" s="1"/>
  <c r="AB14" i="14"/>
  <c r="D16" i="15" s="1"/>
  <c r="Z14" i="14"/>
  <c r="Y14" i="14"/>
  <c r="X14" i="14"/>
  <c r="AI13" i="14"/>
  <c r="AH13" i="14"/>
  <c r="I15" i="15" s="1"/>
  <c r="AG13" i="14"/>
  <c r="AF13" i="14"/>
  <c r="G15" i="15" s="1"/>
  <c r="AD13" i="14"/>
  <c r="F15" i="15" s="1"/>
  <c r="AC13" i="14"/>
  <c r="E15" i="15" s="1"/>
  <c r="AB13" i="14"/>
  <c r="D15" i="15" s="1"/>
  <c r="Z13" i="14"/>
  <c r="Y13" i="14"/>
  <c r="X13" i="14"/>
  <c r="AI12" i="14"/>
  <c r="AH12" i="14"/>
  <c r="I14" i="15" s="1"/>
  <c r="AG12" i="14"/>
  <c r="H14" i="15" s="1"/>
  <c r="AF12" i="14"/>
  <c r="G14" i="15" s="1"/>
  <c r="AD12" i="14"/>
  <c r="F14" i="15" s="1"/>
  <c r="AC12" i="14"/>
  <c r="E14" i="15" s="1"/>
  <c r="AB12" i="14"/>
  <c r="Z12" i="14"/>
  <c r="Y12" i="14"/>
  <c r="X12" i="14"/>
  <c r="AI11" i="14"/>
  <c r="AH11" i="14"/>
  <c r="AG11" i="14"/>
  <c r="H13" i="15" s="1"/>
  <c r="AF11" i="14"/>
  <c r="G13" i="15" s="1"/>
  <c r="AD11" i="14"/>
  <c r="AC11" i="14"/>
  <c r="E13" i="15" s="1"/>
  <c r="AB11" i="14"/>
  <c r="Z11" i="14"/>
  <c r="Y11" i="14"/>
  <c r="X11" i="14"/>
  <c r="AI10" i="14"/>
  <c r="AH10" i="14"/>
  <c r="AG10" i="14"/>
  <c r="AF10" i="14"/>
  <c r="AD10" i="14"/>
  <c r="AC10" i="14"/>
  <c r="AB10" i="14"/>
  <c r="Z10" i="14"/>
  <c r="Y10" i="14"/>
  <c r="X10" i="14"/>
  <c r="AI9" i="14"/>
  <c r="AH9" i="14"/>
  <c r="AG9" i="14"/>
  <c r="AF9" i="14"/>
  <c r="AD9" i="14"/>
  <c r="AC9" i="14"/>
  <c r="AB9" i="14"/>
  <c r="Z9" i="14"/>
  <c r="Y9" i="14"/>
  <c r="X9" i="14"/>
  <c r="AI8" i="14"/>
  <c r="AH8" i="14"/>
  <c r="AG8" i="14"/>
  <c r="AF8" i="14"/>
  <c r="AD8" i="14"/>
  <c r="AC8" i="14"/>
  <c r="AB8" i="14"/>
  <c r="Z8" i="14"/>
  <c r="Y8" i="14"/>
  <c r="X8" i="14"/>
  <c r="AI7" i="14"/>
  <c r="AH7" i="14"/>
  <c r="AG7" i="14"/>
  <c r="H6" i="15" s="1"/>
  <c r="AF7" i="14"/>
  <c r="G6" i="15" s="1"/>
  <c r="AD7" i="14"/>
  <c r="AC7" i="14"/>
  <c r="E6" i="15" s="1"/>
  <c r="AB7" i="14"/>
  <c r="Z7" i="14"/>
  <c r="Y7" i="14"/>
  <c r="X7" i="14"/>
  <c r="AI6" i="14"/>
  <c r="AH6" i="14"/>
  <c r="I5" i="15" s="1"/>
  <c r="AG6" i="14"/>
  <c r="AF6" i="14"/>
  <c r="G5" i="15" s="1"/>
  <c r="AD6" i="14"/>
  <c r="AC6" i="14"/>
  <c r="AB6" i="14"/>
  <c r="Z6" i="14"/>
  <c r="Y6" i="14"/>
  <c r="X6" i="14"/>
  <c r="AI5" i="14"/>
  <c r="AH5" i="14"/>
  <c r="I4" i="15" s="1"/>
  <c r="AG5" i="14"/>
  <c r="AF5" i="14"/>
  <c r="G4" i="15" s="1"/>
  <c r="AD5" i="14"/>
  <c r="F4" i="15" s="1"/>
  <c r="AC5" i="14"/>
  <c r="AB5" i="14"/>
  <c r="Z5" i="14"/>
  <c r="Y5" i="14"/>
  <c r="X5" i="14"/>
  <c r="AI4" i="14"/>
  <c r="AH4" i="14"/>
  <c r="I9" i="15" s="1"/>
  <c r="AG4" i="14"/>
  <c r="H9" i="15" s="1"/>
  <c r="AF4" i="14"/>
  <c r="G9" i="15" s="1"/>
  <c r="AD4" i="14"/>
  <c r="F9" i="15" s="1"/>
  <c r="AC4" i="14"/>
  <c r="E9" i="15" s="1"/>
  <c r="AB4" i="14"/>
  <c r="D9" i="15" s="1"/>
  <c r="Z4" i="14"/>
  <c r="Y4" i="14"/>
  <c r="X4" i="14"/>
  <c r="AI3" i="14"/>
  <c r="AH3" i="14"/>
  <c r="I8" i="15" s="1"/>
  <c r="AG3" i="14"/>
  <c r="H8" i="15" s="1"/>
  <c r="AF3" i="14"/>
  <c r="G8" i="15" s="1"/>
  <c r="AD3" i="14"/>
  <c r="F8" i="15" s="1"/>
  <c r="AC3" i="14"/>
  <c r="E8" i="15" s="1"/>
  <c r="AB3" i="14"/>
  <c r="D8" i="15" s="1"/>
  <c r="Z3" i="14"/>
  <c r="Y3" i="14"/>
  <c r="X3" i="14"/>
  <c r="AI2" i="14"/>
  <c r="AH2" i="14"/>
  <c r="I7" i="15" s="1"/>
  <c r="AG2" i="14"/>
  <c r="H7" i="15" s="1"/>
  <c r="AF2" i="14"/>
  <c r="G7" i="15" s="1"/>
  <c r="AD2" i="14"/>
  <c r="F7" i="15" s="1"/>
  <c r="AC2" i="14"/>
  <c r="E7" i="15" s="1"/>
  <c r="AB2" i="14"/>
  <c r="D7" i="15" s="1"/>
  <c r="Z2" i="14"/>
  <c r="Y2" i="14"/>
  <c r="X2" i="14"/>
  <c r="H48" i="15" l="1"/>
  <c r="D4" i="15"/>
  <c r="D5" i="15"/>
  <c r="E5" i="15"/>
  <c r="I36" i="15"/>
  <c r="E34" i="15"/>
  <c r="I24" i="15"/>
  <c r="E4" i="15"/>
  <c r="I6" i="15"/>
  <c r="I13" i="15"/>
  <c r="H49" i="15"/>
  <c r="D48" i="15"/>
  <c r="D34" i="15"/>
  <c r="F33" i="15"/>
  <c r="F29" i="15"/>
  <c r="H24" i="15"/>
  <c r="D22" i="15"/>
  <c r="E33" i="15"/>
  <c r="G20" i="15"/>
  <c r="E21" i="15"/>
  <c r="F5" i="15"/>
  <c r="D6" i="15"/>
  <c r="D17" i="15"/>
  <c r="E32" i="15"/>
  <c r="D49" i="15"/>
  <c r="D36" i="15"/>
  <c r="F35" i="15"/>
  <c r="D32" i="15"/>
  <c r="F31" i="15"/>
  <c r="D28" i="15"/>
  <c r="D24" i="15"/>
  <c r="F23" i="15"/>
  <c r="H22" i="15"/>
  <c r="H4" i="15"/>
  <c r="D13" i="15"/>
  <c r="H15" i="15"/>
  <c r="F16" i="15"/>
  <c r="H5" i="15"/>
  <c r="F6" i="15"/>
  <c r="F13" i="15"/>
  <c r="D14" i="15"/>
  <c r="H16" i="15"/>
  <c r="F17" i="15"/>
  <c r="D18" i="15"/>
  <c r="D19" i="15"/>
  <c r="G48" i="15"/>
  <c r="E35" i="15"/>
  <c r="I33" i="15"/>
  <c r="E31" i="15"/>
  <c r="I29" i="15"/>
  <c r="E23" i="15"/>
  <c r="G22" i="15"/>
  <c r="F48" i="15"/>
  <c r="D35" i="15"/>
  <c r="F34" i="15"/>
  <c r="D31" i="15"/>
  <c r="F30" i="15"/>
  <c r="D23" i="15"/>
  <c r="F22" i="15"/>
  <c r="I49" i="15"/>
  <c r="E48" i="15"/>
  <c r="E22" i="15"/>
  <c r="D15" i="2"/>
  <c r="L47" i="5"/>
  <c r="L46" i="5"/>
  <c r="L40" i="5"/>
  <c r="L39" i="5"/>
  <c r="L38" i="5"/>
  <c r="S39" i="3"/>
  <c r="F6" i="3"/>
  <c r="H31" i="3" s="1"/>
  <c r="F9" i="3"/>
  <c r="F8" i="3"/>
  <c r="G12" i="3"/>
  <c r="F5" i="3"/>
  <c r="H30" i="3" s="1"/>
  <c r="S31" i="3"/>
  <c r="S30" i="3"/>
  <c r="S29" i="3"/>
  <c r="L22" i="5"/>
  <c r="L21" i="5"/>
  <c r="L20" i="5"/>
  <c r="L19" i="5"/>
  <c r="L18" i="5"/>
  <c r="L17" i="5"/>
  <c r="L16" i="5"/>
  <c r="L15" i="5"/>
  <c r="H16" i="7" s="1"/>
  <c r="L14" i="5"/>
  <c r="H15" i="7" s="1"/>
  <c r="L13" i="5"/>
  <c r="L12" i="5"/>
  <c r="L11" i="5"/>
  <c r="L10" i="5"/>
  <c r="L9" i="5"/>
  <c r="L8" i="5"/>
  <c r="L7" i="5"/>
  <c r="L6" i="5"/>
  <c r="H7" i="7" s="1"/>
  <c r="L5" i="5"/>
  <c r="H6" i="7" s="1"/>
  <c r="R42" i="3"/>
  <c r="F7" i="3"/>
  <c r="F4" i="3"/>
  <c r="R41" i="3"/>
  <c r="R40" i="3"/>
  <c r="S23" i="3"/>
  <c r="S22" i="3"/>
  <c r="S21" i="3"/>
  <c r="E30" i="2"/>
  <c r="S27" i="3" s="1"/>
  <c r="C340" i="12"/>
  <c r="C339" i="12"/>
  <c r="O9" i="2"/>
  <c r="O63" i="2" s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8" i="2"/>
  <c r="A50" i="7"/>
  <c r="E52" i="7" s="1"/>
  <c r="D52" i="7"/>
  <c r="B3" i="7"/>
  <c r="A51" i="7" s="1"/>
  <c r="H66" i="2"/>
  <c r="V53" i="4" s="1"/>
  <c r="V51" i="4" s="1"/>
  <c r="W51" i="4" s="1"/>
  <c r="E66" i="2"/>
  <c r="D66" i="2"/>
  <c r="E55" i="7"/>
  <c r="A52" i="7"/>
  <c r="S42" i="3"/>
  <c r="S41" i="3"/>
  <c r="S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4" i="3"/>
  <c r="R23" i="3"/>
  <c r="R21" i="3"/>
  <c r="R20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B55" i="7"/>
  <c r="B52" i="7"/>
  <c r="B54" i="7"/>
  <c r="B53" i="7"/>
  <c r="D53" i="7"/>
  <c r="D54" i="7"/>
  <c r="D55" i="7"/>
  <c r="E53" i="7"/>
  <c r="X19" i="3"/>
  <c r="W19" i="3"/>
  <c r="AE12" i="3"/>
  <c r="Y12" i="3"/>
  <c r="AE11" i="3"/>
  <c r="Y11" i="3"/>
  <c r="AE10" i="3"/>
  <c r="Y10" i="3"/>
  <c r="AE9" i="3"/>
  <c r="AD9" i="3"/>
  <c r="Y9" i="3"/>
  <c r="G9" i="3"/>
  <c r="AE8" i="3"/>
  <c r="Y8" i="3"/>
  <c r="G8" i="3"/>
  <c r="AE7" i="3"/>
  <c r="Y7" i="3"/>
  <c r="G7" i="3"/>
  <c r="H39" i="3"/>
  <c r="AE6" i="3"/>
  <c r="Y6" i="3"/>
  <c r="G6" i="3"/>
  <c r="AE5" i="3"/>
  <c r="AD5" i="3"/>
  <c r="Y5" i="3"/>
  <c r="G5" i="3"/>
  <c r="AE4" i="3"/>
  <c r="Y4" i="3"/>
  <c r="G4" i="3"/>
  <c r="AE3" i="3"/>
  <c r="Y3" i="3"/>
  <c r="P3" i="3"/>
  <c r="AB3" i="3" s="1"/>
  <c r="R2" i="3"/>
  <c r="AD3" i="3" s="1"/>
  <c r="AD6" i="3"/>
  <c r="Q2" i="3"/>
  <c r="AC10" i="3" s="1"/>
  <c r="P2" i="3"/>
  <c r="AB2" i="3" s="1"/>
  <c r="O2" i="3"/>
  <c r="AA8" i="3" s="1"/>
  <c r="N2" i="3"/>
  <c r="Z6" i="3" s="1"/>
  <c r="M2" i="3"/>
  <c r="Y2" i="3"/>
  <c r="AB5" i="3"/>
  <c r="AA6" i="3"/>
  <c r="AD7" i="3"/>
  <c r="AB9" i="3"/>
  <c r="AD11" i="3"/>
  <c r="Z12" i="3"/>
  <c r="AD12" i="3"/>
  <c r="G26" i="3"/>
  <c r="G28" i="3"/>
  <c r="G30" i="3"/>
  <c r="G34" i="3"/>
  <c r="G36" i="3"/>
  <c r="G38" i="3"/>
  <c r="Z9" i="3"/>
  <c r="Z2" i="3"/>
  <c r="AD2" i="3"/>
  <c r="AA3" i="3"/>
  <c r="AD4" i="3"/>
  <c r="AC5" i="3"/>
  <c r="AA7" i="3"/>
  <c r="Z8" i="3"/>
  <c r="AD8" i="3"/>
  <c r="AC9" i="3"/>
  <c r="AD10" i="3"/>
  <c r="AA11" i="3"/>
  <c r="AA12" i="3"/>
  <c r="H28" i="3"/>
  <c r="H32" i="3"/>
  <c r="H34" i="3"/>
  <c r="H36" i="3"/>
  <c r="AB12" i="3"/>
  <c r="G27" i="3"/>
  <c r="G29" i="3"/>
  <c r="G31" i="3"/>
  <c r="G33" i="3"/>
  <c r="G35" i="3"/>
  <c r="G37" i="3"/>
  <c r="AC3" i="3"/>
  <c r="AB4" i="3"/>
  <c r="AA5" i="3"/>
  <c r="AB8" i="3"/>
  <c r="H33" i="3"/>
  <c r="E55" i="2"/>
  <c r="S36" i="3" s="1"/>
  <c r="E53" i="2"/>
  <c r="S32" i="3" s="1"/>
  <c r="D52" i="2"/>
  <c r="D51" i="2"/>
  <c r="D50" i="2"/>
  <c r="E48" i="2"/>
  <c r="S38" i="3" s="1"/>
  <c r="E47" i="2"/>
  <c r="D46" i="2"/>
  <c r="D45" i="2"/>
  <c r="D44" i="2"/>
  <c r="F44" i="2" s="1"/>
  <c r="E43" i="2"/>
  <c r="S35" i="3" s="1"/>
  <c r="H43" i="2" s="1"/>
  <c r="E42" i="2"/>
  <c r="E41" i="2"/>
  <c r="S33" i="3" s="1"/>
  <c r="H41" i="2" s="1"/>
  <c r="E33" i="2"/>
  <c r="E31" i="2"/>
  <c r="S28" i="3" s="1"/>
  <c r="D31" i="2"/>
  <c r="E29" i="2"/>
  <c r="E25" i="2"/>
  <c r="S25" i="3" s="1"/>
  <c r="D25" i="2"/>
  <c r="R25" i="3" s="1"/>
  <c r="F25" i="2" s="1"/>
  <c r="E24" i="2"/>
  <c r="S24" i="3" s="1"/>
  <c r="E18" i="2"/>
  <c r="D16" i="2"/>
  <c r="R22" i="3" s="1"/>
  <c r="E14" i="2"/>
  <c r="S20" i="3" s="1"/>
  <c r="E13" i="2"/>
  <c r="D13" i="2"/>
  <c r="F13" i="2" s="1"/>
  <c r="E8" i="2"/>
  <c r="B75" i="4"/>
  <c r="C75" i="4"/>
  <c r="B61" i="4"/>
  <c r="F61" i="4" s="1"/>
  <c r="F7" i="10"/>
  <c r="E7" i="10"/>
  <c r="F8" i="10"/>
  <c r="E8" i="10"/>
  <c r="G11" i="5"/>
  <c r="E12" i="7" s="1"/>
  <c r="G14" i="5"/>
  <c r="G5" i="5"/>
  <c r="G17" i="5"/>
  <c r="E18" i="7" s="1"/>
  <c r="G47" i="5"/>
  <c r="A55" i="7"/>
  <c r="A54" i="7"/>
  <c r="A53" i="7"/>
  <c r="N47" i="5"/>
  <c r="I48" i="7" s="1"/>
  <c r="I47" i="5"/>
  <c r="F48" i="7" s="1"/>
  <c r="N46" i="5"/>
  <c r="I47" i="7" s="1"/>
  <c r="I46" i="5"/>
  <c r="F47" i="7" s="1"/>
  <c r="G46" i="5"/>
  <c r="E47" i="7" s="1"/>
  <c r="G39" i="5"/>
  <c r="E40" i="7" s="1"/>
  <c r="I39" i="5"/>
  <c r="F40" i="7" s="1"/>
  <c r="N39" i="5"/>
  <c r="I40" i="7" s="1"/>
  <c r="G40" i="5"/>
  <c r="I40" i="5"/>
  <c r="F41" i="7" s="1"/>
  <c r="N40" i="5"/>
  <c r="I41" i="7" s="1"/>
  <c r="N38" i="5"/>
  <c r="I39" i="7" s="1"/>
  <c r="I38" i="5"/>
  <c r="F39" i="7" s="1"/>
  <c r="G38" i="5"/>
  <c r="G27" i="5"/>
  <c r="I27" i="5"/>
  <c r="F28" i="7" s="1"/>
  <c r="N27" i="5"/>
  <c r="I28" i="7" s="1"/>
  <c r="G28" i="5"/>
  <c r="I28" i="5"/>
  <c r="F29" i="7" s="1"/>
  <c r="N28" i="5"/>
  <c r="I29" i="7" s="1"/>
  <c r="G29" i="5"/>
  <c r="E30" i="7" s="1"/>
  <c r="I29" i="5"/>
  <c r="F30" i="7" s="1"/>
  <c r="N29" i="5"/>
  <c r="I30" i="7" s="1"/>
  <c r="G30" i="5"/>
  <c r="I30" i="5"/>
  <c r="F31" i="7" s="1"/>
  <c r="N30" i="5"/>
  <c r="I31" i="7" s="1"/>
  <c r="G31" i="5"/>
  <c r="E32" i="7" s="1"/>
  <c r="I31" i="5"/>
  <c r="F32" i="7" s="1"/>
  <c r="N31" i="5"/>
  <c r="I32" i="7" s="1"/>
  <c r="G32" i="5"/>
  <c r="E33" i="7" s="1"/>
  <c r="I32" i="5"/>
  <c r="F33" i="7" s="1"/>
  <c r="N32" i="5"/>
  <c r="I33" i="7" s="1"/>
  <c r="G33" i="5"/>
  <c r="I33" i="5"/>
  <c r="F34" i="7" s="1"/>
  <c r="N33" i="5"/>
  <c r="I34" i="7" s="1"/>
  <c r="G34" i="5"/>
  <c r="E35" i="7" s="1"/>
  <c r="I34" i="5"/>
  <c r="F35" i="7" s="1"/>
  <c r="N34" i="5"/>
  <c r="I35" i="7" s="1"/>
  <c r="N26" i="5"/>
  <c r="I27" i="7" s="1"/>
  <c r="I26" i="5"/>
  <c r="F27" i="7" s="1"/>
  <c r="G26" i="5"/>
  <c r="G6" i="5"/>
  <c r="E7" i="7" s="1"/>
  <c r="I6" i="5"/>
  <c r="F7" i="7" s="1"/>
  <c r="N6" i="5"/>
  <c r="I7" i="7" s="1"/>
  <c r="G7" i="5"/>
  <c r="E8" i="7" s="1"/>
  <c r="I7" i="5"/>
  <c r="F8" i="7" s="1"/>
  <c r="N7" i="5"/>
  <c r="I8" i="7" s="1"/>
  <c r="G8" i="5"/>
  <c r="E9" i="7" s="1"/>
  <c r="I8" i="5"/>
  <c r="F9" i="7" s="1"/>
  <c r="N8" i="5"/>
  <c r="I9" i="7" s="1"/>
  <c r="G9" i="5"/>
  <c r="E10" i="7" s="1"/>
  <c r="I9" i="5"/>
  <c r="F10" i="7" s="1"/>
  <c r="N9" i="5"/>
  <c r="I10" i="7" s="1"/>
  <c r="G10" i="5"/>
  <c r="E11" i="7" s="1"/>
  <c r="I10" i="5"/>
  <c r="F11" i="7" s="1"/>
  <c r="N10" i="5"/>
  <c r="I11" i="7"/>
  <c r="I11" i="5"/>
  <c r="F12" i="7" s="1"/>
  <c r="N11" i="5"/>
  <c r="I12" i="7" s="1"/>
  <c r="G12" i="5"/>
  <c r="E13" i="7" s="1"/>
  <c r="I12" i="5"/>
  <c r="F13" i="7" s="1"/>
  <c r="N12" i="5"/>
  <c r="I13" i="7" s="1"/>
  <c r="G13" i="5"/>
  <c r="E14" i="7" s="1"/>
  <c r="I13" i="5"/>
  <c r="F14" i="7" s="1"/>
  <c r="N13" i="5"/>
  <c r="I14" i="7" s="1"/>
  <c r="I14" i="5"/>
  <c r="F15" i="7" s="1"/>
  <c r="N14" i="5"/>
  <c r="I15" i="7" s="1"/>
  <c r="G15" i="5"/>
  <c r="E16" i="7" s="1"/>
  <c r="I15" i="5"/>
  <c r="F16" i="7" s="1"/>
  <c r="N15" i="5"/>
  <c r="I16" i="7" s="1"/>
  <c r="G16" i="5"/>
  <c r="I16" i="5"/>
  <c r="F17" i="7" s="1"/>
  <c r="N16" i="5"/>
  <c r="I17" i="7" s="1"/>
  <c r="I17" i="5"/>
  <c r="F18" i="7" s="1"/>
  <c r="N17" i="5"/>
  <c r="I18" i="7" s="1"/>
  <c r="G18" i="5"/>
  <c r="E19" i="7" s="1"/>
  <c r="I18" i="5"/>
  <c r="F19" i="7" s="1"/>
  <c r="N18" i="5"/>
  <c r="I19" i="7" s="1"/>
  <c r="G19" i="5"/>
  <c r="E20" i="7" s="1"/>
  <c r="I19" i="5"/>
  <c r="F20" i="7" s="1"/>
  <c r="N19" i="5"/>
  <c r="I20" i="7" s="1"/>
  <c r="G20" i="5"/>
  <c r="E21" i="7" s="1"/>
  <c r="I20" i="5"/>
  <c r="F21" i="7" s="1"/>
  <c r="N20" i="5"/>
  <c r="I21" i="7" s="1"/>
  <c r="G21" i="5"/>
  <c r="E22" i="7" s="1"/>
  <c r="I21" i="5"/>
  <c r="F22" i="7"/>
  <c r="N21" i="5"/>
  <c r="I22" i="7" s="1"/>
  <c r="G22" i="5"/>
  <c r="E23" i="7" s="1"/>
  <c r="I22" i="5"/>
  <c r="F23" i="7" s="1"/>
  <c r="N22" i="5"/>
  <c r="I23" i="7" s="1"/>
  <c r="N5" i="5"/>
  <c r="I6" i="7" s="1"/>
  <c r="I5" i="5"/>
  <c r="F6" i="7" s="1"/>
  <c r="C74" i="4"/>
  <c r="I56" i="2"/>
  <c r="I54" i="2"/>
  <c r="I13" i="2"/>
  <c r="I8" i="2"/>
  <c r="C2" i="5"/>
  <c r="I55" i="2"/>
  <c r="I53" i="2"/>
  <c r="G55" i="2"/>
  <c r="G53" i="2"/>
  <c r="H49" i="2"/>
  <c r="I62" i="2"/>
  <c r="G62" i="2"/>
  <c r="B62" i="2"/>
  <c r="I61" i="2"/>
  <c r="G61" i="2"/>
  <c r="B61" i="2"/>
  <c r="I60" i="2"/>
  <c r="G60" i="2"/>
  <c r="B60" i="2"/>
  <c r="I59" i="2"/>
  <c r="G59" i="2"/>
  <c r="B59" i="2"/>
  <c r="I58" i="2"/>
  <c r="G58" i="2"/>
  <c r="B58" i="2"/>
  <c r="I57" i="2"/>
  <c r="G57" i="2"/>
  <c r="B57" i="2"/>
  <c r="G56" i="2"/>
  <c r="B56" i="2"/>
  <c r="B55" i="2"/>
  <c r="G54" i="2"/>
  <c r="B54" i="2"/>
  <c r="B53" i="2"/>
  <c r="I52" i="2"/>
  <c r="G52" i="2"/>
  <c r="B52" i="2"/>
  <c r="I51" i="2"/>
  <c r="G51" i="2"/>
  <c r="B51" i="2"/>
  <c r="I50" i="2"/>
  <c r="G50" i="2"/>
  <c r="B50" i="2"/>
  <c r="I49" i="2"/>
  <c r="G49" i="2"/>
  <c r="B49" i="2"/>
  <c r="I48" i="2"/>
  <c r="G48" i="2"/>
  <c r="B48" i="2"/>
  <c r="I47" i="2"/>
  <c r="G47" i="2"/>
  <c r="B47" i="2"/>
  <c r="I46" i="2"/>
  <c r="G46" i="2"/>
  <c r="B46" i="2"/>
  <c r="I45" i="2"/>
  <c r="G45" i="2"/>
  <c r="B45" i="2"/>
  <c r="I44" i="2"/>
  <c r="G44" i="2"/>
  <c r="B44" i="2"/>
  <c r="I43" i="2"/>
  <c r="G43" i="2"/>
  <c r="B43" i="2"/>
  <c r="I42" i="2"/>
  <c r="G42" i="2"/>
  <c r="B42" i="2"/>
  <c r="I41" i="2"/>
  <c r="G41" i="2"/>
  <c r="B41" i="2"/>
  <c r="I40" i="2"/>
  <c r="G40" i="2"/>
  <c r="B40" i="2"/>
  <c r="I39" i="2"/>
  <c r="G39" i="2"/>
  <c r="B39" i="2"/>
  <c r="I38" i="2"/>
  <c r="G38" i="2"/>
  <c r="B38" i="2"/>
  <c r="I37" i="2"/>
  <c r="G37" i="2"/>
  <c r="B37" i="2"/>
  <c r="I36" i="2"/>
  <c r="G36" i="2"/>
  <c r="B36" i="2"/>
  <c r="I35" i="2"/>
  <c r="G35" i="2"/>
  <c r="B35" i="2"/>
  <c r="I34" i="2"/>
  <c r="G34" i="2"/>
  <c r="B34" i="2"/>
  <c r="I33" i="2"/>
  <c r="G33" i="2"/>
  <c r="B33" i="2"/>
  <c r="I32" i="2"/>
  <c r="G32" i="2"/>
  <c r="B32" i="2"/>
  <c r="I31" i="2"/>
  <c r="G31" i="2"/>
  <c r="B31" i="2"/>
  <c r="I30" i="2"/>
  <c r="G30" i="2"/>
  <c r="B30" i="2"/>
  <c r="I29" i="2"/>
  <c r="G29" i="2"/>
  <c r="B29" i="2"/>
  <c r="I28" i="2"/>
  <c r="G28" i="2"/>
  <c r="B28" i="2"/>
  <c r="I27" i="2"/>
  <c r="G27" i="2"/>
  <c r="B27" i="2"/>
  <c r="I26" i="2"/>
  <c r="G26" i="2"/>
  <c r="B26" i="2"/>
  <c r="I25" i="2"/>
  <c r="G25" i="2"/>
  <c r="B25" i="2"/>
  <c r="I24" i="2"/>
  <c r="G24" i="2"/>
  <c r="B24" i="2"/>
  <c r="I23" i="2"/>
  <c r="G23" i="2"/>
  <c r="B23" i="2"/>
  <c r="I22" i="2"/>
  <c r="G22" i="2"/>
  <c r="B22" i="2"/>
  <c r="I21" i="2"/>
  <c r="G21" i="2"/>
  <c r="B21" i="2"/>
  <c r="I20" i="2"/>
  <c r="G20" i="2"/>
  <c r="B20" i="2"/>
  <c r="I19" i="2"/>
  <c r="G19" i="2"/>
  <c r="B19" i="2"/>
  <c r="I18" i="2"/>
  <c r="G18" i="2"/>
  <c r="B18" i="2"/>
  <c r="I17" i="2"/>
  <c r="G17" i="2"/>
  <c r="B17" i="2"/>
  <c r="I16" i="2"/>
  <c r="G16" i="2"/>
  <c r="B16" i="2"/>
  <c r="I15" i="2"/>
  <c r="G15" i="2"/>
  <c r="B15" i="2"/>
  <c r="I14" i="2"/>
  <c r="G14" i="2"/>
  <c r="B14" i="2"/>
  <c r="G13" i="2"/>
  <c r="B13" i="2"/>
  <c r="I12" i="2"/>
  <c r="G12" i="2"/>
  <c r="B12" i="2"/>
  <c r="AO38" i="4" s="1"/>
  <c r="I11" i="2"/>
  <c r="G11" i="2"/>
  <c r="B11" i="2"/>
  <c r="I10" i="2"/>
  <c r="G10" i="2"/>
  <c r="B10" i="2"/>
  <c r="I9" i="2"/>
  <c r="G9" i="2"/>
  <c r="B9" i="2"/>
  <c r="G8" i="2"/>
  <c r="B8" i="2"/>
  <c r="C59" i="4"/>
  <c r="E73" i="4"/>
  <c r="C15" i="4"/>
  <c r="C22" i="4"/>
  <c r="C38" i="4"/>
  <c r="C44" i="4"/>
  <c r="C45" i="4"/>
  <c r="E14" i="4"/>
  <c r="E15" i="4"/>
  <c r="F15" i="4"/>
  <c r="E16" i="4"/>
  <c r="E17" i="4"/>
  <c r="E18" i="4"/>
  <c r="E19" i="4"/>
  <c r="E21" i="4"/>
  <c r="E22" i="4"/>
  <c r="F22" i="4" s="1"/>
  <c r="E74" i="4"/>
  <c r="F74" i="4" s="1"/>
  <c r="E75" i="4"/>
  <c r="F75" i="4" s="1"/>
  <c r="E38" i="4"/>
  <c r="F38" i="4" s="1"/>
  <c r="E39" i="4"/>
  <c r="E40" i="4"/>
  <c r="E41" i="4"/>
  <c r="E42" i="4"/>
  <c r="E43" i="4"/>
  <c r="E44" i="4"/>
  <c r="F44" i="4"/>
  <c r="E45" i="4"/>
  <c r="F45" i="4"/>
  <c r="E59" i="4"/>
  <c r="F59" i="4"/>
  <c r="E60" i="4"/>
  <c r="E61" i="4"/>
  <c r="E31" i="7"/>
  <c r="E48" i="7"/>
  <c r="C51" i="7" s="1"/>
  <c r="E28" i="7"/>
  <c r="E41" i="7"/>
  <c r="E17" i="7"/>
  <c r="E29" i="7"/>
  <c r="E39" i="7"/>
  <c r="E6" i="7"/>
  <c r="E27" i="7"/>
  <c r="E34" i="7"/>
  <c r="E15" i="7"/>
  <c r="F29" i="2"/>
  <c r="F36" i="2"/>
  <c r="F43" i="2"/>
  <c r="F55" i="2"/>
  <c r="F23" i="2"/>
  <c r="F30" i="2"/>
  <c r="F37" i="2"/>
  <c r="F47" i="2"/>
  <c r="H30" i="2"/>
  <c r="B21" i="4"/>
  <c r="C21" i="4" s="1"/>
  <c r="AH5" i="4"/>
  <c r="D11" i="4"/>
  <c r="B73" i="4" s="1"/>
  <c r="AH7" i="4"/>
  <c r="AH6" i="4"/>
  <c r="AO8" i="4"/>
  <c r="AO7" i="4"/>
  <c r="AO6" i="4"/>
  <c r="AO43" i="4"/>
  <c r="F51" i="2"/>
  <c r="F45" i="2"/>
  <c r="F52" i="2"/>
  <c r="F46" i="2"/>
  <c r="F38" i="2"/>
  <c r="F39" i="2"/>
  <c r="H33" i="2"/>
  <c r="H34" i="2"/>
  <c r="F27" i="2"/>
  <c r="F26" i="2"/>
  <c r="F33" i="2"/>
  <c r="F28" i="2"/>
  <c r="F53" i="2"/>
  <c r="F54" i="2"/>
  <c r="H59" i="2"/>
  <c r="H61" i="2"/>
  <c r="H58" i="2"/>
  <c r="F56" i="2"/>
  <c r="H57" i="2"/>
  <c r="H60" i="2"/>
  <c r="H62" i="2"/>
  <c r="F24" i="2"/>
  <c r="F31" i="2"/>
  <c r="F41" i="2"/>
  <c r="F48" i="2"/>
  <c r="H31" i="2"/>
  <c r="G66" i="4"/>
  <c r="F35" i="2"/>
  <c r="F42" i="2"/>
  <c r="F49" i="2"/>
  <c r="F8" i="2"/>
  <c r="AI5" i="4"/>
  <c r="J8" i="5"/>
  <c r="G9" i="7" s="1"/>
  <c r="F20" i="2"/>
  <c r="F21" i="2"/>
  <c r="F14" i="2"/>
  <c r="F16" i="2"/>
  <c r="F19" i="2"/>
  <c r="F11" i="2"/>
  <c r="F12" i="2"/>
  <c r="AJ5" i="4"/>
  <c r="AM5" i="4"/>
  <c r="AK5" i="4"/>
  <c r="AN5" i="4"/>
  <c r="F22" i="2"/>
  <c r="F17" i="2"/>
  <c r="F10" i="2"/>
  <c r="AM6" i="4"/>
  <c r="AJ6" i="4"/>
  <c r="AN6" i="4"/>
  <c r="AK6" i="4"/>
  <c r="F18" i="2"/>
  <c r="F15" i="2"/>
  <c r="F9" i="2"/>
  <c r="AI6" i="4" s="1"/>
  <c r="AI35" i="4"/>
  <c r="H40" i="7"/>
  <c r="H41" i="7"/>
  <c r="H39" i="7"/>
  <c r="AI14" i="4"/>
  <c r="J11" i="5"/>
  <c r="G12" i="7" s="1"/>
  <c r="AI46" i="4"/>
  <c r="AI13" i="4"/>
  <c r="AI34" i="4"/>
  <c r="J14" i="5"/>
  <c r="AI19" i="4"/>
  <c r="J16" i="5"/>
  <c r="R16" i="5" s="1"/>
  <c r="AI9" i="4"/>
  <c r="AI32" i="4"/>
  <c r="AI20" i="4"/>
  <c r="AI44" i="4"/>
  <c r="J10" i="5"/>
  <c r="AI7" i="4"/>
  <c r="AI8" i="4"/>
  <c r="J5" i="5"/>
  <c r="AI10" i="4"/>
  <c r="J7" i="5"/>
  <c r="G8" i="7" s="1"/>
  <c r="AI12" i="4"/>
  <c r="AI21" i="4"/>
  <c r="AI45" i="4"/>
  <c r="AI39" i="4"/>
  <c r="AI33" i="4"/>
  <c r="AI16" i="4"/>
  <c r="J13" i="5"/>
  <c r="AI18" i="4"/>
  <c r="J15" i="5"/>
  <c r="G16" i="7" s="1"/>
  <c r="H18" i="7"/>
  <c r="H21" i="7"/>
  <c r="H19" i="7"/>
  <c r="H20" i="7"/>
  <c r="H22" i="7"/>
  <c r="H48" i="7"/>
  <c r="E51" i="7" s="1"/>
  <c r="H23" i="7"/>
  <c r="G14" i="7"/>
  <c r="G11" i="7"/>
  <c r="G15" i="7"/>
  <c r="G17" i="7"/>
  <c r="G6" i="7"/>
  <c r="H8" i="7"/>
  <c r="R5" i="5"/>
  <c r="H13" i="7"/>
  <c r="R10" i="5"/>
  <c r="H11" i="7"/>
  <c r="R14" i="5"/>
  <c r="H10" i="7"/>
  <c r="R8" i="5"/>
  <c r="H9" i="7"/>
  <c r="H17" i="7"/>
  <c r="H47" i="7"/>
  <c r="H12" i="7"/>
  <c r="R13" i="5"/>
  <c r="H14" i="7"/>
  <c r="R15" i="5" l="1"/>
  <c r="F21" i="4"/>
  <c r="R11" i="5"/>
  <c r="C73" i="4"/>
  <c r="F73" i="4"/>
  <c r="B14" i="4"/>
  <c r="B37" i="4"/>
  <c r="B18" i="4"/>
  <c r="B16" i="4"/>
  <c r="C61" i="4"/>
  <c r="B19" i="4"/>
  <c r="B17" i="4"/>
  <c r="AU6" i="4"/>
  <c r="AV6" i="4" s="1"/>
  <c r="AH24" i="4"/>
  <c r="J6" i="5"/>
  <c r="AI22" i="4"/>
  <c r="R7" i="5"/>
  <c r="J9" i="5"/>
  <c r="AI30" i="4"/>
  <c r="AJ7" i="4"/>
  <c r="AU7" i="4" s="1"/>
  <c r="AV7" i="4" s="1"/>
  <c r="AN7" i="4"/>
  <c r="AK7" i="4"/>
  <c r="AM7" i="4"/>
  <c r="E38" i="5"/>
  <c r="AI51" i="4"/>
  <c r="AH10" i="4"/>
  <c r="AH30" i="4"/>
  <c r="AH15" i="4"/>
  <c r="AH26" i="4"/>
  <c r="AH51" i="4"/>
  <c r="AH43" i="4"/>
  <c r="AO19" i="4"/>
  <c r="AO20" i="4"/>
  <c r="AO14" i="4"/>
  <c r="AO56" i="4"/>
  <c r="AH56" i="4"/>
  <c r="AL31" i="4"/>
  <c r="AO10" i="4"/>
  <c r="AH53" i="4"/>
  <c r="AH47" i="4"/>
  <c r="AO22" i="4"/>
  <c r="AO24" i="4"/>
  <c r="AO18" i="4"/>
  <c r="AO29" i="4"/>
  <c r="AO55" i="4"/>
  <c r="AI25" i="4"/>
  <c r="AI49" i="4"/>
  <c r="J46" i="5"/>
  <c r="AH14" i="4"/>
  <c r="AH36" i="4"/>
  <c r="AH48" i="4"/>
  <c r="AH18" i="4"/>
  <c r="AH52" i="4"/>
  <c r="AO25" i="4"/>
  <c r="AO28" i="4"/>
  <c r="AO41" i="4"/>
  <c r="AO33" i="4"/>
  <c r="AO58" i="4"/>
  <c r="AL30" i="4"/>
  <c r="AI24" i="4"/>
  <c r="AL56" i="4"/>
  <c r="AI42" i="4"/>
  <c r="E21" i="5"/>
  <c r="AI48" i="4"/>
  <c r="AH16" i="4"/>
  <c r="AH20" i="4"/>
  <c r="AH50" i="4"/>
  <c r="AH21" i="4"/>
  <c r="AO21" i="4"/>
  <c r="AO27" i="4"/>
  <c r="AO49" i="4"/>
  <c r="AO42" i="4"/>
  <c r="AO37" i="4"/>
  <c r="AO51" i="4"/>
  <c r="AI43" i="4"/>
  <c r="AI31" i="4"/>
  <c r="J18" i="5"/>
  <c r="AI36" i="4"/>
  <c r="AH22" i="4"/>
  <c r="AH9" i="4"/>
  <c r="AH34" i="4"/>
  <c r="AH28" i="4"/>
  <c r="AH29" i="4"/>
  <c r="AO35" i="4"/>
  <c r="AO13" i="4"/>
  <c r="AO40" i="4"/>
  <c r="AO31" i="4"/>
  <c r="AO47" i="4"/>
  <c r="AO39" i="4"/>
  <c r="AO59" i="4"/>
  <c r="J17" i="5"/>
  <c r="AL55" i="4"/>
  <c r="E22" i="5"/>
  <c r="E47" i="5"/>
  <c r="AI40" i="4"/>
  <c r="AI17" i="4"/>
  <c r="AH23" i="4"/>
  <c r="AH11" i="4"/>
  <c r="AH38" i="4"/>
  <c r="AH37" i="4"/>
  <c r="AH31" i="4"/>
  <c r="AH33" i="4"/>
  <c r="AO15" i="4"/>
  <c r="AO12" i="4"/>
  <c r="AO46" i="4"/>
  <c r="AO52" i="4"/>
  <c r="AO44" i="4"/>
  <c r="AH55" i="4"/>
  <c r="AI37" i="4"/>
  <c r="AI50" i="4"/>
  <c r="J47" i="5"/>
  <c r="E39" i="5"/>
  <c r="J19" i="5"/>
  <c r="AH46" i="4"/>
  <c r="AH41" i="4"/>
  <c r="AO17" i="4"/>
  <c r="AO16" i="4"/>
  <c r="AO50" i="4"/>
  <c r="AH57" i="4"/>
  <c r="AO48" i="4"/>
  <c r="AH58" i="4"/>
  <c r="J21" i="5"/>
  <c r="AI53" i="4"/>
  <c r="AL57" i="4"/>
  <c r="AI52" i="4"/>
  <c r="AL58" i="4"/>
  <c r="AO54" i="4"/>
  <c r="AH59" i="4"/>
  <c r="AO26" i="4"/>
  <c r="AL54" i="4"/>
  <c r="AI41" i="4"/>
  <c r="AI28" i="4"/>
  <c r="AO9" i="4"/>
  <c r="AI26" i="4"/>
  <c r="AI11" i="4"/>
  <c r="AI38" i="4"/>
  <c r="AI27" i="4"/>
  <c r="AH25" i="4"/>
  <c r="AO36" i="4"/>
  <c r="AL41" i="4"/>
  <c r="J12" i="5"/>
  <c r="AH19" i="4"/>
  <c r="AO30" i="4"/>
  <c r="AI15" i="4"/>
  <c r="F60" i="2"/>
  <c r="AI57" i="4" s="1"/>
  <c r="H55" i="2"/>
  <c r="H56" i="2"/>
  <c r="AH45" i="4"/>
  <c r="AH42" i="4"/>
  <c r="AH13" i="4"/>
  <c r="AH27" i="4"/>
  <c r="AH8" i="4"/>
  <c r="G80" i="4"/>
  <c r="F50" i="2"/>
  <c r="AC7" i="3"/>
  <c r="AC8" i="3"/>
  <c r="AC6" i="3"/>
  <c r="AC12" i="3"/>
  <c r="H52" i="2"/>
  <c r="K52" i="2" s="1"/>
  <c r="L52" i="2" s="1"/>
  <c r="F40" i="2"/>
  <c r="F34" i="2"/>
  <c r="J22" i="5" s="1"/>
  <c r="F32" i="2"/>
  <c r="J20" i="5" s="1"/>
  <c r="F58" i="2"/>
  <c r="AI55" i="4" s="1"/>
  <c r="H45" i="2"/>
  <c r="K45" i="2" s="1"/>
  <c r="S34" i="3"/>
  <c r="H42" i="2"/>
  <c r="AB11" i="3"/>
  <c r="H44" i="2"/>
  <c r="K44" i="2" s="1"/>
  <c r="Z7" i="3"/>
  <c r="C52" i="7"/>
  <c r="E54" i="7"/>
  <c r="C53" i="7"/>
  <c r="C54" i="7"/>
  <c r="G39" i="3"/>
  <c r="G32" i="3"/>
  <c r="AG48" i="4"/>
  <c r="L33" i="5" s="1"/>
  <c r="H34" i="7" s="1"/>
  <c r="C55" i="7"/>
  <c r="O64" i="2"/>
  <c r="H51" i="2"/>
  <c r="K51" i="2" s="1"/>
  <c r="Z4" i="3"/>
  <c r="Z10" i="3"/>
  <c r="Z5" i="3"/>
  <c r="B40" i="4"/>
  <c r="AG42" i="4"/>
  <c r="L30" i="5" s="1"/>
  <c r="H31" i="7" s="1"/>
  <c r="AC4" i="3"/>
  <c r="AB7" i="3"/>
  <c r="W53" i="4"/>
  <c r="H21" i="2"/>
  <c r="AL18" i="4" s="1"/>
  <c r="H46" i="2"/>
  <c r="K46" i="2" s="1"/>
  <c r="L46" i="2" s="1"/>
  <c r="AH44" i="4"/>
  <c r="AO5" i="4"/>
  <c r="AU5" i="4" s="1"/>
  <c r="AV5" i="4" s="1"/>
  <c r="AH32" i="4"/>
  <c r="AH12" i="4"/>
  <c r="S37" i="3"/>
  <c r="H50" i="2" s="1"/>
  <c r="H47" i="2"/>
  <c r="AC11" i="3"/>
  <c r="AB6" i="3"/>
  <c r="Z11" i="3"/>
  <c r="Z3" i="3"/>
  <c r="AB10" i="3"/>
  <c r="AG43" i="4"/>
  <c r="L31" i="5" s="1"/>
  <c r="H32" i="7" s="1"/>
  <c r="AG41" i="4"/>
  <c r="L29" i="5" s="1"/>
  <c r="H30" i="7" s="1"/>
  <c r="J38" i="5"/>
  <c r="D34" i="4"/>
  <c r="AH40" i="4"/>
  <c r="AH54" i="4"/>
  <c r="AH35" i="4"/>
  <c r="AH49" i="4"/>
  <c r="AH39" i="4"/>
  <c r="AH17" i="4"/>
  <c r="AO11" i="4"/>
  <c r="AO32" i="4"/>
  <c r="AO45" i="4"/>
  <c r="AO34" i="4"/>
  <c r="AO23" i="4"/>
  <c r="AO53" i="4"/>
  <c r="AO57" i="4"/>
  <c r="AL53" i="4"/>
  <c r="AL59" i="4"/>
  <c r="E30" i="5"/>
  <c r="E40" i="5"/>
  <c r="AI23" i="4"/>
  <c r="H48" i="2"/>
  <c r="AC2" i="3"/>
  <c r="S26" i="3"/>
  <c r="H32" i="2" s="1"/>
  <c r="E20" i="5" s="1"/>
  <c r="F61" i="2"/>
  <c r="AI58" i="4" s="1"/>
  <c r="H40" i="2"/>
  <c r="AL37" i="4" s="1"/>
  <c r="H26" i="3"/>
  <c r="H17" i="2" s="1"/>
  <c r="H37" i="3"/>
  <c r="H27" i="3"/>
  <c r="H26" i="2" s="1"/>
  <c r="H35" i="3"/>
  <c r="H29" i="3"/>
  <c r="AA4" i="3"/>
  <c r="H38" i="3"/>
  <c r="AA9" i="3"/>
  <c r="AA2" i="3"/>
  <c r="AA10" i="3"/>
  <c r="C17" i="4" l="1"/>
  <c r="F17" i="4"/>
  <c r="C19" i="4"/>
  <c r="F19" i="4"/>
  <c r="C14" i="4"/>
  <c r="F14" i="4"/>
  <c r="F16" i="4"/>
  <c r="C16" i="4"/>
  <c r="F18" i="4"/>
  <c r="C18" i="4"/>
  <c r="C37" i="4"/>
  <c r="F37" i="4"/>
  <c r="AL14" i="4"/>
  <c r="E11" i="5"/>
  <c r="E32" i="5"/>
  <c r="AG47" i="4"/>
  <c r="L32" i="5" s="1"/>
  <c r="H33" i="7" s="1"/>
  <c r="AL47" i="4"/>
  <c r="Q20" i="5"/>
  <c r="D21" i="7"/>
  <c r="G23" i="7"/>
  <c r="R22" i="5"/>
  <c r="L44" i="2"/>
  <c r="J29" i="5"/>
  <c r="E17" i="5"/>
  <c r="AL23" i="4"/>
  <c r="H37" i="2"/>
  <c r="H35" i="2"/>
  <c r="H36" i="2"/>
  <c r="H54" i="2"/>
  <c r="AK40" i="4"/>
  <c r="AJ40" i="4"/>
  <c r="AN40" i="4"/>
  <c r="AM40" i="4"/>
  <c r="AM17" i="4"/>
  <c r="AJ17" i="4"/>
  <c r="AN17" i="4"/>
  <c r="AK17" i="4"/>
  <c r="AG49" i="4"/>
  <c r="L34" i="5" s="1"/>
  <c r="H35" i="7" s="1"/>
  <c r="AN32" i="4"/>
  <c r="AK32" i="4"/>
  <c r="AM32" i="4"/>
  <c r="AJ32" i="4"/>
  <c r="H25" i="2"/>
  <c r="F59" i="2"/>
  <c r="AI56" i="4" s="1"/>
  <c r="F57" i="2"/>
  <c r="AI54" i="4" s="1"/>
  <c r="H28" i="2"/>
  <c r="F62" i="2"/>
  <c r="K50" i="2"/>
  <c r="E28" i="5"/>
  <c r="AU17" i="4"/>
  <c r="AV17" i="4" s="1"/>
  <c r="AL42" i="4"/>
  <c r="AN29" i="4"/>
  <c r="AM29" i="4"/>
  <c r="AJ29" i="4"/>
  <c r="AK29" i="4"/>
  <c r="G19" i="7"/>
  <c r="R18" i="5"/>
  <c r="AL43" i="4"/>
  <c r="AM48" i="4"/>
  <c r="AJ48" i="4"/>
  <c r="AN48" i="4"/>
  <c r="AK48" i="4"/>
  <c r="AM43" i="4"/>
  <c r="AN43" i="4"/>
  <c r="AK43" i="4"/>
  <c r="AJ43" i="4"/>
  <c r="Q38" i="5"/>
  <c r="D39" i="7"/>
  <c r="R9" i="5"/>
  <c r="G10" i="7"/>
  <c r="AM24" i="4"/>
  <c r="AJ24" i="4"/>
  <c r="AU24" i="4" s="1"/>
  <c r="AV24" i="4" s="1"/>
  <c r="AN24" i="4"/>
  <c r="AK24" i="4"/>
  <c r="AK14" i="4"/>
  <c r="AM14" i="4"/>
  <c r="AJ14" i="4"/>
  <c r="AN14" i="4"/>
  <c r="H15" i="2"/>
  <c r="H13" i="2"/>
  <c r="H9" i="2"/>
  <c r="H10" i="2"/>
  <c r="H16" i="2"/>
  <c r="H12" i="2"/>
  <c r="AM39" i="4"/>
  <c r="AJ39" i="4"/>
  <c r="AK39" i="4"/>
  <c r="AN39" i="4"/>
  <c r="L51" i="2"/>
  <c r="J33" i="5"/>
  <c r="H20" i="2"/>
  <c r="L45" i="2"/>
  <c r="J30" i="5"/>
  <c r="G13" i="7"/>
  <c r="R12" i="5"/>
  <c r="E29" i="5"/>
  <c r="AU26" i="4"/>
  <c r="AV26" i="4" s="1"/>
  <c r="AM41" i="4"/>
  <c r="AS41" i="4" s="1"/>
  <c r="AT41" i="4" s="1"/>
  <c r="AP41" i="4" s="1"/>
  <c r="AJ41" i="4"/>
  <c r="AN41" i="4"/>
  <c r="AK41" i="4"/>
  <c r="AL29" i="4"/>
  <c r="AN33" i="4"/>
  <c r="AK33" i="4"/>
  <c r="AM33" i="4"/>
  <c r="AJ33" i="4"/>
  <c r="AL48" i="4"/>
  <c r="AM28" i="4"/>
  <c r="AJ28" i="4"/>
  <c r="AU28" i="4" s="1"/>
  <c r="AV28" i="4" s="1"/>
  <c r="AN28" i="4"/>
  <c r="AK28" i="4"/>
  <c r="AN36" i="4"/>
  <c r="AK36" i="4"/>
  <c r="AM36" i="4"/>
  <c r="AJ36" i="4"/>
  <c r="AN51" i="4"/>
  <c r="AM51" i="4"/>
  <c r="AK51" i="4"/>
  <c r="AJ51" i="4"/>
  <c r="G39" i="7"/>
  <c r="R38" i="5"/>
  <c r="C40" i="4"/>
  <c r="F40" i="4"/>
  <c r="AK8" i="4"/>
  <c r="AM8" i="4"/>
  <c r="AJ8" i="4"/>
  <c r="AN8" i="4"/>
  <c r="AK46" i="4"/>
  <c r="AM46" i="4"/>
  <c r="AJ46" i="4"/>
  <c r="AN46" i="4"/>
  <c r="AM21" i="4"/>
  <c r="AJ21" i="4"/>
  <c r="AK21" i="4"/>
  <c r="AN21" i="4"/>
  <c r="AL49" i="4"/>
  <c r="AG37" i="4"/>
  <c r="L28" i="5" s="1"/>
  <c r="H29" i="7" s="1"/>
  <c r="AW41" i="4"/>
  <c r="AX41" i="4" s="1"/>
  <c r="AU39" i="4"/>
  <c r="AV39" i="4" s="1"/>
  <c r="E15" i="5"/>
  <c r="G21" i="7"/>
  <c r="R20" i="5"/>
  <c r="H39" i="2"/>
  <c r="AK27" i="4"/>
  <c r="AM27" i="4"/>
  <c r="AN27" i="4"/>
  <c r="AJ27" i="4"/>
  <c r="AU27" i="4" s="1"/>
  <c r="AV27" i="4" s="1"/>
  <c r="E33" i="5"/>
  <c r="AI47" i="4"/>
  <c r="AK58" i="4"/>
  <c r="AM58" i="4"/>
  <c r="AT58" i="4" s="1"/>
  <c r="AP58" i="4" s="1"/>
  <c r="AJ58" i="4"/>
  <c r="AQ58" i="4" s="1"/>
  <c r="AR58" i="4" s="1"/>
  <c r="AN58" i="4"/>
  <c r="J34" i="5"/>
  <c r="AK55" i="4"/>
  <c r="AM55" i="4"/>
  <c r="AT55" i="4" s="1"/>
  <c r="AP55" i="4" s="1"/>
  <c r="AN55" i="4"/>
  <c r="AJ55" i="4"/>
  <c r="AK37" i="4"/>
  <c r="AN37" i="4"/>
  <c r="AM37" i="4"/>
  <c r="AS37" i="4" s="1"/>
  <c r="AT37" i="4" s="1"/>
  <c r="AP37" i="4" s="1"/>
  <c r="AJ37" i="4"/>
  <c r="E31" i="5"/>
  <c r="AU47" i="4"/>
  <c r="AV47" i="4" s="1"/>
  <c r="AN9" i="4"/>
  <c r="AM9" i="4"/>
  <c r="AK9" i="4"/>
  <c r="AJ9" i="4"/>
  <c r="AU9" i="4" s="1"/>
  <c r="AV9" i="4" s="1"/>
  <c r="AU43" i="4"/>
  <c r="AV43" i="4" s="1"/>
  <c r="AM50" i="4"/>
  <c r="AN50" i="4"/>
  <c r="AJ50" i="4"/>
  <c r="AK50" i="4"/>
  <c r="AU41" i="4"/>
  <c r="AV41" i="4" s="1"/>
  <c r="G47" i="7"/>
  <c r="R46" i="5"/>
  <c r="AM56" i="4"/>
  <c r="AT56" i="4" s="1"/>
  <c r="AP56" i="4" s="1"/>
  <c r="AK56" i="4"/>
  <c r="AN56" i="4"/>
  <c r="AJ56" i="4"/>
  <c r="AQ56" i="4" s="1"/>
  <c r="AR56" i="4" s="1"/>
  <c r="AN15" i="4"/>
  <c r="AK15" i="4"/>
  <c r="AM15" i="4"/>
  <c r="AJ15" i="4"/>
  <c r="AU15" i="4" s="1"/>
  <c r="AV15" i="4" s="1"/>
  <c r="G22" i="7"/>
  <c r="R21" i="5"/>
  <c r="AM34" i="4"/>
  <c r="AJ34" i="4"/>
  <c r="AN34" i="4"/>
  <c r="AK34" i="4"/>
  <c r="AJ26" i="4"/>
  <c r="AN26" i="4"/>
  <c r="AK26" i="4"/>
  <c r="AM26" i="4"/>
  <c r="AN35" i="4"/>
  <c r="AM35" i="4"/>
  <c r="AJ35" i="4"/>
  <c r="AK35" i="4"/>
  <c r="Q40" i="5"/>
  <c r="D41" i="7"/>
  <c r="AU34" i="4"/>
  <c r="AV34" i="4" s="1"/>
  <c r="AM54" i="4"/>
  <c r="AT54" i="4" s="1"/>
  <c r="AP54" i="4" s="1"/>
  <c r="AN54" i="4"/>
  <c r="AK54" i="4"/>
  <c r="AJ54" i="4"/>
  <c r="AJ13" i="4"/>
  <c r="AK13" i="4"/>
  <c r="AN13" i="4"/>
  <c r="AM13" i="4"/>
  <c r="H8" i="2"/>
  <c r="AU36" i="4"/>
  <c r="AV36" i="4" s="1"/>
  <c r="AM59" i="4"/>
  <c r="AT59" i="4" s="1"/>
  <c r="AP59" i="4" s="1"/>
  <c r="AN59" i="4"/>
  <c r="AK59" i="4"/>
  <c r="AJ59" i="4"/>
  <c r="AU48" i="4"/>
  <c r="AV48" i="4" s="1"/>
  <c r="G20" i="7"/>
  <c r="R19" i="5"/>
  <c r="AN38" i="4"/>
  <c r="AK38" i="4"/>
  <c r="AM38" i="4"/>
  <c r="AJ38" i="4"/>
  <c r="Q22" i="5"/>
  <c r="D23" i="7"/>
  <c r="AJ22" i="4"/>
  <c r="AU22" i="4" s="1"/>
  <c r="AV22" i="4" s="1"/>
  <c r="AN22" i="4"/>
  <c r="AK22" i="4"/>
  <c r="AM22" i="4"/>
  <c r="AU51" i="4"/>
  <c r="AV51" i="4" s="1"/>
  <c r="AJ20" i="4"/>
  <c r="AN20" i="4"/>
  <c r="AK20" i="4"/>
  <c r="AM20" i="4"/>
  <c r="AM47" i="4"/>
  <c r="AN47" i="4"/>
  <c r="AK47" i="4"/>
  <c r="AJ47" i="4"/>
  <c r="AM30" i="4"/>
  <c r="AQ30" i="4" s="1"/>
  <c r="AR30" i="4" s="1"/>
  <c r="AK30" i="4"/>
  <c r="AJ30" i="4"/>
  <c r="AU30" i="4" s="1"/>
  <c r="AV30" i="4" s="1"/>
  <c r="AN30" i="4"/>
  <c r="Q47" i="5"/>
  <c r="D48" i="7"/>
  <c r="B51" i="7" s="1"/>
  <c r="K40" i="2"/>
  <c r="AJ42" i="4"/>
  <c r="AU42" i="4" s="1"/>
  <c r="AV42" i="4" s="1"/>
  <c r="AK42" i="4"/>
  <c r="AM42" i="4"/>
  <c r="AN42" i="4"/>
  <c r="H18" i="2"/>
  <c r="AN25" i="4"/>
  <c r="AM25" i="4"/>
  <c r="AJ25" i="4"/>
  <c r="AK25" i="4"/>
  <c r="AQ54" i="4"/>
  <c r="AR54" i="4" s="1"/>
  <c r="AM57" i="4"/>
  <c r="AT57" i="4" s="1"/>
  <c r="AP57" i="4" s="1"/>
  <c r="AN57" i="4"/>
  <c r="AK57" i="4"/>
  <c r="AJ57" i="4"/>
  <c r="AQ57" i="4" s="1"/>
  <c r="AR57" i="4" s="1"/>
  <c r="Q39" i="5"/>
  <c r="D40" i="7"/>
  <c r="AM11" i="4"/>
  <c r="AJ11" i="4"/>
  <c r="AU11" i="4" s="1"/>
  <c r="AV11" i="4" s="1"/>
  <c r="AN11" i="4"/>
  <c r="AK11" i="4"/>
  <c r="AU40" i="4"/>
  <c r="AV40" i="4" s="1"/>
  <c r="AU37" i="4"/>
  <c r="AV37" i="4" s="1"/>
  <c r="AK16" i="4"/>
  <c r="AM16" i="4"/>
  <c r="AJ16" i="4"/>
  <c r="AN16" i="4"/>
  <c r="AI29" i="4"/>
  <c r="AQ29" i="4" s="1"/>
  <c r="AR29" i="4" s="1"/>
  <c r="AU25" i="4"/>
  <c r="AV25" i="4" s="1"/>
  <c r="AJ53" i="4"/>
  <c r="AU53" i="4" s="1"/>
  <c r="AV53" i="4" s="1"/>
  <c r="AN53" i="4"/>
  <c r="AM53" i="4"/>
  <c r="AW53" i="4" s="1"/>
  <c r="AX53" i="4" s="1"/>
  <c r="AK53" i="4"/>
  <c r="AU14" i="4"/>
  <c r="AV14" i="4" s="1"/>
  <c r="AM10" i="4"/>
  <c r="AJ10" i="4"/>
  <c r="AN10" i="4"/>
  <c r="AK10" i="4"/>
  <c r="G7" i="7"/>
  <c r="R6" i="5"/>
  <c r="AK19" i="4"/>
  <c r="AM19" i="4"/>
  <c r="AJ19" i="4"/>
  <c r="AU19" i="4" s="1"/>
  <c r="AV19" i="4" s="1"/>
  <c r="AN19" i="4"/>
  <c r="Q30" i="5"/>
  <c r="D31" i="7"/>
  <c r="B20" i="4"/>
  <c r="B41" i="4"/>
  <c r="B43" i="4"/>
  <c r="B60" i="4"/>
  <c r="B42" i="4"/>
  <c r="B39" i="4"/>
  <c r="J39" i="5"/>
  <c r="H38" i="2"/>
  <c r="H19" i="2"/>
  <c r="AM45" i="4"/>
  <c r="AJ45" i="4"/>
  <c r="AU45" i="4" s="1"/>
  <c r="AV45" i="4" s="1"/>
  <c r="AN45" i="4"/>
  <c r="AK45" i="4"/>
  <c r="AU50" i="4"/>
  <c r="AV50" i="4" s="1"/>
  <c r="G48" i="7"/>
  <c r="D51" i="7" s="1"/>
  <c r="R47" i="5"/>
  <c r="AU46" i="4"/>
  <c r="AV46" i="4" s="1"/>
  <c r="AM23" i="4"/>
  <c r="AJ23" i="4"/>
  <c r="AU23" i="4" s="1"/>
  <c r="AV23" i="4" s="1"/>
  <c r="AK23" i="4"/>
  <c r="AN23" i="4"/>
  <c r="AU13" i="4"/>
  <c r="AV13" i="4" s="1"/>
  <c r="AM52" i="4"/>
  <c r="AJ52" i="4"/>
  <c r="AU52" i="4" s="1"/>
  <c r="AV52" i="4" s="1"/>
  <c r="AK52" i="4"/>
  <c r="AN52" i="4"/>
  <c r="H14" i="2"/>
  <c r="AK49" i="4"/>
  <c r="AJ49" i="4"/>
  <c r="AQ49" i="4" s="1"/>
  <c r="AR49" i="4" s="1"/>
  <c r="AM49" i="4"/>
  <c r="AN49" i="4"/>
  <c r="AN44" i="4"/>
  <c r="AK44" i="4"/>
  <c r="AM44" i="4"/>
  <c r="AJ44" i="4"/>
  <c r="AU44" i="4" s="1"/>
  <c r="AV44" i="4" s="1"/>
  <c r="AM31" i="4"/>
  <c r="AW31" i="4" s="1"/>
  <c r="AX31" i="4" s="1"/>
  <c r="AJ31" i="4"/>
  <c r="AQ31" i="4" s="1"/>
  <c r="AR31" i="4" s="1"/>
  <c r="AN31" i="4"/>
  <c r="AK31" i="4"/>
  <c r="H23" i="2"/>
  <c r="H24" i="2"/>
  <c r="AN12" i="4"/>
  <c r="AK12" i="4"/>
  <c r="AM12" i="4"/>
  <c r="AJ12" i="4"/>
  <c r="H29" i="2"/>
  <c r="H27" i="2"/>
  <c r="H22" i="2"/>
  <c r="H53" i="2"/>
  <c r="J31" i="5"/>
  <c r="AU16" i="4"/>
  <c r="AV16" i="4" s="1"/>
  <c r="E34" i="5"/>
  <c r="AU12" i="4"/>
  <c r="AV12" i="4" s="1"/>
  <c r="G18" i="7"/>
  <c r="R17" i="5"/>
  <c r="AU35" i="4"/>
  <c r="AV35" i="4" s="1"/>
  <c r="Q21" i="5"/>
  <c r="D22" i="7"/>
  <c r="AW30" i="4"/>
  <c r="AX30" i="4" s="1"/>
  <c r="AS30" i="4"/>
  <c r="AT30" i="4" s="1"/>
  <c r="AP30" i="4" s="1"/>
  <c r="AM18" i="4"/>
  <c r="AW18" i="4" s="1"/>
  <c r="AX18" i="4" s="1"/>
  <c r="AN18" i="4"/>
  <c r="AK18" i="4"/>
  <c r="AJ18" i="4"/>
  <c r="AU18" i="4" s="1"/>
  <c r="AV18" i="4" s="1"/>
  <c r="AQ55" i="4"/>
  <c r="AR55" i="4" s="1"/>
  <c r="H11" i="2"/>
  <c r="AU38" i="4"/>
  <c r="AV38" i="4" s="1"/>
  <c r="AS31" i="4" l="1"/>
  <c r="AT31" i="4" s="1"/>
  <c r="AP31" i="4" s="1"/>
  <c r="AQ48" i="4"/>
  <c r="AR48" i="4" s="1"/>
  <c r="AQ41" i="4"/>
  <c r="AR41" i="4" s="1"/>
  <c r="AQ43" i="4"/>
  <c r="AR43" i="4" s="1"/>
  <c r="C39" i="4"/>
  <c r="F39" i="4"/>
  <c r="AU8" i="4"/>
  <c r="AV8" i="4" s="1"/>
  <c r="AQ18" i="4"/>
  <c r="AR18" i="4" s="1"/>
  <c r="AU49" i="4"/>
  <c r="AV49" i="4" s="1"/>
  <c r="F42" i="4"/>
  <c r="C42" i="4"/>
  <c r="AQ37" i="4"/>
  <c r="AR37" i="4" s="1"/>
  <c r="L40" i="2"/>
  <c r="J28" i="5"/>
  <c r="AU31" i="4"/>
  <c r="AV31" i="4" s="1"/>
  <c r="K39" i="2"/>
  <c r="AL36" i="4"/>
  <c r="E27" i="5"/>
  <c r="AG36" i="4"/>
  <c r="L27" i="5" s="1"/>
  <c r="H28" i="7" s="1"/>
  <c r="AQ42" i="4"/>
  <c r="AR42" i="4" s="1"/>
  <c r="AQ14" i="4"/>
  <c r="AR14" i="4" s="1"/>
  <c r="AU29" i="4"/>
  <c r="AV29" i="4" s="1"/>
  <c r="AU33" i="4"/>
  <c r="AV33" i="4" s="1"/>
  <c r="AL28" i="4"/>
  <c r="AL13" i="4"/>
  <c r="AL46" i="4"/>
  <c r="AQ46" i="4" s="1"/>
  <c r="AR46" i="4" s="1"/>
  <c r="AL40" i="4"/>
  <c r="AL22" i="4"/>
  <c r="AQ22" i="4" s="1"/>
  <c r="AR22" i="4" s="1"/>
  <c r="AL34" i="4"/>
  <c r="AQ34" i="4" s="1"/>
  <c r="AR34" i="4" s="1"/>
  <c r="E26" i="5"/>
  <c r="AL35" i="4"/>
  <c r="AG35" i="4"/>
  <c r="L26" i="5" s="1"/>
  <c r="H27" i="7" s="1"/>
  <c r="R31" i="5"/>
  <c r="G32" i="7"/>
  <c r="AL38" i="4"/>
  <c r="AL44" i="4"/>
  <c r="AQ44" i="4" s="1"/>
  <c r="AR44" i="4" s="1"/>
  <c r="AL20" i="4"/>
  <c r="AL32" i="4"/>
  <c r="AL11" i="4"/>
  <c r="AL26" i="4"/>
  <c r="F60" i="4"/>
  <c r="C60" i="4"/>
  <c r="E8" i="5"/>
  <c r="AL5" i="4"/>
  <c r="AQ47" i="4"/>
  <c r="AR47" i="4" s="1"/>
  <c r="AU21" i="4"/>
  <c r="AV21" i="4" s="1"/>
  <c r="AQ53" i="4"/>
  <c r="AR53" i="4" s="1"/>
  <c r="AL17" i="4"/>
  <c r="E14" i="5"/>
  <c r="E6" i="5"/>
  <c r="AL9" i="4"/>
  <c r="AS23" i="4"/>
  <c r="AT23" i="4" s="1"/>
  <c r="AP23" i="4" s="1"/>
  <c r="AW23" i="4"/>
  <c r="AX23" i="4" s="1"/>
  <c r="AW47" i="4"/>
  <c r="AX47" i="4" s="1"/>
  <c r="AS47" i="4"/>
  <c r="AT47" i="4" s="1"/>
  <c r="AP47" i="4" s="1"/>
  <c r="AQ20" i="4"/>
  <c r="AR20" i="4" s="1"/>
  <c r="AQ32" i="4"/>
  <c r="AR32" i="4" s="1"/>
  <c r="AL19" i="4"/>
  <c r="E16" i="5"/>
  <c r="AU20" i="4"/>
  <c r="AV20" i="4" s="1"/>
  <c r="C41" i="4"/>
  <c r="F41" i="4"/>
  <c r="AL15" i="4"/>
  <c r="E12" i="5"/>
  <c r="AQ23" i="4"/>
  <c r="AR23" i="4" s="1"/>
  <c r="D32" i="7"/>
  <c r="Q31" i="5"/>
  <c r="Q33" i="5"/>
  <c r="D34" i="7"/>
  <c r="D16" i="7"/>
  <c r="Q15" i="5"/>
  <c r="Q29" i="5"/>
  <c r="D30" i="7"/>
  <c r="E10" i="5"/>
  <c r="AL7" i="4"/>
  <c r="Q28" i="5"/>
  <c r="D29" i="7"/>
  <c r="AS53" i="4"/>
  <c r="AT53" i="4" s="1"/>
  <c r="AP53" i="4" s="1"/>
  <c r="G30" i="7"/>
  <c r="R29" i="5"/>
  <c r="Q32" i="5"/>
  <c r="D33" i="7"/>
  <c r="D18" i="7"/>
  <c r="Q17" i="5"/>
  <c r="E18" i="5"/>
  <c r="AL24" i="4"/>
  <c r="AU10" i="4"/>
  <c r="AV10" i="4" s="1"/>
  <c r="AL16" i="4"/>
  <c r="E13" i="5"/>
  <c r="F20" i="4"/>
  <c r="F23" i="4" s="1"/>
  <c r="C20" i="4"/>
  <c r="C23" i="4" s="1"/>
  <c r="C24" i="4" s="1"/>
  <c r="G35" i="7"/>
  <c r="R34" i="5"/>
  <c r="AW29" i="4"/>
  <c r="AX29" i="4" s="1"/>
  <c r="AS29" i="4"/>
  <c r="AT29" i="4" s="1"/>
  <c r="AP29" i="4" s="1"/>
  <c r="E9" i="5"/>
  <c r="AL6" i="4"/>
  <c r="L50" i="2"/>
  <c r="J32" i="5"/>
  <c r="AL51" i="4"/>
  <c r="E46" i="5"/>
  <c r="AW37" i="4"/>
  <c r="AX37" i="4" s="1"/>
  <c r="C43" i="4"/>
  <c r="F43" i="4"/>
  <c r="R33" i="5"/>
  <c r="G34" i="7"/>
  <c r="AW49" i="4"/>
  <c r="AX49" i="4" s="1"/>
  <c r="AS49" i="4"/>
  <c r="AT49" i="4" s="1"/>
  <c r="AP49" i="4" s="1"/>
  <c r="E7" i="5"/>
  <c r="AL10" i="4"/>
  <c r="AS43" i="4"/>
  <c r="AT43" i="4" s="1"/>
  <c r="AP43" i="4" s="1"/>
  <c r="AW43" i="4"/>
  <c r="AX43" i="4" s="1"/>
  <c r="AW42" i="4"/>
  <c r="AX42" i="4" s="1"/>
  <c r="AS42" i="4"/>
  <c r="AT42" i="4" s="1"/>
  <c r="AP42" i="4" s="1"/>
  <c r="AI59" i="4"/>
  <c r="AQ59" i="4" s="1"/>
  <c r="AR59" i="4" s="1"/>
  <c r="J40" i="5"/>
  <c r="AS18" i="4"/>
  <c r="AT18" i="4" s="1"/>
  <c r="AP18" i="4" s="1"/>
  <c r="AL50" i="4"/>
  <c r="AL52" i="4"/>
  <c r="AU32" i="4"/>
  <c r="AV32" i="4" s="1"/>
  <c r="AQ13" i="4"/>
  <c r="AR13" i="4" s="1"/>
  <c r="Q34" i="5"/>
  <c r="D35" i="7"/>
  <c r="AQ12" i="4"/>
  <c r="AR12" i="4" s="1"/>
  <c r="R39" i="5"/>
  <c r="G40" i="7"/>
  <c r="AQ35" i="4"/>
  <c r="AR35" i="4" s="1"/>
  <c r="AQ9" i="4"/>
  <c r="AR9" i="4" s="1"/>
  <c r="AL12" i="4"/>
  <c r="AL21" i="4"/>
  <c r="AL39" i="4"/>
  <c r="AL45" i="4"/>
  <c r="AL33" i="4"/>
  <c r="AQ33" i="4" s="1"/>
  <c r="AR33" i="4" s="1"/>
  <c r="AL27" i="4"/>
  <c r="AL25" i="4"/>
  <c r="E19" i="5"/>
  <c r="Q11" i="5"/>
  <c r="D12" i="7"/>
  <c r="E5" i="5"/>
  <c r="AL8" i="4"/>
  <c r="AQ8" i="4" s="1"/>
  <c r="AR8" i="4" s="1"/>
  <c r="AQ19" i="4"/>
  <c r="AR19" i="4" s="1"/>
  <c r="AS48" i="4"/>
  <c r="AT48" i="4" s="1"/>
  <c r="AP48" i="4" s="1"/>
  <c r="AW48" i="4"/>
  <c r="AX48" i="4" s="1"/>
  <c r="G31" i="7"/>
  <c r="R30" i="5"/>
  <c r="AS14" i="4"/>
  <c r="AT14" i="4" s="1"/>
  <c r="AP14" i="4" s="1"/>
  <c r="AW14" i="4"/>
  <c r="AX14" i="4" s="1"/>
  <c r="G41" i="7" l="1"/>
  <c r="R40" i="5"/>
  <c r="AW52" i="4"/>
  <c r="AX52" i="4" s="1"/>
  <c r="AS52" i="4"/>
  <c r="AT52" i="4" s="1"/>
  <c r="AP52" i="4" s="1"/>
  <c r="AQ52" i="4"/>
  <c r="AR52" i="4" s="1"/>
  <c r="AW16" i="4"/>
  <c r="AX16" i="4" s="1"/>
  <c r="AS16" i="4"/>
  <c r="AT16" i="4" s="1"/>
  <c r="AP16" i="4" s="1"/>
  <c r="Q16" i="5"/>
  <c r="D17" i="7"/>
  <c r="AS5" i="4"/>
  <c r="AT5" i="4" s="1"/>
  <c r="AP5" i="4" s="1"/>
  <c r="AQ5" i="4"/>
  <c r="AR5" i="4" s="1"/>
  <c r="AW5" i="4"/>
  <c r="AX5" i="4" s="1"/>
  <c r="AW44" i="4"/>
  <c r="AX44" i="4" s="1"/>
  <c r="AS44" i="4"/>
  <c r="AT44" i="4" s="1"/>
  <c r="AP44" i="4" s="1"/>
  <c r="Q26" i="5"/>
  <c r="D27" i="7"/>
  <c r="J27" i="5"/>
  <c r="L39" i="2"/>
  <c r="AS24" i="4"/>
  <c r="AT24" i="4" s="1"/>
  <c r="AP24" i="4" s="1"/>
  <c r="AW24" i="4"/>
  <c r="AX24" i="4" s="1"/>
  <c r="AQ24" i="4"/>
  <c r="AR24" i="4" s="1"/>
  <c r="D7" i="7"/>
  <c r="Q6" i="5"/>
  <c r="Q14" i="5"/>
  <c r="D15" i="7"/>
  <c r="AS27" i="4"/>
  <c r="AT27" i="4" s="1"/>
  <c r="AP27" i="4" s="1"/>
  <c r="AW27" i="4"/>
  <c r="AX27" i="4" s="1"/>
  <c r="AQ27" i="4"/>
  <c r="AR27" i="4" s="1"/>
  <c r="AW33" i="4"/>
  <c r="AX33" i="4" s="1"/>
  <c r="AS33" i="4"/>
  <c r="AT33" i="4" s="1"/>
  <c r="AP33" i="4" s="1"/>
  <c r="AW50" i="4"/>
  <c r="AX50" i="4" s="1"/>
  <c r="AS50" i="4"/>
  <c r="AT50" i="4" s="1"/>
  <c r="AP50" i="4" s="1"/>
  <c r="AW10" i="4"/>
  <c r="AX10" i="4" s="1"/>
  <c r="AS10" i="4"/>
  <c r="AT10" i="4" s="1"/>
  <c r="AP10" i="4" s="1"/>
  <c r="AW19" i="4"/>
  <c r="AX19" i="4" s="1"/>
  <c r="AS19" i="4"/>
  <c r="AT19" i="4" s="1"/>
  <c r="AP19" i="4" s="1"/>
  <c r="AS9" i="4"/>
  <c r="AT9" i="4" s="1"/>
  <c r="AP9" i="4" s="1"/>
  <c r="AW9" i="4"/>
  <c r="AX9" i="4" s="1"/>
  <c r="Q8" i="5"/>
  <c r="D9" i="7"/>
  <c r="AS38" i="4"/>
  <c r="AT38" i="4" s="1"/>
  <c r="AP38" i="4" s="1"/>
  <c r="AW38" i="4"/>
  <c r="AX38" i="4" s="1"/>
  <c r="AS34" i="4"/>
  <c r="AT34" i="4" s="1"/>
  <c r="AP34" i="4" s="1"/>
  <c r="AW34" i="4"/>
  <c r="AX34" i="4" s="1"/>
  <c r="AW45" i="4"/>
  <c r="AX45" i="4" s="1"/>
  <c r="AS45" i="4"/>
  <c r="AT45" i="4" s="1"/>
  <c r="AP45" i="4" s="1"/>
  <c r="AW39" i="4"/>
  <c r="AX39" i="4" s="1"/>
  <c r="AS39" i="4"/>
  <c r="AT39" i="4" s="1"/>
  <c r="AP39" i="4" s="1"/>
  <c r="D13" i="7"/>
  <c r="Q12" i="5"/>
  <c r="AW21" i="4"/>
  <c r="AX21" i="4" s="1"/>
  <c r="AS21" i="4"/>
  <c r="AT21" i="4" s="1"/>
  <c r="AP21" i="4" s="1"/>
  <c r="R32" i="5"/>
  <c r="G33" i="7"/>
  <c r="AQ16" i="4"/>
  <c r="AR16" i="4" s="1"/>
  <c r="AS15" i="4"/>
  <c r="AT15" i="4" s="1"/>
  <c r="AP15" i="4" s="1"/>
  <c r="AW15" i="4"/>
  <c r="AX15" i="4" s="1"/>
  <c r="AQ15" i="4"/>
  <c r="AR15" i="4" s="1"/>
  <c r="AQ10" i="4"/>
  <c r="AR10" i="4" s="1"/>
  <c r="AW17" i="4"/>
  <c r="AX17" i="4" s="1"/>
  <c r="AS17" i="4"/>
  <c r="AT17" i="4" s="1"/>
  <c r="AP17" i="4" s="1"/>
  <c r="AQ17" i="4"/>
  <c r="AR17" i="4" s="1"/>
  <c r="AS26" i="4"/>
  <c r="AT26" i="4" s="1"/>
  <c r="AP26" i="4" s="1"/>
  <c r="AW26" i="4"/>
  <c r="AX26" i="4" s="1"/>
  <c r="AQ26" i="4"/>
  <c r="AR26" i="4" s="1"/>
  <c r="AW46" i="4"/>
  <c r="AX46" i="4" s="1"/>
  <c r="AS46" i="4"/>
  <c r="AT46" i="4" s="1"/>
  <c r="AP46" i="4" s="1"/>
  <c r="AQ21" i="4"/>
  <c r="AR21" i="4" s="1"/>
  <c r="F46" i="4"/>
  <c r="AW8" i="4"/>
  <c r="AX8" i="4" s="1"/>
  <c r="AS8" i="4"/>
  <c r="AT8" i="4" s="1"/>
  <c r="AP8" i="4" s="1"/>
  <c r="Q7" i="5"/>
  <c r="D8" i="7"/>
  <c r="AW22" i="4"/>
  <c r="AX22" i="4" s="1"/>
  <c r="AS22" i="4"/>
  <c r="AT22" i="4" s="1"/>
  <c r="AP22" i="4" s="1"/>
  <c r="AW51" i="4"/>
  <c r="AX51" i="4" s="1"/>
  <c r="AS51" i="4"/>
  <c r="AT51" i="4" s="1"/>
  <c r="AP51" i="4" s="1"/>
  <c r="AQ51" i="4"/>
  <c r="AR51" i="4" s="1"/>
  <c r="B72" i="4"/>
  <c r="F24" i="4"/>
  <c r="AS11" i="4"/>
  <c r="AT11" i="4" s="1"/>
  <c r="AP11" i="4" s="1"/>
  <c r="AW11" i="4"/>
  <c r="AX11" i="4" s="1"/>
  <c r="AQ11" i="4"/>
  <c r="AR11" i="4" s="1"/>
  <c r="AW13" i="4"/>
  <c r="AX13" i="4" s="1"/>
  <c r="AS13" i="4"/>
  <c r="AT13" i="4" s="1"/>
  <c r="AP13" i="4" s="1"/>
  <c r="C46" i="4"/>
  <c r="C47" i="4" s="1"/>
  <c r="D47" i="7"/>
  <c r="Q46" i="5"/>
  <c r="G29" i="7"/>
  <c r="R28" i="5"/>
  <c r="AW12" i="4"/>
  <c r="AX12" i="4" s="1"/>
  <c r="AS12" i="4"/>
  <c r="AT12" i="4" s="1"/>
  <c r="AP12" i="4" s="1"/>
  <c r="AS6" i="4"/>
  <c r="AT6" i="4" s="1"/>
  <c r="AP6" i="4" s="1"/>
  <c r="AW6" i="4"/>
  <c r="AX6" i="4" s="1"/>
  <c r="AQ6" i="4"/>
  <c r="AR6" i="4" s="1"/>
  <c r="AW7" i="4"/>
  <c r="AX7" i="4" s="1"/>
  <c r="AS7" i="4"/>
  <c r="AT7" i="4" s="1"/>
  <c r="AP7" i="4" s="1"/>
  <c r="AQ7" i="4"/>
  <c r="AR7" i="4" s="1"/>
  <c r="AS32" i="4"/>
  <c r="AT32" i="4" s="1"/>
  <c r="AP32" i="4" s="1"/>
  <c r="AW32" i="4"/>
  <c r="AX32" i="4" s="1"/>
  <c r="L38" i="2"/>
  <c r="J26" i="5"/>
  <c r="AW28" i="4"/>
  <c r="AX28" i="4" s="1"/>
  <c r="AS28" i="4"/>
  <c r="AT28" i="4" s="1"/>
  <c r="AP28" i="4" s="1"/>
  <c r="AQ28" i="4"/>
  <c r="AR28" i="4" s="1"/>
  <c r="Q27" i="5"/>
  <c r="D28" i="7"/>
  <c r="AQ50" i="4"/>
  <c r="AR50" i="4" s="1"/>
  <c r="Q5" i="5"/>
  <c r="D6" i="7"/>
  <c r="Q18" i="5"/>
  <c r="D19" i="7"/>
  <c r="AW40" i="4"/>
  <c r="AX40" i="4" s="1"/>
  <c r="AS40" i="4"/>
  <c r="AT40" i="4" s="1"/>
  <c r="AP40" i="4" s="1"/>
  <c r="AQ40" i="4"/>
  <c r="AR40" i="4" s="1"/>
  <c r="D20" i="7"/>
  <c r="Q19" i="5"/>
  <c r="AQ39" i="4"/>
  <c r="AR39" i="4" s="1"/>
  <c r="AQ45" i="4"/>
  <c r="AR45" i="4" s="1"/>
  <c r="AS25" i="4"/>
  <c r="AT25" i="4" s="1"/>
  <c r="AP25" i="4" s="1"/>
  <c r="AW25" i="4"/>
  <c r="AX25" i="4" s="1"/>
  <c r="AQ25" i="4"/>
  <c r="AR25" i="4" s="1"/>
  <c r="D10" i="7"/>
  <c r="Q9" i="5"/>
  <c r="D14" i="7"/>
  <c r="Q13" i="5"/>
  <c r="Q10" i="5"/>
  <c r="D11" i="7"/>
  <c r="AW20" i="4"/>
  <c r="AX20" i="4" s="1"/>
  <c r="AS20" i="4"/>
  <c r="AT20" i="4" s="1"/>
  <c r="AP20" i="4" s="1"/>
  <c r="AS35" i="4"/>
  <c r="AT35" i="4" s="1"/>
  <c r="AP35" i="4" s="1"/>
  <c r="AW35" i="4"/>
  <c r="AX35" i="4" s="1"/>
  <c r="AW36" i="4"/>
  <c r="AX36" i="4" s="1"/>
  <c r="AS36" i="4"/>
  <c r="AT36" i="4" s="1"/>
  <c r="AP36" i="4" s="1"/>
  <c r="AQ36" i="4"/>
  <c r="AR36" i="4" s="1"/>
  <c r="AQ38" i="4"/>
  <c r="AR38" i="4" s="1"/>
  <c r="E72" i="4" l="1"/>
  <c r="F72" i="4" s="1"/>
  <c r="F76" i="4" s="1"/>
  <c r="F25" i="4"/>
  <c r="F26" i="4" s="1"/>
  <c r="C72" i="4"/>
  <c r="C76" i="4" s="1"/>
  <c r="C77" i="4" s="1"/>
  <c r="F47" i="4"/>
  <c r="B58" i="4"/>
  <c r="G27" i="7"/>
  <c r="R26" i="5"/>
  <c r="R27" i="5"/>
  <c r="G28" i="7"/>
  <c r="F77" i="4" l="1"/>
  <c r="F78" i="4" s="1"/>
  <c r="AD4" i="4" s="1"/>
  <c r="F48" i="4"/>
  <c r="F49" i="4" s="1"/>
  <c r="E58" i="4"/>
  <c r="F58" i="4" s="1"/>
  <c r="F62" i="4" s="1"/>
  <c r="C58" i="4"/>
  <c r="C62" i="4" s="1"/>
  <c r="C63" i="4" s="1"/>
  <c r="F63" i="4" l="1"/>
  <c r="F64" i="4" s="1"/>
  <c r="AF4" i="4" s="1"/>
  <c r="F79" i="4"/>
  <c r="F80" i="4" s="1"/>
  <c r="AC4" i="4" s="1"/>
  <c r="F65" i="4" l="1"/>
  <c r="F66" i="4" s="1"/>
  <c r="AE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t.stewart</author>
    <author>k.jones</author>
  </authors>
  <commentList>
    <comment ref="B1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40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
TJS: or 1000 Hz?
KJ:in counts so 10x100/f</t>
        </r>
      </text>
    </comment>
    <comment ref="B41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1" shapeId="0" xr:uid="{00000000-0006-0000-0400-000004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1" shapeId="0" xr:uid="{00000000-0006-0000-04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
Leave at zero.</t>
        </r>
      </text>
    </comment>
    <comment ref="B60" authorId="1" shapeId="0" xr:uid="{00000000-0006-0000-0400-000006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2" authorId="1" shapeId="0" xr:uid="{00000000-0006-0000-04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1" shapeId="0" xr:uid="{00000000-0006-0000-04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1" shapeId="0" xr:uid="{00000000-0006-0000-04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
Leave at zero.</t>
        </r>
      </text>
    </comment>
  </commentList>
</comments>
</file>

<file path=xl/sharedStrings.xml><?xml version="1.0" encoding="utf-8"?>
<sst xmlns="http://schemas.openxmlformats.org/spreadsheetml/2006/main" count="1953" uniqueCount="539">
  <si>
    <t>Range</t>
  </si>
  <si>
    <t>Results Using Universal Bridge</t>
  </si>
  <si>
    <t>Tap</t>
  </si>
  <si>
    <t>Label</t>
  </si>
  <si>
    <t>a</t>
  </si>
  <si>
    <t>b</t>
  </si>
  <si>
    <t>Inductance</t>
  </si>
  <si>
    <t>Resistance</t>
  </si>
  <si>
    <t>(mH)</t>
  </si>
  <si>
    <r>
      <t>(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)</t>
    </r>
  </si>
  <si>
    <t>4Z</t>
  </si>
  <si>
    <t>5Z</t>
  </si>
  <si>
    <t>This table is the usual form for calculating spreadsheet corrections</t>
  </si>
  <si>
    <t>Date</t>
  </si>
  <si>
    <t>C1</t>
  </si>
  <si>
    <t>R4A</t>
  </si>
  <si>
    <t>R4B</t>
  </si>
  <si>
    <t>R4C</t>
  </si>
  <si>
    <t>G1</t>
  </si>
  <si>
    <t>G2</t>
  </si>
  <si>
    <t>c</t>
  </si>
  <si>
    <t>d</t>
  </si>
  <si>
    <t xml:space="preserve">Component </t>
  </si>
  <si>
    <t>Value</t>
  </si>
  <si>
    <t>1.6 kHz</t>
  </si>
  <si>
    <t>&lt;10</t>
  </si>
  <si>
    <t>except for range  4, up to 44?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</si>
  <si>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</si>
  <si>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</si>
  <si>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</si>
  <si>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</si>
  <si>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</si>
  <si>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</si>
  <si>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</si>
  <si>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</si>
  <si>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</si>
  <si>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</si>
  <si>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</si>
  <si>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</si>
  <si>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</si>
  <si>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</si>
  <si>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</si>
  <si>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</si>
  <si>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</si>
  <si>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</si>
  <si>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</si>
  <si>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</si>
  <si>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</si>
  <si>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</si>
  <si>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assume negligible c,d</t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</si>
  <si>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</si>
  <si>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</si>
  <si>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</si>
  <si>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(G3=1/R4*)</t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</si>
  <si>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</si>
  <si>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</si>
  <si>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</si>
  <si>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</si>
  <si>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</si>
  <si>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</si>
  <si>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</si>
  <si>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</si>
  <si>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</si>
  <si>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6Z</t>
  </si>
  <si>
    <t>7Z</t>
  </si>
  <si>
    <t>1Y</t>
  </si>
  <si>
    <t>2Y</t>
  </si>
  <si>
    <t>3Y</t>
  </si>
  <si>
    <t>4Y</t>
  </si>
  <si>
    <t>5Y</t>
  </si>
  <si>
    <t>6Y</t>
  </si>
  <si>
    <t>7Y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</si>
  <si>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</si>
  <si>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</si>
  <si>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</si>
  <si>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</si>
  <si>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Palatino"/>
        <family val="1"/>
      </rPr>
      <t>H</t>
    </r>
  </si>
  <si>
    <r>
      <t>m</t>
    </r>
    <r>
      <rPr>
        <sz val="12"/>
        <rFont val="Symbol"/>
        <family val="1"/>
        <charset val="2"/>
      </rPr>
      <t>W</t>
    </r>
  </si>
  <si>
    <t>W</t>
  </si>
  <si>
    <t>mH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</si>
  <si>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</si>
  <si>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</si>
  <si>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</si>
  <si>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r>
      <t>m</t>
    </r>
    <r>
      <rPr>
        <sz val="12"/>
        <rFont val="Palatino"/>
        <family val="1"/>
      </rPr>
      <t>F</t>
    </r>
  </si>
  <si>
    <t>mS</t>
  </si>
  <si>
    <t>nF</t>
  </si>
  <si>
    <r>
      <t>m</t>
    </r>
    <r>
      <rPr>
        <sz val="12"/>
        <rFont val="Palatino"/>
        <family val="1"/>
      </rPr>
      <t>S</t>
    </r>
  </si>
  <si>
    <t>pF</t>
  </si>
  <si>
    <t>nS</t>
  </si>
  <si>
    <t>UNCERTAINTY</t>
  </si>
  <si>
    <t>Information for calculating expanded uncertainties</t>
  </si>
  <si>
    <t>GEUM uncertainty calculation template</t>
  </si>
  <si>
    <t>k-factor from degrees of freedom</t>
  </si>
  <si>
    <t>Model for uncertainty calculation.</t>
  </si>
  <si>
    <t>k</t>
  </si>
  <si>
    <t>R uncertainty</t>
  </si>
  <si>
    <t>Base on formula for Universal bridge....ie assign an uncertainty to each term.</t>
  </si>
  <si>
    <t xml:space="preserve">The 95% level of confidence expanded uncertainties are calculated using the Welch-Satterthwaite </t>
  </si>
  <si>
    <t xml:space="preserve">formula to combine standard uncertainties.   The individual degrees of freedom are derived either 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</si>
  <si>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</si>
  <si>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</si>
  <si>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</si>
  <si>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</si>
  <si>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for</t>
  </si>
  <si>
    <t>inductance dial setting</t>
  </si>
  <si>
    <t>Source of uncertainty</t>
  </si>
  <si>
    <t>Uncertainties</t>
  </si>
  <si>
    <t xml:space="preserve">Degrees of </t>
  </si>
  <si>
    <t xml:space="preserve"> u (counts)</t>
  </si>
  <si>
    <t>Variances</t>
  </si>
  <si>
    <t>% Accuracy</t>
  </si>
  <si>
    <t>Freedom, v</t>
  </si>
  <si>
    <t>u^4/v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</si>
  <si>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</si>
  <si>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</si>
  <si>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</si>
  <si>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</si>
  <si>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</si>
  <si>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</si>
  <si>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</si>
  <si>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</si>
  <si>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</si>
  <si>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</si>
  <si>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inductance error due to phase error in resistance</t>
  </si>
  <si>
    <t>-</t>
  </si>
  <si>
    <t>resolution</t>
  </si>
  <si>
    <t>this might be range and frequency dependent</t>
  </si>
  <si>
    <t>Sum of variance</t>
  </si>
  <si>
    <t>Sum of u^4/v</t>
  </si>
  <si>
    <t>u combined (counts)</t>
  </si>
  <si>
    <t>effective v</t>
  </si>
  <si>
    <t>Assumptions</t>
  </si>
  <si>
    <t>expanded u (counts)</t>
  </si>
  <si>
    <t>1/ For all frequencies.  Additional noise typical at 50 Hz needs to be added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</si>
  <si>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</si>
  <si>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</si>
  <si>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Universal bridge resistance uncertainty</t>
  </si>
  <si>
    <t>resistance error due to phase error in inductance</t>
  </si>
  <si>
    <t>based on standard deviation of 1984 determinations, 160 counts (16 ppm) for C at full scale</t>
  </si>
  <si>
    <t>stability of resistors only</t>
  </si>
  <si>
    <t>1/ This scatter is consistent with Thompson's phase standards.</t>
  </si>
  <si>
    <t>ubridge uncertainty</t>
  </si>
  <si>
    <t>3 month drift in resistance</t>
  </si>
  <si>
    <t>temperature coefficient</t>
  </si>
  <si>
    <t>1/</t>
  </si>
  <si>
    <t>assume 0.5 deg at one sigma and 50 ppm for the temp coefficient</t>
  </si>
  <si>
    <t>3 month drift of standard</t>
  </si>
  <si>
    <t>Expanded</t>
  </si>
  <si>
    <t>Coverage</t>
  </si>
  <si>
    <t xml:space="preserve">Uncertainty </t>
  </si>
  <si>
    <t>Factor</t>
  </si>
  <si>
    <t>bridge calibration, using HP3458 as transfer instrument</t>
  </si>
  <si>
    <t>This is a data table with B9 as the column input cell.</t>
  </si>
  <si>
    <t>This must be re-calculated with new data sets.</t>
  </si>
  <si>
    <t>Change</t>
  </si>
  <si>
    <t>Job No</t>
  </si>
  <si>
    <t>Snumber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</si>
  <si>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</si>
  <si>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</si>
  <si>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</si>
  <si>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</si>
  <si>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bridge calibration, following MSLT.E.023.004.  Uncertainties have increased.</t>
  </si>
  <si>
    <t>some doubt on stability of capacitor in particular, increased in 2004</t>
  </si>
  <si>
    <t>16 ppm of resistance dial setting, see comment for resistance, reduced to 5 ppm after 2004 cal</t>
  </si>
  <si>
    <t>4/ Updated following 2004/5 UB calibration, see AUDIREGC</t>
  </si>
  <si>
    <t>2/ Updated following 200/54 UB calibration see AUDIREGC</t>
  </si>
  <si>
    <t>based on scatter of results in 1984, increased following 2004 and 2005 calibration</t>
  </si>
  <si>
    <t>based on scatter of results in 1984, increased in 2004 and 2005</t>
  </si>
  <si>
    <t>correction_c</t>
  </si>
  <si>
    <t>New UB calibrations need to be entered in Data block and accessed through the Date</t>
  </si>
  <si>
    <t>Universal bridge dial readings are entered on Results page</t>
  </si>
  <si>
    <t>Test Data</t>
  </si>
  <si>
    <t>Previous values are entered on Results page</t>
  </si>
  <si>
    <t>These are used in the uncertainty calculation</t>
  </si>
  <si>
    <t>Check that Ubridge calibration is up to date on Universal Bridge page</t>
  </si>
  <si>
    <t>This page will need to be unlocked to load new calibration data into the Data block.</t>
  </si>
  <si>
    <t>The Previous reports page is unprotected as it is not used in the final report.</t>
  </si>
  <si>
    <t>It is strongly recommended that the history be reviewed before issuing the report</t>
  </si>
  <si>
    <t>There are 4 Instructions</t>
  </si>
  <si>
    <t>Pasting the test data above into this sheet will give the following report tables</t>
  </si>
  <si>
    <t>0.30</t>
  </si>
  <si>
    <t>0.28</t>
  </si>
  <si>
    <t>0.0052</t>
  </si>
  <si>
    <t>0.26</t>
  </si>
  <si>
    <t>0.0045</t>
  </si>
  <si>
    <t>0.24</t>
  </si>
  <si>
    <t>0.22</t>
  </si>
  <si>
    <t>0.20</t>
  </si>
  <si>
    <t>0.15</t>
  </si>
  <si>
    <t>0.12</t>
  </si>
  <si>
    <t>0.08</t>
  </si>
  <si>
    <t>2.6</t>
  </si>
  <si>
    <t>2.4</t>
  </si>
  <si>
    <t>2.2</t>
  </si>
  <si>
    <t>2.1</t>
  </si>
  <si>
    <t>1.9</t>
  </si>
  <si>
    <t>1.7</t>
  </si>
  <si>
    <t>1.5</t>
  </si>
  <si>
    <t>1.3</t>
  </si>
  <si>
    <t>0.014</t>
  </si>
  <si>
    <t>242.3</t>
  </si>
  <si>
    <t>1.1</t>
  </si>
  <si>
    <t>167.1</t>
  </si>
  <si>
    <t>0.7</t>
  </si>
  <si>
    <t>The date must be entered to allow drift calculation</t>
  </si>
  <si>
    <t>Latest comment</t>
  </si>
  <si>
    <t>Increase from 2 to 5 ppm to account for short-term instability of 1000 pF capacitor</t>
  </si>
  <si>
    <t>UBIII</t>
  </si>
  <si>
    <t>bridge calibration, following MSLT.E.023.004/5.  Uncertainties have increased slightly from 2005.</t>
  </si>
  <si>
    <t xml:space="preserve">Previous value was 7 ppm, now increased to 17 ppm to acount for errors on RHS of bridge.  </t>
  </si>
  <si>
    <t>Link to conductance setting, previously just 2 counts</t>
  </si>
  <si>
    <t>conductance dial setting</t>
  </si>
  <si>
    <t>Previous was 16, use latest value of 5 from MSLT.E.023.005</t>
  </si>
  <si>
    <t xml:space="preserve">Previous value was 2, now decreased to 1 ppm following MSLT.E023.005 </t>
  </si>
  <si>
    <t xml:space="preserve">Previous value was 1, now increased to 2 ppm following MSLT.E023.005 </t>
  </si>
  <si>
    <t>all references to the conductance dial are now to cell D34 (previously separate lookups back to results page)</t>
  </si>
  <si>
    <t>29.2715</t>
  </si>
  <si>
    <t>19.9931</t>
  </si>
  <si>
    <t>10.1520</t>
  </si>
  <si>
    <t>304.305</t>
  </si>
  <si>
    <t>207.691</t>
  </si>
  <si>
    <t>103.900</t>
  </si>
  <si>
    <t>101.0934</t>
  </si>
  <si>
    <t>88.9860</t>
  </si>
  <si>
    <t>78.8826</t>
  </si>
  <si>
    <t>68.9465</t>
  </si>
  <si>
    <t>59.1017</t>
  </si>
  <si>
    <t>49.0579</t>
  </si>
  <si>
    <t>39.3546</t>
  </si>
  <si>
    <t>984.939</t>
  </si>
  <si>
    <t>878.232</t>
  </si>
  <si>
    <t>783.086</t>
  </si>
  <si>
    <t>689.813</t>
  </si>
  <si>
    <t>592.360</t>
  </si>
  <si>
    <t>494.710</t>
  </si>
  <si>
    <t>398.931</t>
  </si>
  <si>
    <t>0.0070</t>
  </si>
  <si>
    <t>0.0065</t>
  </si>
  <si>
    <t>0.0059</t>
  </si>
  <si>
    <t>0.0038</t>
  </si>
  <si>
    <t>0.0031</t>
  </si>
  <si>
    <t>0.0023</t>
  </si>
  <si>
    <t>0.0016</t>
  </si>
  <si>
    <t>0.0009</t>
  </si>
  <si>
    <t>0.060</t>
  </si>
  <si>
    <t>0.053</t>
  </si>
  <si>
    <t>0.047</t>
  </si>
  <si>
    <t>0.040</t>
  </si>
  <si>
    <t>0.034</t>
  </si>
  <si>
    <t>0.027</t>
  </si>
  <si>
    <t>0.021</t>
  </si>
  <si>
    <t>0.008</t>
  </si>
  <si>
    <t>Previous Calibration, S21637</t>
  </si>
  <si>
    <t>69.49</t>
  </si>
  <si>
    <t>64.46</t>
  </si>
  <si>
    <t>59.95</t>
  </si>
  <si>
    <t>55.41</t>
  </si>
  <si>
    <t>50.72</t>
  </si>
  <si>
    <t>45.64</t>
  </si>
  <si>
    <t>40.31</t>
  </si>
  <si>
    <t>34.27</t>
  </si>
  <si>
    <t>27.84</t>
  </si>
  <si>
    <t>19.36</t>
  </si>
  <si>
    <t>593.3</t>
  </si>
  <si>
    <t>552.9</t>
  </si>
  <si>
    <t>515.0</t>
  </si>
  <si>
    <t>476.9</t>
  </si>
  <si>
    <t>436.2</t>
  </si>
  <si>
    <t>393.1</t>
  </si>
  <si>
    <t>347.8</t>
  </si>
  <si>
    <t>299.4</t>
  </si>
  <si>
    <t>CMC</t>
  </si>
  <si>
    <t>CMC/U</t>
  </si>
  <si>
    <t>(W)</t>
  </si>
  <si>
    <t>0.17</t>
  </si>
  <si>
    <t>0.068</t>
  </si>
  <si>
    <t>HP16074A Calibration R-L Standard</t>
  </si>
  <si>
    <t>Babcock Fitzroy</t>
  </si>
  <si>
    <t>Item</t>
  </si>
  <si>
    <t>0 ohm</t>
  </si>
  <si>
    <t>Short</t>
  </si>
  <si>
    <t>coax 0</t>
  </si>
  <si>
    <t>0.1 ohm</t>
  </si>
  <si>
    <t>1 ohm</t>
  </si>
  <si>
    <t>10 ohm</t>
  </si>
  <si>
    <t>100 ohm</t>
  </si>
  <si>
    <t>1000 ohm</t>
  </si>
  <si>
    <t>10 k ohm</t>
  </si>
  <si>
    <t>100 k ohm</t>
  </si>
  <si>
    <t>100 micro</t>
  </si>
  <si>
    <t>100 milli</t>
  </si>
  <si>
    <t>coax open</t>
  </si>
  <si>
    <t>Open</t>
  </si>
  <si>
    <t>53_0 ohm</t>
  </si>
  <si>
    <t>400_0 ohm</t>
  </si>
  <si>
    <t>1000_0 ohm</t>
  </si>
  <si>
    <t>53_Short</t>
  </si>
  <si>
    <t>400_Short</t>
  </si>
  <si>
    <t>1000_Short</t>
  </si>
  <si>
    <t>53_coax 0</t>
  </si>
  <si>
    <t>400_coax 0</t>
  </si>
  <si>
    <t>1000_coax 0</t>
  </si>
  <si>
    <t>53_0.1 ohm</t>
  </si>
  <si>
    <t>1000_0.1 ohm</t>
  </si>
  <si>
    <t>53_1 ohm</t>
  </si>
  <si>
    <t>400_1 ohm</t>
  </si>
  <si>
    <t>1000_1 ohm</t>
  </si>
  <si>
    <t>53_10 ohm</t>
  </si>
  <si>
    <t>400_10 ohm</t>
  </si>
  <si>
    <t>1000_10 ohm</t>
  </si>
  <si>
    <t>L to C</t>
  </si>
  <si>
    <t>This template is created starting with 'Muirhead Decade L template II' and adding the reporting structure of 'HP16074A' from the E023 directory.</t>
  </si>
  <si>
    <t>Frequency</t>
  </si>
  <si>
    <t>R&amp;F</t>
  </si>
  <si>
    <t>The component label is the key variable for the table</t>
  </si>
  <si>
    <t>Component label</t>
  </si>
  <si>
    <t>53_100 ohm</t>
  </si>
  <si>
    <t>400_100 ohm</t>
  </si>
  <si>
    <t>1000_100 ohm</t>
  </si>
  <si>
    <t>53_1000 ohm</t>
  </si>
  <si>
    <t>400_1000 ohm</t>
  </si>
  <si>
    <t>1000_1000 ohm</t>
  </si>
  <si>
    <t>53_10 k ohm</t>
  </si>
  <si>
    <t>400_10 k ohm</t>
  </si>
  <si>
    <t>1000_10 k ohm</t>
  </si>
  <si>
    <t>53_100 k ohm</t>
  </si>
  <si>
    <t>400_100 k ohm</t>
  </si>
  <si>
    <t>1000_100 k ohm</t>
  </si>
  <si>
    <t>1600_coax 0</t>
  </si>
  <si>
    <t>1600_100 micro</t>
  </si>
  <si>
    <t>1600_100 milli</t>
  </si>
  <si>
    <t>53_coax open</t>
  </si>
  <si>
    <t>400_coax open</t>
  </si>
  <si>
    <t>1000_coax open</t>
  </si>
  <si>
    <t>53_Open</t>
  </si>
  <si>
    <t>400_Open</t>
  </si>
  <si>
    <t>1000_Open</t>
  </si>
  <si>
    <t>Module</t>
  </si>
  <si>
    <t>Uncertainty</t>
  </si>
  <si>
    <t>(Hz)</t>
  </si>
  <si>
    <t>SHORT</t>
  </si>
  <si>
    <t>m</t>
  </si>
  <si>
    <t>1 k</t>
  </si>
  <si>
    <t>400_0.1 ohm</t>
  </si>
  <si>
    <t>1k</t>
  </si>
  <si>
    <t>Capacitance</t>
  </si>
  <si>
    <t>(pF)</t>
  </si>
  <si>
    <t>Conductance</t>
  </si>
  <si>
    <t>(nS)</t>
  </si>
  <si>
    <t>OPEN</t>
  </si>
  <si>
    <t>(kHz)</t>
  </si>
  <si>
    <t>(H)</t>
  </si>
  <si>
    <t>100 mH</t>
  </si>
  <si>
    <t>Resistance uncertainty for 16074A</t>
  </si>
  <si>
    <t>ubridge count uncertainty</t>
  </si>
  <si>
    <t>u combined (count)</t>
  </si>
  <si>
    <t>expanded u (count)</t>
  </si>
  <si>
    <t>Note that an overestimation by a factor of 10 was found in the UB resistance uncertainty of the Muirhead decade L.  Not significant as dominated by copper temperature.</t>
  </si>
  <si>
    <t>Universal bridge reactance uncertainty</t>
  </si>
  <si>
    <t>Reactance uncertainty for 16074A</t>
  </si>
  <si>
    <t>Parameters dependent on component</t>
  </si>
  <si>
    <t>R alpha</t>
  </si>
  <si>
    <t>u_R alpha</t>
  </si>
  <si>
    <t xml:space="preserve">assume u_t = 0.5 degree </t>
  </si>
  <si>
    <t>L/C alpha</t>
  </si>
  <si>
    <t>u_L/C alpha</t>
  </si>
  <si>
    <t>Convert</t>
  </si>
  <si>
    <t>=-L/R^2, pF</t>
  </si>
  <si>
    <t>Symbol font versions</t>
  </si>
  <si>
    <t>Plain version</t>
  </si>
  <si>
    <t>microH</t>
  </si>
  <si>
    <t>milliH</t>
  </si>
  <si>
    <t>microF</t>
  </si>
  <si>
    <t>milliohm</t>
  </si>
  <si>
    <t>kilohm</t>
  </si>
  <si>
    <t>milliS</t>
  </si>
  <si>
    <t>microS</t>
  </si>
  <si>
    <t>L/C uncertainty</t>
  </si>
  <si>
    <r>
      <t>(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</si>
  <si>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r>
      <t>(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H)</t>
    </r>
  </si>
  <si>
    <r>
      <t xml:space="preserve">0 </t>
    </r>
    <r>
      <rPr>
        <sz val="11.95"/>
        <color indexed="8"/>
        <rFont val="Symbol"/>
        <family val="1"/>
        <charset val="2"/>
      </rPr>
      <t>W</t>
    </r>
  </si>
  <si>
    <r>
      <t xml:space="preserve">0.1 </t>
    </r>
    <r>
      <rPr>
        <sz val="11.95"/>
        <color indexed="8"/>
        <rFont val="Symbol"/>
        <family val="1"/>
        <charset val="2"/>
      </rPr>
      <t>W</t>
    </r>
  </si>
  <si>
    <r>
      <t xml:space="preserve">1 </t>
    </r>
    <r>
      <rPr>
        <sz val="11.95"/>
        <color indexed="8"/>
        <rFont val="Symbol"/>
        <family val="1"/>
        <charset val="2"/>
      </rPr>
      <t>W</t>
    </r>
  </si>
  <si>
    <r>
      <t xml:space="preserve">10 </t>
    </r>
    <r>
      <rPr>
        <sz val="11.95"/>
        <color indexed="8"/>
        <rFont val="Symbol"/>
        <family val="1"/>
        <charset val="2"/>
      </rPr>
      <t>W</t>
    </r>
  </si>
  <si>
    <r>
      <t>100</t>
    </r>
    <r>
      <rPr>
        <sz val="11.95"/>
        <color indexed="8"/>
        <rFont val="Symbol"/>
        <family val="1"/>
        <charset val="2"/>
      </rPr>
      <t xml:space="preserve"> W</t>
    </r>
  </si>
  <si>
    <r>
      <t>(k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</si>
  <si>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r>
      <t>1 k</t>
    </r>
    <r>
      <rPr>
        <sz val="11.95"/>
        <color indexed="8"/>
        <rFont val="Symbol"/>
        <family val="1"/>
        <charset val="2"/>
      </rPr>
      <t>W</t>
    </r>
  </si>
  <si>
    <r>
      <t>10 k</t>
    </r>
    <r>
      <rPr>
        <sz val="11.95"/>
        <color indexed="8"/>
        <rFont val="Symbol"/>
        <family val="1"/>
        <charset val="2"/>
      </rPr>
      <t>W</t>
    </r>
  </si>
  <si>
    <r>
      <t>100 k</t>
    </r>
    <r>
      <rPr>
        <sz val="11.95"/>
        <color indexed="8"/>
        <rFont val="Symbol"/>
        <family val="1"/>
        <charset val="2"/>
      </rPr>
      <t>W</t>
    </r>
  </si>
  <si>
    <r>
      <t xml:space="preserve">100 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</t>
    </r>
  </si>
  <si>
    <t>2001 Values</t>
  </si>
  <si>
    <t>0 W</t>
  </si>
  <si>
    <t>0.1 W</t>
  </si>
  <si>
    <t>1 W</t>
  </si>
  <si>
    <t>10 W</t>
  </si>
  <si>
    <t>100 W</t>
  </si>
  <si>
    <t>(kW)</t>
  </si>
  <si>
    <t>1 kW</t>
  </si>
  <si>
    <t>10 kW</t>
  </si>
  <si>
    <t>100 kW</t>
  </si>
  <si>
    <t>Previous was 2, use latest value from MSLT.E.023.005, 200/f</t>
  </si>
  <si>
    <t>this might be dependent on frequency and range, included below, increased from 0 to 1 in 2006, now 2000/f</t>
  </si>
  <si>
    <t>in Ubridge budget</t>
  </si>
  <si>
    <t>L</t>
  </si>
  <si>
    <t>R</t>
  </si>
  <si>
    <t>variability in short measurements(counts)</t>
  </si>
  <si>
    <t>1 kHz</t>
  </si>
  <si>
    <t>auxiliary balance senstivity</t>
  </si>
  <si>
    <t>auxiliary balance sensitivity</t>
  </si>
  <si>
    <t>Aux L</t>
  </si>
  <si>
    <t>Aux R</t>
  </si>
  <si>
    <t>L/C</t>
  </si>
  <si>
    <t>R/G</t>
  </si>
  <si>
    <t>mult</t>
  </si>
  <si>
    <t>n</t>
  </si>
  <si>
    <t>L uncert = Q[0.000014L,0.001R,n/f]</t>
  </si>
  <si>
    <t>R uncert = Q[0.000014R, 0.0000001L, m/f]</t>
  </si>
  <si>
    <t>f</t>
  </si>
  <si>
    <t>CMC m for R</t>
  </si>
  <si>
    <t>CMC n for L</t>
  </si>
  <si>
    <t>C uncert = (0.2/f +22C) pF with C in microF, f in Hz</t>
  </si>
  <si>
    <t>IANZ</t>
  </si>
  <si>
    <t>Template to be completed</t>
  </si>
  <si>
    <t>see p.74 of Kibble and Rayner</t>
  </si>
  <si>
    <t>(Ω)</t>
  </si>
  <si>
    <t>(kΩ)</t>
  </si>
  <si>
    <t>(μH)</t>
  </si>
  <si>
    <t>μ</t>
  </si>
  <si>
    <t>100 μH</t>
  </si>
  <si>
    <t>0 Ω</t>
  </si>
  <si>
    <t>0.1 Ω</t>
  </si>
  <si>
    <t>1 Ω</t>
  </si>
  <si>
    <t>10Ω</t>
  </si>
  <si>
    <t>100 Ω</t>
  </si>
  <si>
    <t>1 kΩ</t>
  </si>
  <si>
    <t>10 kΩ</t>
  </si>
  <si>
    <t>100 kΩ</t>
  </si>
  <si>
    <t>This (S21950.xlsx) starts as an xlsx saving of S21814_TJS checked_final.xls, the previous report.</t>
  </si>
  <si>
    <t>Previous report</t>
  </si>
  <si>
    <t>S21814</t>
  </si>
  <si>
    <t>Commentary page is added.</t>
  </si>
  <si>
    <t>ABS((new-old)/U)</t>
  </si>
  <si>
    <t>AH2700A</t>
  </si>
  <si>
    <t>ppm</t>
  </si>
  <si>
    <t>mrad</t>
  </si>
  <si>
    <t>bridge calibration, following MSLT.E.023.006.  Uncertainties unchanged from 2009.</t>
  </si>
  <si>
    <t>Replace 'Universal Bridge' with worksheet from S21952v1 and carefully redefine named blocks.</t>
  </si>
  <si>
    <t>Nominal Frequency (Hz)</t>
  </si>
  <si>
    <t>Correct some arial fonts for a couple of greek symbols in the report</t>
  </si>
  <si>
    <t>Note that the uncertainty construction in S21814 is very close to the most recent approach</t>
  </si>
  <si>
    <t>Now return to 16 to stay consistent with CMCs</t>
  </si>
  <si>
    <t>Small tidy up with UB back to 16 ppm dial interaction and temperature coefficient formula  of 16074A fixed.</t>
  </si>
  <si>
    <t>want wRC&lt;&lt;1</t>
  </si>
  <si>
    <t>Reactance</t>
  </si>
  <si>
    <t>Realign report columns for tidier text layout</t>
  </si>
  <si>
    <t>Improve 'Previous reports' page so that entering cell address in A50 will plot history for one item</t>
  </si>
  <si>
    <t>Additional</t>
  </si>
  <si>
    <t>1600_100_milli</t>
  </si>
  <si>
    <t>ppm/degC</t>
  </si>
  <si>
    <t>Measured approx temperature coefficient of 100 mH and have updated the uncertainty budget as a result.  Measured -300 ppm/degree rather than 10!</t>
  </si>
  <si>
    <t>Note that the 'OPEN' has been measured on range 7Y, rather than 6Y, with consequent changes in UB calculation</t>
  </si>
  <si>
    <t>Fudge</t>
  </si>
  <si>
    <t>Change resolution degrees of freedom to 30% accuracy.  Otherwise this dominates at the zeros and gives k &gt; 4</t>
  </si>
  <si>
    <t>10 Ω</t>
  </si>
  <si>
    <t>Temperature</t>
  </si>
  <si>
    <t>GMH51</t>
  </si>
  <si>
    <t>Expanded
uncertainty</t>
  </si>
  <si>
    <t>Coverage
factor</t>
  </si>
  <si>
    <t>Added CMCFUDGE block so that the 53 Hz resistance uncertainties can be increased to match the CMC calculation.</t>
  </si>
  <si>
    <t>In the end CMCFUDGE was not used as the R resolution uncertainty term was increased in line with the CMC formula.</t>
  </si>
  <si>
    <t>Template for impedances</t>
  </si>
  <si>
    <t>Impedance</t>
  </si>
  <si>
    <t>Client</t>
  </si>
  <si>
    <t>Enter, say, 5 ppm as 5e-6</t>
  </si>
  <si>
    <t>Date from</t>
  </si>
  <si>
    <t>Job number</t>
  </si>
  <si>
    <t>1 sigma uncertainties from specifications</t>
  </si>
  <si>
    <t>to</t>
  </si>
  <si>
    <t>S Number</t>
  </si>
  <si>
    <t>Data from lab book</t>
  </si>
  <si>
    <t>check!</t>
  </si>
  <si>
    <t>Data from specifications and other sources</t>
  </si>
  <si>
    <t>Nominal Frequency</t>
  </si>
  <si>
    <t>xdial</t>
  </si>
  <si>
    <t>rdial</t>
  </si>
  <si>
    <t>u</t>
  </si>
  <si>
    <t>df</t>
  </si>
  <si>
    <t>Temp coeff L</t>
  </si>
  <si>
    <t>Temp coeff R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</si>
  <si>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</si>
  <si>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</si>
  <si>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</si>
  <si>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</si>
  <si>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rl</t>
  </si>
  <si>
    <t>xDial</t>
  </si>
  <si>
    <t>rDial</t>
  </si>
  <si>
    <t>frequency</t>
  </si>
  <si>
    <t>temperature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</si>
  <si>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</si>
  <si>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</si>
  <si>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</si>
  <si>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</si>
  <si>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</si>
  <si>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</si>
  <si>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</si>
  <si>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</si>
  <si>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</si>
  <si>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</si>
  <si>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</si>
  <si>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</si>
  <si>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</si>
  <si>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</si>
  <si>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</si>
  <si>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</si>
  <si>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</si>
  <si>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</si>
  <si>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</si>
  <si>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multiplier for R</t>
  </si>
  <si>
    <t>uR</t>
  </si>
  <si>
    <t>multiplier for L</t>
  </si>
  <si>
    <t>uL</t>
  </si>
  <si>
    <t>nom Freq</t>
  </si>
  <si>
    <t>Coverage
Factor</t>
  </si>
  <si>
    <t>Resistance
(Ω)</t>
  </si>
  <si>
    <t>Expanded
Uncertainty
(Ω)</t>
  </si>
  <si>
    <t>Inductance
(µH)</t>
  </si>
  <si>
    <t>Expanded
Uncertainty
(µH)</t>
  </si>
  <si>
    <t>Resistance
(kΩ)</t>
  </si>
  <si>
    <t>Expanded
Uncertainty
(kΩ)</t>
  </si>
  <si>
    <t>Capacitance
(pF)</t>
  </si>
  <si>
    <t>Expanded
Uncertainty
(pF)</t>
  </si>
  <si>
    <t>Conductance
(nS)</t>
  </si>
  <si>
    <t>Expanded
Uncertainty
(nS)</t>
  </si>
  <si>
    <t>Frequency
(Hz)</t>
  </si>
  <si>
    <t>Give result as parallel R and parallel C</t>
  </si>
  <si>
    <t>C=-L/R^2</t>
  </si>
  <si>
    <t>Y reported as nS and pF</t>
  </si>
  <si>
    <t>Resistance
(mΩ)</t>
  </si>
  <si>
    <t>Expanded
Uncertainty
(mΩ)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</si>
</sst>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4" formatCode="0.00000"/>
    <numFmt numFmtId="165" formatCode="0.000000"/>
    <numFmt numFmtId="166" formatCode="0.0000000"/>
    <numFmt numFmtId="167" formatCode="0.00000000"/>
    <numFmt numFmtId="168" formatCode="0E+00"/>
    <numFmt numFmtId="169" formatCode="0.000"/>
    <numFmt numFmtId="170" formatCode="0.0000"/>
    <numFmt numFmtId="171" formatCode="0.0E+00"/>
    <numFmt numFmtId="172" formatCode="General_)"/>
    <numFmt numFmtId="173" formatCode="dd/mmm/yy_)"/>
    <numFmt numFmtId="174" formatCode="0.0"/>
    <numFmt numFmtId="175" formatCode="0.000000_)"/>
    <numFmt numFmtId="176" formatCode="0.0_)"/>
    <numFmt numFmtId="177" formatCode="0.0E+00_)"/>
    <numFmt numFmtId="178" formatCode="0_)"/>
    <numFmt numFmtId="179" formatCode="0.00_)"/>
    <numFmt numFmtId="180" formatCode="0.000_)"/>
    <numFmt numFmtId="181" formatCode="0.00E+00_)"/>
    <numFmt numFmtId="182" formatCode="0.0000_)"/>
    <numFmt numFmtId="183" formatCode="0.00000_)"/>
    <numFmt numFmtId="184" formatCode="0.E+00"/>
    <numFmt numFmtId="185" formatCode="0.00000E+00"/>
    <numFmt numFmtId="186" formatCode="0.000\ \ \ \ \ "/>
    <numFmt numFmtId="187" formatCode="0.000\ \ \ \ "/>
    <numFmt numFmtId="188" formatCode="0.00\ \ \ \ \ \ \ "/>
    <numFmt numFmtId="189" formatCode="0.00\ \ \ \ \ \ "/>
    <numFmt numFmtId="190" formatCode="0\ \ \ \ \ \ \ \ "/>
    <numFmt numFmtId="191" formatCode="0.00000\ "/>
    <numFmt numFmtId="192" formatCode="0.0000\ \ \ "/>
    <numFmt numFmtId="193" formatCode="0.0\ \ \ \ \ \ \ \ "/>
    <numFmt numFmtId="194" formatCode="0.0000\ \ "/>
  </numFmts>
  <fonts count="3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33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8"/>
      <name val="Arial"/>
      <family val="2"/>
    </font>
    <font>
      <sz val="11.95"/>
      <color indexed="8"/>
      <name val="Symbol"/>
      <family val="1"/>
      <charset val="2"/>
    </font>
    <font>
      <sz val="11.95"/>
      <color indexed="8"/>
      <name val="Palatino"/>
      <family val="1"/>
    </font>
    <font>
      <sz val="11"/>
      <name val="Times New Roman"/>
      <family val="1"/>
    </font>
    <font>
      <sz val="8"/>
      <name val="Arial"/>
      <family val="2"/>
    </font>
    <font>
      <i/>
      <sz val="10"/>
      <name val="Arial"/>
      <family val="2"/>
    </font>
    <font>
      <sz val="10"/>
      <name val="Calibri"/>
      <family val="2"/>
    </font>
    <font>
      <sz val="1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476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172" fontId="10" fillId="0" borderId="0" xfId="0" applyNumberFormat="1" applyFont="1" applyAlignment="1" applyProtection="1">
      <alignment horizontal="left"/>
    </xf>
    <xf numFmtId="172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173" fontId="0" fillId="0" borderId="0" xfId="0" applyNumberFormat="1" applyProtection="1"/>
    <xf numFmtId="171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Protection="1"/>
    <xf numFmtId="16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4" borderId="0" xfId="0" applyFont="1" applyFill="1"/>
    <xf numFmtId="175" fontId="1" fillId="4" borderId="0" xfId="0" applyNumberFormat="1" applyFont="1" applyFill="1" applyProtection="1"/>
    <xf numFmtId="172" fontId="11" fillId="5" borderId="13" xfId="0" applyNumberFormat="1" applyFont="1" applyFill="1" applyBorder="1" applyAlignment="1" applyProtection="1">
      <alignment horizontal="left"/>
    </xf>
    <xf numFmtId="175" fontId="0" fillId="5" borderId="14" xfId="0" applyNumberFormat="1" applyFill="1" applyBorder="1" applyProtection="1"/>
    <xf numFmtId="172" fontId="0" fillId="5" borderId="14" xfId="0" applyNumberFormat="1" applyFill="1" applyBorder="1" applyProtection="1"/>
    <xf numFmtId="172" fontId="0" fillId="5" borderId="15" xfId="0" applyNumberFormat="1" applyFill="1" applyBorder="1" applyProtection="1"/>
    <xf numFmtId="172" fontId="10" fillId="0" borderId="0" xfId="0" applyNumberFormat="1" applyFont="1" applyProtection="1"/>
    <xf numFmtId="175" fontId="10" fillId="0" borderId="0" xfId="0" applyNumberFormat="1" applyFont="1" applyAlignment="1" applyProtection="1">
      <alignment horizontal="center"/>
    </xf>
    <xf numFmtId="172" fontId="12" fillId="0" borderId="0" xfId="0" applyNumberFormat="1" applyFont="1" applyProtection="1"/>
    <xf numFmtId="172" fontId="13" fillId="0" borderId="0" xfId="0" applyNumberFormat="1" applyFont="1" applyProtection="1"/>
    <xf numFmtId="172" fontId="10" fillId="0" borderId="0" xfId="0" applyNumberFormat="1" applyFont="1" applyAlignment="1" applyProtection="1">
      <alignment horizontal="center"/>
    </xf>
    <xf numFmtId="172" fontId="14" fillId="0" borderId="0" xfId="0" applyNumberFormat="1" applyFont="1" applyAlignment="1" applyProtection="1">
      <alignment horizontal="center"/>
    </xf>
    <xf numFmtId="172" fontId="11" fillId="0" borderId="0" xfId="0" applyNumberFormat="1" applyFont="1" applyProtection="1"/>
    <xf numFmtId="172" fontId="15" fillId="0" borderId="0" xfId="0" applyNumberFormat="1" applyFont="1" applyAlignment="1" applyProtection="1">
      <alignment horizontal="left"/>
    </xf>
    <xf numFmtId="174" fontId="16" fillId="0" borderId="0" xfId="0" applyNumberFormat="1" applyFont="1" applyProtection="1"/>
    <xf numFmtId="177" fontId="0" fillId="0" borderId="0" xfId="0" applyNumberFormat="1" applyProtection="1"/>
    <xf numFmtId="172" fontId="0" fillId="0" borderId="0" xfId="0" applyNumberFormat="1" applyProtection="1"/>
    <xf numFmtId="178" fontId="0" fillId="0" borderId="0" xfId="0" applyNumberFormat="1" applyProtection="1"/>
    <xf numFmtId="176" fontId="0" fillId="0" borderId="0" xfId="0" applyNumberFormat="1" applyProtection="1"/>
    <xf numFmtId="172" fontId="15" fillId="0" borderId="0" xfId="0" applyNumberFormat="1" applyFont="1" applyProtection="1"/>
    <xf numFmtId="172" fontId="0" fillId="0" borderId="0" xfId="0" applyNumberFormat="1" applyAlignment="1" applyProtection="1">
      <alignment horizontal="right"/>
    </xf>
    <xf numFmtId="175" fontId="10" fillId="0" borderId="0" xfId="0" applyNumberFormat="1" applyFont="1" applyAlignment="1" applyProtection="1">
      <alignment horizontal="left"/>
    </xf>
    <xf numFmtId="172" fontId="10" fillId="0" borderId="16" xfId="0" applyNumberFormat="1" applyFont="1" applyBorder="1" applyAlignment="1" applyProtection="1">
      <alignment horizontal="center"/>
    </xf>
    <xf numFmtId="172" fontId="10" fillId="0" borderId="17" xfId="0" applyNumberFormat="1" applyFont="1" applyBorder="1" applyAlignment="1" applyProtection="1">
      <alignment horizontal="center"/>
    </xf>
    <xf numFmtId="172" fontId="10" fillId="0" borderId="18" xfId="0" applyNumberFormat="1" applyFont="1" applyBorder="1" applyAlignment="1" applyProtection="1">
      <alignment horizontal="center"/>
    </xf>
    <xf numFmtId="180" fontId="0" fillId="0" borderId="0" xfId="0" applyNumberFormat="1" applyProtection="1"/>
    <xf numFmtId="172" fontId="0" fillId="0" borderId="0" xfId="0" applyNumberFormat="1" applyAlignment="1" applyProtection="1">
      <alignment horizontal="center"/>
    </xf>
    <xf numFmtId="172" fontId="0" fillId="0" borderId="0" xfId="0" applyNumberFormat="1" applyFont="1" applyProtection="1"/>
    <xf numFmtId="181" fontId="0" fillId="0" borderId="0" xfId="0" applyNumberFormat="1" applyFont="1" applyProtection="1"/>
    <xf numFmtId="172" fontId="1" fillId="5" borderId="15" xfId="0" applyNumberFormat="1" applyFont="1" applyFill="1" applyBorder="1" applyProtection="1"/>
    <xf numFmtId="169" fontId="0" fillId="0" borderId="0" xfId="0" applyNumberFormat="1"/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1" xfId="0" applyFill="1" applyBorder="1"/>
    <xf numFmtId="0" fontId="0" fillId="2" borderId="22" xfId="0" applyFill="1" applyBorder="1"/>
    <xf numFmtId="0" fontId="0" fillId="2" borderId="0" xfId="0" applyFill="1"/>
    <xf numFmtId="0" fontId="0" fillId="4" borderId="23" xfId="0" applyFill="1" applyBorder="1" applyAlignment="1">
      <alignment horizontal="center"/>
    </xf>
    <xf numFmtId="0" fontId="0" fillId="4" borderId="24" xfId="0" applyFill="1" applyBorder="1"/>
    <xf numFmtId="0" fontId="0" fillId="4" borderId="2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0" fillId="6" borderId="26" xfId="0" applyFill="1" applyBorder="1"/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74" fontId="8" fillId="0" borderId="7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4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7" fontId="8" fillId="0" borderId="22" xfId="0" applyNumberFormat="1" applyFont="1" applyBorder="1" applyAlignment="1">
      <alignment horizontal="center"/>
    </xf>
    <xf numFmtId="167" fontId="8" fillId="0" borderId="27" xfId="0" applyNumberFormat="1" applyFont="1" applyBorder="1" applyAlignment="1">
      <alignment horizontal="center"/>
    </xf>
    <xf numFmtId="164" fontId="8" fillId="0" borderId="27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174" fontId="8" fillId="0" borderId="29" xfId="0" applyNumberFormat="1" applyFont="1" applyBorder="1" applyAlignment="1">
      <alignment horizontal="center"/>
    </xf>
    <xf numFmtId="174" fontId="8" fillId="0" borderId="30" xfId="0" applyNumberFormat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165" fontId="8" fillId="0" borderId="35" xfId="0" applyNumberFormat="1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0" fontId="0" fillId="9" borderId="0" xfId="0" applyFill="1" applyAlignment="1">
      <alignment horizontal="center"/>
    </xf>
    <xf numFmtId="171" fontId="0" fillId="9" borderId="0" xfId="0" applyNumberFormat="1" applyFill="1" applyAlignment="1">
      <alignment horizontal="center"/>
    </xf>
    <xf numFmtId="174" fontId="0" fillId="9" borderId="0" xfId="0" applyNumberFormat="1" applyFill="1" applyAlignment="1">
      <alignment horizontal="center"/>
    </xf>
    <xf numFmtId="14" fontId="0" fillId="10" borderId="0" xfId="0" applyNumberFormat="1" applyFill="1"/>
    <xf numFmtId="0" fontId="0" fillId="10" borderId="0" xfId="0" applyFill="1"/>
    <xf numFmtId="174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0" fontId="20" fillId="0" borderId="0" xfId="0" applyFont="1"/>
    <xf numFmtId="0" fontId="0" fillId="0" borderId="0" xfId="0" applyProtection="1">
      <protection locked="0"/>
    </xf>
    <xf numFmtId="0" fontId="0" fillId="2" borderId="36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14" fontId="1" fillId="0" borderId="0" xfId="0" applyNumberFormat="1" applyFont="1" applyProtection="1">
      <protection locked="0"/>
    </xf>
    <xf numFmtId="169" fontId="0" fillId="0" borderId="0" xfId="0" applyNumberFormat="1" applyProtection="1">
      <protection locked="0"/>
    </xf>
    <xf numFmtId="0" fontId="2" fillId="0" borderId="0" xfId="3"/>
    <xf numFmtId="14" fontId="2" fillId="0" borderId="0" xfId="3" applyNumberFormat="1"/>
    <xf numFmtId="169" fontId="0" fillId="3" borderId="23" xfId="0" applyNumberFormat="1" applyFill="1" applyBorder="1" applyAlignment="1">
      <alignment horizontal="right"/>
    </xf>
    <xf numFmtId="169" fontId="0" fillId="3" borderId="24" xfId="0" applyNumberFormat="1" applyFill="1" applyBorder="1" applyAlignment="1">
      <alignment horizontal="right"/>
    </xf>
    <xf numFmtId="169" fontId="0" fillId="3" borderId="38" xfId="0" applyNumberFormat="1" applyFill="1" applyBorder="1" applyAlignment="1">
      <alignment horizontal="right"/>
    </xf>
    <xf numFmtId="169" fontId="0" fillId="3" borderId="23" xfId="0" applyNumberFormat="1" applyFill="1" applyBorder="1"/>
    <xf numFmtId="169" fontId="0" fillId="3" borderId="24" xfId="0" applyNumberFormat="1" applyFill="1" applyBorder="1"/>
    <xf numFmtId="169" fontId="0" fillId="3" borderId="38" xfId="0" applyNumberFormat="1" applyFill="1" applyBorder="1"/>
    <xf numFmtId="0" fontId="5" fillId="10" borderId="0" xfId="2" applyFont="1" applyFill="1"/>
    <xf numFmtId="0" fontId="2" fillId="0" borderId="0" xfId="2"/>
    <xf numFmtId="0" fontId="2" fillId="10" borderId="0" xfId="2" applyFill="1"/>
    <xf numFmtId="172" fontId="12" fillId="0" borderId="0" xfId="2" applyNumberFormat="1" applyFont="1" applyProtection="1"/>
    <xf numFmtId="172" fontId="13" fillId="0" borderId="0" xfId="2" applyNumberFormat="1" applyFont="1" applyProtection="1"/>
    <xf numFmtId="172" fontId="10" fillId="0" borderId="0" xfId="2" applyNumberFormat="1" applyFont="1" applyProtection="1"/>
    <xf numFmtId="0" fontId="0" fillId="0" borderId="0" xfId="0" applyAlignment="1">
      <alignment horizontal="right"/>
    </xf>
    <xf numFmtId="16" fontId="0" fillId="0" borderId="0" xfId="0" quotePrefix="1" applyNumberFormat="1"/>
    <xf numFmtId="174" fontId="0" fillId="0" borderId="0" xfId="0" applyNumberFormat="1"/>
    <xf numFmtId="0" fontId="0" fillId="8" borderId="39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165" fontId="0" fillId="3" borderId="41" xfId="0" applyNumberFormat="1" applyFill="1" applyBorder="1" applyAlignment="1">
      <alignment horizontal="right"/>
    </xf>
    <xf numFmtId="170" fontId="0" fillId="3" borderId="41" xfId="0" applyNumberFormat="1" applyFill="1" applyBorder="1" applyAlignment="1">
      <alignment horizontal="center"/>
    </xf>
    <xf numFmtId="170" fontId="0" fillId="3" borderId="41" xfId="0" applyNumberFormat="1" applyFill="1" applyBorder="1"/>
    <xf numFmtId="171" fontId="9" fillId="3" borderId="42" xfId="0" applyNumberFormat="1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9" fillId="3" borderId="42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166" fontId="0" fillId="3" borderId="41" xfId="0" applyNumberFormat="1" applyFill="1" applyBorder="1" applyAlignment="1">
      <alignment horizontal="right"/>
    </xf>
    <xf numFmtId="174" fontId="0" fillId="9" borderId="22" xfId="0" applyNumberFormat="1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69" fontId="0" fillId="3" borderId="41" xfId="0" applyNumberFormat="1" applyFill="1" applyBorder="1"/>
    <xf numFmtId="1" fontId="0" fillId="9" borderId="22" xfId="0" applyNumberFormat="1" applyFill="1" applyBorder="1" applyAlignment="1">
      <alignment horizontal="center"/>
    </xf>
    <xf numFmtId="169" fontId="0" fillId="3" borderId="41" xfId="0" applyNumberFormat="1" applyFill="1" applyBorder="1" applyAlignment="1">
      <alignment horizontal="right"/>
    </xf>
    <xf numFmtId="0" fontId="0" fillId="12" borderId="31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3" xfId="0" applyFill="1" applyBorder="1"/>
    <xf numFmtId="0" fontId="0" fillId="3" borderId="0" xfId="0" applyFill="1" applyBorder="1"/>
    <xf numFmtId="0" fontId="0" fillId="3" borderId="26" xfId="0" applyFill="1" applyBorder="1"/>
    <xf numFmtId="169" fontId="0" fillId="3" borderId="34" xfId="0" applyNumberFormat="1" applyFill="1" applyBorder="1" applyAlignment="1">
      <alignment horizontal="right"/>
    </xf>
    <xf numFmtId="170" fontId="0" fillId="3" borderId="44" xfId="0" applyNumberFormat="1" applyFill="1" applyBorder="1" applyAlignment="1">
      <alignment horizontal="center"/>
    </xf>
    <xf numFmtId="169" fontId="0" fillId="3" borderId="32" xfId="0" applyNumberFormat="1" applyFill="1" applyBorder="1"/>
    <xf numFmtId="171" fontId="9" fillId="3" borderId="44" xfId="0" applyNumberFormat="1" applyFont="1" applyFill="1" applyBorder="1" applyAlignment="1">
      <alignment horizontal="center"/>
    </xf>
    <xf numFmtId="0" fontId="0" fillId="9" borderId="10" xfId="0" applyFill="1" applyBorder="1"/>
    <xf numFmtId="0" fontId="0" fillId="9" borderId="45" xfId="0" applyFill="1" applyBorder="1"/>
    <xf numFmtId="0" fontId="0" fillId="12" borderId="31" xfId="0" applyFill="1" applyBorder="1"/>
    <xf numFmtId="0" fontId="0" fillId="0" borderId="22" xfId="0" applyBorder="1"/>
    <xf numFmtId="0" fontId="0" fillId="0" borderId="27" xfId="0" applyBorder="1"/>
    <xf numFmtId="0" fontId="0" fillId="0" borderId="2" xfId="0" applyBorder="1"/>
    <xf numFmtId="15" fontId="22" fillId="0" borderId="0" xfId="0" applyNumberFormat="1" applyFont="1" applyAlignment="1">
      <alignment horizontal="left"/>
    </xf>
    <xf numFmtId="2" fontId="0" fillId="9" borderId="22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69" fontId="0" fillId="9" borderId="0" xfId="0" applyNumberFormat="1" applyFill="1" applyAlignment="1">
      <alignment horizontal="center"/>
    </xf>
    <xf numFmtId="0" fontId="0" fillId="0" borderId="0" xfId="0" applyFill="1"/>
    <xf numFmtId="176" fontId="0" fillId="0" borderId="0" xfId="0" applyNumberFormat="1" applyFill="1" applyProtection="1"/>
    <xf numFmtId="174" fontId="16" fillId="0" borderId="0" xfId="0" applyNumberFormat="1" applyFont="1" applyFill="1" applyProtection="1"/>
    <xf numFmtId="1" fontId="16" fillId="0" borderId="0" xfId="0" applyNumberFormat="1" applyFont="1" applyFill="1" applyProtection="1"/>
    <xf numFmtId="177" fontId="0" fillId="0" borderId="0" xfId="0" applyNumberFormat="1" applyFill="1" applyProtection="1"/>
    <xf numFmtId="180" fontId="21" fillId="0" borderId="0" xfId="0" applyNumberFormat="1" applyFont="1" applyFill="1" applyProtection="1"/>
    <xf numFmtId="183" fontId="21" fillId="0" borderId="0" xfId="0" applyNumberFormat="1" applyFont="1" applyFill="1" applyProtection="1"/>
    <xf numFmtId="178" fontId="0" fillId="0" borderId="46" xfId="0" applyNumberFormat="1" applyFill="1" applyBorder="1" applyProtection="1"/>
    <xf numFmtId="179" fontId="0" fillId="0" borderId="47" xfId="0" applyNumberFormat="1" applyFill="1" applyBorder="1" applyProtection="1"/>
    <xf numFmtId="178" fontId="0" fillId="0" borderId="48" xfId="0" applyNumberFormat="1" applyFill="1" applyBorder="1" applyProtection="1"/>
    <xf numFmtId="172" fontId="12" fillId="0" borderId="0" xfId="0" applyNumberFormat="1" applyFont="1" applyFill="1" applyProtection="1"/>
    <xf numFmtId="172" fontId="12" fillId="0" borderId="0" xfId="2" applyNumberFormat="1" applyFont="1" applyFill="1" applyProtection="1"/>
    <xf numFmtId="178" fontId="0" fillId="0" borderId="0" xfId="0" applyNumberFormat="1" applyFill="1" applyProtection="1"/>
    <xf numFmtId="176" fontId="0" fillId="0" borderId="47" xfId="0" applyNumberFormat="1" applyFill="1" applyBorder="1" applyProtection="1"/>
    <xf numFmtId="182" fontId="21" fillId="0" borderId="0" xfId="0" applyNumberFormat="1" applyFont="1" applyFill="1" applyProtection="1"/>
    <xf numFmtId="175" fontId="10" fillId="0" borderId="0" xfId="0" applyNumberFormat="1" applyFont="1" applyFill="1" applyAlignment="1" applyProtection="1">
      <alignment horizontal="left"/>
    </xf>
    <xf numFmtId="172" fontId="10" fillId="0" borderId="0" xfId="0" applyNumberFormat="1" applyFont="1" applyFill="1" applyAlignment="1" applyProtection="1">
      <alignment horizontal="left"/>
    </xf>
    <xf numFmtId="172" fontId="10" fillId="0" borderId="16" xfId="0" applyNumberFormat="1" applyFont="1" applyFill="1" applyBorder="1" applyAlignment="1" applyProtection="1">
      <alignment horizontal="center"/>
    </xf>
    <xf numFmtId="172" fontId="10" fillId="0" borderId="17" xfId="0" applyNumberFormat="1" applyFont="1" applyFill="1" applyBorder="1" applyAlignment="1" applyProtection="1">
      <alignment horizontal="center"/>
    </xf>
    <xf numFmtId="172" fontId="10" fillId="0" borderId="1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/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/>
    <xf numFmtId="15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0" fontId="0" fillId="9" borderId="0" xfId="0" applyFill="1"/>
    <xf numFmtId="169" fontId="0" fillId="0" borderId="0" xfId="0" applyNumberFormat="1" applyBorder="1" applyAlignment="1">
      <alignment horizontal="center" vertical="center"/>
    </xf>
    <xf numFmtId="0" fontId="2" fillId="10" borderId="0" xfId="2" applyFont="1" applyFill="1"/>
    <xf numFmtId="174" fontId="5" fillId="0" borderId="0" xfId="0" applyNumberFormat="1" applyFont="1"/>
    <xf numFmtId="174" fontId="5" fillId="9" borderId="0" xfId="0" applyNumberFormat="1" applyFont="1" applyFill="1"/>
    <xf numFmtId="184" fontId="0" fillId="0" borderId="0" xfId="0" applyNumberFormat="1"/>
    <xf numFmtId="184" fontId="0" fillId="13" borderId="0" xfId="0" applyNumberFormat="1" applyFill="1"/>
    <xf numFmtId="2" fontId="0" fillId="13" borderId="0" xfId="0" applyNumberFormat="1" applyFill="1"/>
    <xf numFmtId="171" fontId="0" fillId="0" borderId="0" xfId="0" applyNumberFormat="1"/>
    <xf numFmtId="11" fontId="0" fillId="0" borderId="0" xfId="0" applyNumberFormat="1"/>
    <xf numFmtId="0" fontId="0" fillId="14" borderId="41" xfId="0" applyFill="1" applyBorder="1" applyAlignment="1">
      <alignment horizontal="right"/>
    </xf>
    <xf numFmtId="1" fontId="0" fillId="0" borderId="0" xfId="0" applyNumberFormat="1"/>
    <xf numFmtId="165" fontId="0" fillId="14" borderId="41" xfId="0" applyNumberFormat="1" applyFill="1" applyBorder="1" applyAlignment="1">
      <alignment horizontal="right"/>
    </xf>
    <xf numFmtId="170" fontId="0" fillId="14" borderId="41" xfId="0" applyNumberFormat="1" applyFill="1" applyBorder="1" applyAlignment="1">
      <alignment horizontal="center"/>
    </xf>
    <xf numFmtId="170" fontId="0" fillId="14" borderId="41" xfId="0" applyNumberFormat="1" applyFill="1" applyBorder="1"/>
    <xf numFmtId="171" fontId="9" fillId="14" borderId="42" xfId="0" applyNumberFormat="1" applyFont="1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41" xfId="0" applyFill="1" applyBorder="1"/>
    <xf numFmtId="184" fontId="0" fillId="14" borderId="0" xfId="0" applyNumberFormat="1" applyFill="1"/>
    <xf numFmtId="2" fontId="0" fillId="14" borderId="0" xfId="0" applyNumberFormat="1" applyFill="1"/>
    <xf numFmtId="0" fontId="0" fillId="14" borderId="22" xfId="0" applyFill="1" applyBorder="1" applyAlignment="1">
      <alignment horizontal="center"/>
    </xf>
    <xf numFmtId="0" fontId="0" fillId="14" borderId="49" xfId="0" quotePrefix="1" applyFill="1" applyBorder="1"/>
    <xf numFmtId="0" fontId="25" fillId="0" borderId="41" xfId="0" applyFont="1" applyBorder="1" applyAlignment="1">
      <alignment horizontal="center" vertical="center"/>
    </xf>
    <xf numFmtId="169" fontId="25" fillId="0" borderId="42" xfId="0" applyNumberFormat="1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40" xfId="0" applyFont="1" applyBorder="1" applyAlignment="1">
      <alignment horizontal="left" vertical="center"/>
    </xf>
    <xf numFmtId="174" fontId="25" fillId="0" borderId="41" xfId="0" applyNumberFormat="1" applyFont="1" applyBorder="1" applyAlignment="1">
      <alignment horizontal="center" vertical="center"/>
    </xf>
    <xf numFmtId="169" fontId="25" fillId="0" borderId="40" xfId="0" applyNumberFormat="1" applyFont="1" applyBorder="1" applyAlignment="1">
      <alignment horizontal="center" vertical="center"/>
    </xf>
    <xf numFmtId="174" fontId="25" fillId="0" borderId="50" xfId="0" applyNumberFormat="1" applyFont="1" applyBorder="1" applyAlignment="1">
      <alignment horizontal="center" vertical="center"/>
    </xf>
    <xf numFmtId="170" fontId="25" fillId="0" borderId="42" xfId="0" applyNumberFormat="1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65" fontId="25" fillId="0" borderId="42" xfId="0" applyNumberFormat="1" applyFont="1" applyBorder="1" applyAlignment="1">
      <alignment horizontal="center" vertical="center"/>
    </xf>
    <xf numFmtId="164" fontId="25" fillId="0" borderId="42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25" fillId="0" borderId="40" xfId="0" applyNumberFormat="1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169" fontId="25" fillId="0" borderId="35" xfId="0" applyNumberFormat="1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174" fontId="25" fillId="0" borderId="52" xfId="0" applyNumberFormat="1" applyFont="1" applyBorder="1" applyAlignment="1">
      <alignment horizontal="center" vertical="center"/>
    </xf>
    <xf numFmtId="2" fontId="25" fillId="0" borderId="35" xfId="0" applyNumberFormat="1" applyFont="1" applyBorder="1" applyAlignment="1">
      <alignment horizontal="center" vertical="center"/>
    </xf>
    <xf numFmtId="174" fontId="25" fillId="0" borderId="8" xfId="0" applyNumberFormat="1" applyFont="1" applyBorder="1" applyAlignment="1">
      <alignment horizontal="center" vertical="center"/>
    </xf>
    <xf numFmtId="0" fontId="25" fillId="0" borderId="0" xfId="0" applyFont="1"/>
    <xf numFmtId="174" fontId="25" fillId="0" borderId="42" xfId="0" applyNumberFormat="1" applyFont="1" applyBorder="1" applyAlignment="1">
      <alignment horizontal="center" vertical="center"/>
    </xf>
    <xf numFmtId="174" fontId="25" fillId="0" borderId="27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164" fontId="25" fillId="0" borderId="35" xfId="0" applyNumberFormat="1" applyFont="1" applyBorder="1" applyAlignment="1">
      <alignment horizontal="center" vertical="center"/>
    </xf>
    <xf numFmtId="0" fontId="25" fillId="0" borderId="51" xfId="0" applyFont="1" applyBorder="1" applyAlignment="1">
      <alignment horizontal="left" vertical="center"/>
    </xf>
    <xf numFmtId="1" fontId="25" fillId="0" borderId="42" xfId="0" applyNumberFormat="1" applyFont="1" applyBorder="1" applyAlignment="1">
      <alignment horizontal="center" vertical="center"/>
    </xf>
    <xf numFmtId="2" fontId="25" fillId="0" borderId="41" xfId="0" applyNumberFormat="1" applyFont="1" applyBorder="1" applyAlignment="1">
      <alignment horizontal="center" vertical="center"/>
    </xf>
    <xf numFmtId="169" fontId="25" fillId="0" borderId="41" xfId="0" applyNumberFormat="1" applyFont="1" applyBorder="1" applyAlignment="1">
      <alignment horizontal="center" vertical="center"/>
    </xf>
    <xf numFmtId="2" fontId="25" fillId="0" borderId="27" xfId="0" applyNumberFormat="1" applyFont="1" applyBorder="1" applyAlignment="1">
      <alignment horizontal="center" vertical="center"/>
    </xf>
    <xf numFmtId="169" fontId="25" fillId="0" borderId="27" xfId="0" applyNumberFormat="1" applyFont="1" applyBorder="1" applyAlignment="1">
      <alignment horizontal="center" vertical="center"/>
    </xf>
    <xf numFmtId="0" fontId="2" fillId="0" borderId="0" xfId="0" applyFont="1"/>
    <xf numFmtId="0" fontId="2" fillId="6" borderId="4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  <protection locked="0"/>
    </xf>
    <xf numFmtId="168" fontId="0" fillId="0" borderId="0" xfId="0" applyNumberFormat="1" applyFill="1" applyBorder="1"/>
    <xf numFmtId="0" fontId="2" fillId="0" borderId="2" xfId="0" applyFont="1" applyBorder="1" applyAlignment="1">
      <alignment horizontal="center"/>
    </xf>
    <xf numFmtId="0" fontId="2" fillId="12" borderId="2" xfId="0" applyFont="1" applyFill="1" applyBorder="1" applyAlignment="1">
      <alignment wrapText="1"/>
    </xf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25" fillId="0" borderId="44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15" borderId="0" xfId="0" applyFill="1"/>
    <xf numFmtId="184" fontId="0" fillId="15" borderId="0" xfId="0" applyNumberFormat="1" applyFill="1"/>
    <xf numFmtId="174" fontId="0" fillId="15" borderId="0" xfId="0" applyNumberFormat="1" applyFill="1"/>
    <xf numFmtId="171" fontId="0" fillId="15" borderId="0" xfId="0" applyNumberFormat="1" applyFill="1"/>
    <xf numFmtId="171" fontId="0" fillId="9" borderId="0" xfId="0" applyNumberFormat="1" applyFill="1" applyAlignment="1">
      <alignment horizontal="center"/>
    </xf>
    <xf numFmtId="174" fontId="0" fillId="9" borderId="0" xfId="0" applyNumberFormat="1" applyFill="1" applyAlignment="1">
      <alignment horizontal="center"/>
    </xf>
    <xf numFmtId="177" fontId="0" fillId="15" borderId="0" xfId="0" applyNumberFormat="1" applyFill="1" applyProtection="1"/>
    <xf numFmtId="178" fontId="0" fillId="15" borderId="46" xfId="0" applyNumberFormat="1" applyFill="1" applyBorder="1" applyProtection="1"/>
    <xf numFmtId="179" fontId="0" fillId="15" borderId="47" xfId="0" applyNumberFormat="1" applyFill="1" applyBorder="1" applyProtection="1"/>
    <xf numFmtId="178" fontId="0" fillId="15" borderId="48" xfId="0" applyNumberFormat="1" applyFill="1" applyBorder="1" applyProtection="1"/>
    <xf numFmtId="179" fontId="0" fillId="15" borderId="48" xfId="0" applyNumberFormat="1" applyFill="1" applyBorder="1" applyProtection="1"/>
    <xf numFmtId="11" fontId="0" fillId="15" borderId="0" xfId="0" applyNumberFormat="1" applyFill="1"/>
    <xf numFmtId="180" fontId="0" fillId="15" borderId="48" xfId="0" applyNumberFormat="1" applyFill="1" applyBorder="1" applyProtection="1"/>
    <xf numFmtId="169" fontId="0" fillId="15" borderId="0" xfId="0" applyNumberFormat="1" applyFill="1"/>
    <xf numFmtId="181" fontId="0" fillId="15" borderId="0" xfId="0" applyNumberFormat="1" applyFill="1" applyProtection="1"/>
    <xf numFmtId="176" fontId="0" fillId="15" borderId="0" xfId="0" applyNumberFormat="1" applyFill="1" applyProtection="1"/>
    <xf numFmtId="182" fontId="0" fillId="15" borderId="0" xfId="0" applyNumberFormat="1" applyFill="1" applyProtection="1"/>
    <xf numFmtId="179" fontId="0" fillId="15" borderId="0" xfId="0" applyNumberFormat="1" applyFill="1" applyProtection="1"/>
    <xf numFmtId="1" fontId="16" fillId="15" borderId="0" xfId="0" applyNumberFormat="1" applyFont="1" applyFill="1" applyProtection="1"/>
    <xf numFmtId="174" fontId="16" fillId="15" borderId="0" xfId="0" applyNumberFormat="1" applyFont="1" applyFill="1" applyProtection="1"/>
    <xf numFmtId="180" fontId="21" fillId="15" borderId="0" xfId="0" applyNumberFormat="1" applyFont="1" applyFill="1" applyProtection="1"/>
    <xf numFmtId="0" fontId="0" fillId="15" borderId="0" xfId="0" applyFill="1" applyBorder="1" applyAlignment="1">
      <alignment horizontal="center"/>
    </xf>
    <xf numFmtId="0" fontId="0" fillId="15" borderId="45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55" xfId="0" applyFill="1" applyBorder="1" applyAlignment="1">
      <alignment horizontal="center"/>
    </xf>
    <xf numFmtId="0" fontId="25" fillId="0" borderId="37" xfId="0" applyFont="1" applyBorder="1" applyAlignment="1">
      <alignment horizontal="center" vertical="center"/>
    </xf>
    <xf numFmtId="2" fontId="25" fillId="0" borderId="56" xfId="0" applyNumberFormat="1" applyFont="1" applyBorder="1" applyAlignment="1">
      <alignment horizontal="right" vertical="center"/>
    </xf>
    <xf numFmtId="2" fontId="25" fillId="0" borderId="57" xfId="0" applyNumberFormat="1" applyFont="1" applyBorder="1" applyAlignment="1">
      <alignment horizontal="center" vertical="center"/>
    </xf>
    <xf numFmtId="0" fontId="25" fillId="0" borderId="57" xfId="0" applyFont="1" applyBorder="1" applyAlignment="1">
      <alignment horizontal="left" vertical="center"/>
    </xf>
    <xf numFmtId="174" fontId="25" fillId="0" borderId="37" xfId="0" applyNumberFormat="1" applyFont="1" applyBorder="1" applyAlignment="1">
      <alignment horizontal="center" vertical="center"/>
    </xf>
    <xf numFmtId="169" fontId="25" fillId="0" borderId="56" xfId="0" applyNumberFormat="1" applyFont="1" applyBorder="1" applyAlignment="1">
      <alignment horizontal="right" vertical="center"/>
    </xf>
    <xf numFmtId="169" fontId="25" fillId="0" borderId="57" xfId="0" applyNumberFormat="1" applyFont="1" applyBorder="1" applyAlignment="1">
      <alignment horizontal="right" vertical="center"/>
    </xf>
    <xf numFmtId="0" fontId="25" fillId="0" borderId="57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9" fontId="25" fillId="0" borderId="12" xfId="0" applyNumberFormat="1" applyFont="1" applyBorder="1" applyAlignment="1">
      <alignment horizontal="right" vertical="center"/>
    </xf>
    <xf numFmtId="0" fontId="25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center"/>
    </xf>
    <xf numFmtId="174" fontId="25" fillId="0" borderId="22" xfId="0" applyNumberFormat="1" applyFont="1" applyBorder="1" applyAlignment="1">
      <alignment horizontal="center" vertical="center"/>
    </xf>
    <xf numFmtId="170" fontId="25" fillId="0" borderId="12" xfId="0" applyNumberFormat="1" applyFont="1" applyBorder="1" applyAlignment="1">
      <alignment horizontal="right" vertical="center"/>
    </xf>
    <xf numFmtId="0" fontId="25" fillId="0" borderId="26" xfId="0" applyFont="1" applyBorder="1" applyAlignment="1">
      <alignment horizontal="right" vertical="center"/>
    </xf>
    <xf numFmtId="0" fontId="25" fillId="0" borderId="31" xfId="0" applyFont="1" applyBorder="1" applyAlignment="1">
      <alignment horizontal="center" vertical="center"/>
    </xf>
    <xf numFmtId="169" fontId="25" fillId="0" borderId="34" xfId="0" applyNumberFormat="1" applyFont="1" applyBorder="1" applyAlignment="1">
      <alignment horizontal="right" vertical="center"/>
    </xf>
    <xf numFmtId="0" fontId="25" fillId="0" borderId="44" xfId="0" applyFont="1" applyBorder="1" applyAlignment="1">
      <alignment horizontal="center" vertical="center"/>
    </xf>
    <xf numFmtId="0" fontId="25" fillId="0" borderId="44" xfId="0" applyFont="1" applyBorder="1" applyAlignment="1">
      <alignment horizontal="left" vertical="center"/>
    </xf>
    <xf numFmtId="174" fontId="25" fillId="0" borderId="31" xfId="0" applyNumberFormat="1" applyFont="1" applyBorder="1" applyAlignment="1">
      <alignment horizontal="center" vertical="center"/>
    </xf>
    <xf numFmtId="170" fontId="25" fillId="0" borderId="34" xfId="0" applyNumberFormat="1" applyFont="1" applyBorder="1" applyAlignment="1">
      <alignment horizontal="right" vertical="center"/>
    </xf>
    <xf numFmtId="0" fontId="25" fillId="0" borderId="44" xfId="0" applyFont="1" applyBorder="1" applyAlignment="1">
      <alignment horizontal="right" vertical="center"/>
    </xf>
    <xf numFmtId="0" fontId="25" fillId="0" borderId="12" xfId="0" applyFont="1" applyBorder="1" applyAlignment="1">
      <alignment horizontal="right" vertical="center"/>
    </xf>
    <xf numFmtId="164" fontId="25" fillId="0" borderId="56" xfId="0" applyNumberFormat="1" applyFont="1" applyBorder="1" applyAlignment="1">
      <alignment horizontal="right" vertical="center"/>
    </xf>
    <xf numFmtId="164" fontId="25" fillId="0" borderId="57" xfId="0" applyNumberFormat="1" applyFont="1" applyBorder="1" applyAlignment="1">
      <alignment horizontal="center" vertical="center"/>
    </xf>
    <xf numFmtId="165" fontId="25" fillId="0" borderId="12" xfId="0" applyNumberFormat="1" applyFont="1" applyBorder="1" applyAlignment="1">
      <alignment horizontal="right" vertical="center"/>
    </xf>
    <xf numFmtId="165" fontId="25" fillId="0" borderId="34" xfId="0" applyNumberFormat="1" applyFont="1" applyBorder="1" applyAlignment="1">
      <alignment horizontal="right" vertical="center"/>
    </xf>
    <xf numFmtId="164" fontId="25" fillId="0" borderId="12" xfId="0" applyNumberFormat="1" applyFont="1" applyBorder="1" applyAlignment="1">
      <alignment horizontal="right" vertical="center"/>
    </xf>
    <xf numFmtId="164" fontId="25" fillId="0" borderId="34" xfId="0" applyNumberFormat="1" applyFont="1" applyBorder="1" applyAlignment="1">
      <alignment horizontal="right" vertical="center"/>
    </xf>
    <xf numFmtId="170" fontId="25" fillId="0" borderId="56" xfId="0" applyNumberFormat="1" applyFont="1" applyBorder="1" applyAlignment="1">
      <alignment horizontal="right" vertical="center"/>
    </xf>
    <xf numFmtId="2" fontId="25" fillId="0" borderId="57" xfId="0" applyNumberFormat="1" applyFont="1" applyBorder="1" applyAlignment="1">
      <alignment horizontal="right" vertical="center"/>
    </xf>
    <xf numFmtId="0" fontId="25" fillId="0" borderId="34" xfId="0" applyFont="1" applyBorder="1" applyAlignment="1">
      <alignment horizontal="right" vertical="center"/>
    </xf>
    <xf numFmtId="174" fontId="25" fillId="0" borderId="56" xfId="0" applyNumberFormat="1" applyFont="1" applyBorder="1" applyAlignment="1">
      <alignment horizontal="right" vertical="center"/>
    </xf>
    <xf numFmtId="0" fontId="25" fillId="0" borderId="57" xfId="0" applyFont="1" applyBorder="1" applyAlignment="1">
      <alignment horizontal="right" vertical="center"/>
    </xf>
    <xf numFmtId="2" fontId="25" fillId="0" borderId="12" xfId="0" applyNumberFormat="1" applyFont="1" applyBorder="1" applyAlignment="1">
      <alignment horizontal="right" vertical="center"/>
    </xf>
    <xf numFmtId="1" fontId="25" fillId="0" borderId="56" xfId="0" applyNumberFormat="1" applyFont="1" applyBorder="1" applyAlignment="1">
      <alignment horizontal="right" vertical="center"/>
    </xf>
    <xf numFmtId="1" fontId="25" fillId="0" borderId="57" xfId="0" applyNumberFormat="1" applyFont="1" applyBorder="1" applyAlignment="1">
      <alignment horizontal="center" vertical="center"/>
    </xf>
    <xf numFmtId="164" fontId="25" fillId="0" borderId="26" xfId="0" applyNumberFormat="1" applyFont="1" applyBorder="1" applyAlignment="1">
      <alignment horizontal="center" vertical="center"/>
    </xf>
    <xf numFmtId="174" fontId="25" fillId="0" borderId="12" xfId="0" applyNumberFormat="1" applyFont="1" applyBorder="1" applyAlignment="1">
      <alignment horizontal="right" vertical="center"/>
    </xf>
    <xf numFmtId="174" fontId="25" fillId="0" borderId="26" xfId="0" applyNumberFormat="1" applyFont="1" applyBorder="1" applyAlignment="1">
      <alignment horizontal="center" vertical="center"/>
    </xf>
    <xf numFmtId="164" fontId="25" fillId="0" borderId="44" xfId="0" applyNumberFormat="1" applyFont="1" applyBorder="1" applyAlignment="1">
      <alignment horizontal="center" vertical="center"/>
    </xf>
    <xf numFmtId="174" fontId="25" fillId="0" borderId="34" xfId="0" applyNumberFormat="1" applyFont="1" applyBorder="1" applyAlignment="1">
      <alignment horizontal="right" vertical="center"/>
    </xf>
    <xf numFmtId="174" fontId="25" fillId="0" borderId="44" xfId="0" applyNumberFormat="1" applyFont="1" applyBorder="1" applyAlignment="1">
      <alignment horizontal="center" vertical="center"/>
    </xf>
    <xf numFmtId="170" fontId="25" fillId="0" borderId="57" xfId="0" applyNumberFormat="1" applyFont="1" applyBorder="1" applyAlignment="1">
      <alignment horizontal="center" vertical="center"/>
    </xf>
    <xf numFmtId="174" fontId="25" fillId="0" borderId="57" xfId="0" applyNumberFormat="1" applyFont="1" applyBorder="1" applyAlignment="1">
      <alignment horizontal="center" vertical="center"/>
    </xf>
    <xf numFmtId="170" fontId="25" fillId="0" borderId="26" xfId="0" applyNumberFormat="1" applyFont="1" applyBorder="1" applyAlignment="1">
      <alignment horizontal="center" vertical="center"/>
    </xf>
    <xf numFmtId="2" fontId="25" fillId="0" borderId="26" xfId="0" applyNumberFormat="1" applyFont="1" applyBorder="1" applyAlignment="1">
      <alignment horizontal="center" vertical="center"/>
    </xf>
    <xf numFmtId="170" fontId="25" fillId="0" borderId="44" xfId="0" applyNumberFormat="1" applyFont="1" applyBorder="1" applyAlignment="1">
      <alignment horizontal="center" vertical="center"/>
    </xf>
    <xf numFmtId="2" fontId="25" fillId="0" borderId="34" xfId="0" applyNumberFormat="1" applyFont="1" applyBorder="1" applyAlignment="1">
      <alignment horizontal="right" vertical="center"/>
    </xf>
    <xf numFmtId="2" fontId="25" fillId="0" borderId="44" xfId="0" applyNumberFormat="1" applyFont="1" applyBorder="1" applyAlignment="1">
      <alignment horizontal="center" vertical="center"/>
    </xf>
    <xf numFmtId="169" fontId="25" fillId="0" borderId="57" xfId="0" applyNumberFormat="1" applyFont="1" applyBorder="1" applyAlignment="1">
      <alignment horizontal="center" vertical="center"/>
    </xf>
    <xf numFmtId="169" fontId="25" fillId="0" borderId="26" xfId="0" applyNumberFormat="1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57" xfId="0" applyFont="1" applyBorder="1" applyAlignment="1">
      <alignment horizontal="center" vertical="top"/>
    </xf>
    <xf numFmtId="0" fontId="25" fillId="0" borderId="37" xfId="0" applyFont="1" applyBorder="1" applyAlignment="1">
      <alignment horizontal="center" vertical="top" wrapText="1"/>
    </xf>
    <xf numFmtId="0" fontId="25" fillId="0" borderId="57" xfId="0" applyFont="1" applyBorder="1" applyAlignment="1">
      <alignment horizontal="center" vertical="top" wrapText="1"/>
    </xf>
    <xf numFmtId="0" fontId="25" fillId="0" borderId="37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169" fontId="25" fillId="0" borderId="4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2" fillId="4" borderId="0" xfId="0" applyFont="1" applyFill="1" applyAlignment="1">
      <alignment horizontal="right"/>
    </xf>
    <xf numFmtId="0" fontId="2" fillId="16" borderId="0" xfId="0" applyFont="1" applyFill="1"/>
    <xf numFmtId="0" fontId="0" fillId="16" borderId="0" xfId="0" applyFill="1"/>
    <xf numFmtId="15" fontId="2" fillId="16" borderId="0" xfId="0" applyNumberFormat="1" applyFont="1" applyFill="1" applyAlignment="1">
      <alignment horizontal="left"/>
    </xf>
    <xf numFmtId="0" fontId="0" fillId="16" borderId="0" xfId="0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2" borderId="41" xfId="0" applyFill="1" applyBorder="1" applyProtection="1">
      <protection locked="0"/>
    </xf>
    <xf numFmtId="0" fontId="0" fillId="2" borderId="41" xfId="0" applyFill="1" applyBorder="1"/>
    <xf numFmtId="0" fontId="0" fillId="17" borderId="42" xfId="0" applyFill="1" applyBorder="1"/>
    <xf numFmtId="0" fontId="2" fillId="17" borderId="41" xfId="0" applyFont="1" applyFill="1" applyBorder="1"/>
    <xf numFmtId="0" fontId="2" fillId="18" borderId="41" xfId="0" applyFont="1" applyFill="1" applyBorder="1"/>
    <xf numFmtId="0" fontId="2" fillId="19" borderId="41" xfId="0" applyFont="1" applyFill="1" applyBorder="1"/>
    <xf numFmtId="0" fontId="2" fillId="20" borderId="41" xfId="0" applyFont="1" applyFill="1" applyBorder="1"/>
    <xf numFmtId="0" fontId="0" fillId="4" borderId="41" xfId="0" applyFill="1" applyBorder="1" applyAlignment="1">
      <alignment horizontal="center"/>
    </xf>
    <xf numFmtId="171" fontId="2" fillId="2" borderId="41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18" borderId="41" xfId="0" applyFill="1" applyBorder="1"/>
    <xf numFmtId="0" fontId="0" fillId="19" borderId="41" xfId="0" applyFill="1" applyBorder="1"/>
    <xf numFmtId="0" fontId="0" fillId="20" borderId="41" xfId="0" applyFill="1" applyBorder="1"/>
    <xf numFmtId="0" fontId="2" fillId="8" borderId="25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0" fillId="2" borderId="41" xfId="0" applyFill="1" applyBorder="1" applyAlignment="1" applyProtection="1">
      <alignment horizontal="center"/>
      <protection locked="0"/>
    </xf>
    <xf numFmtId="185" fontId="0" fillId="2" borderId="41" xfId="0" applyNumberFormat="1" applyFill="1" applyBorder="1" applyProtection="1">
      <protection locked="0"/>
    </xf>
    <xf numFmtId="0" fontId="0" fillId="2" borderId="42" xfId="0" applyFill="1" applyBorder="1"/>
    <xf numFmtId="0" fontId="0" fillId="17" borderId="41" xfId="0" applyFill="1" applyBorder="1"/>
    <xf numFmtId="11" fontId="0" fillId="18" borderId="41" xfId="0" applyNumberFormat="1" applyFill="1" applyBorder="1"/>
    <xf numFmtId="1" fontId="0" fillId="18" borderId="41" xfId="0" applyNumberFormat="1" applyFill="1" applyBorder="1" applyAlignment="1">
      <alignment horizontal="center"/>
    </xf>
    <xf numFmtId="11" fontId="0" fillId="19" borderId="41" xfId="0" applyNumberFormat="1" applyFill="1" applyBorder="1"/>
    <xf numFmtId="1" fontId="0" fillId="19" borderId="41" xfId="0" applyNumberFormat="1" applyFill="1" applyBorder="1" applyAlignment="1">
      <alignment horizontal="center"/>
    </xf>
    <xf numFmtId="1" fontId="0" fillId="20" borderId="41" xfId="0" applyNumberFormat="1" applyFill="1" applyBorder="1" applyAlignment="1">
      <alignment horizontal="center"/>
    </xf>
    <xf numFmtId="11" fontId="0" fillId="20" borderId="41" xfId="0" applyNumberFormat="1" applyFill="1" applyBorder="1"/>
    <xf numFmtId="0" fontId="2" fillId="2" borderId="41" xfId="0" applyFont="1" applyFill="1" applyBorder="1" applyAlignment="1" applyProtection="1">
      <alignment horizontal="center"/>
      <protection locked="0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174" fontId="0" fillId="21" borderId="0" xfId="0" applyNumberFormat="1" applyFill="1" applyAlignment="1">
      <alignment horizontal="center"/>
    </xf>
    <xf numFmtId="0" fontId="0" fillId="21" borderId="0" xfId="0" applyFill="1"/>
    <xf numFmtId="11" fontId="0" fillId="21" borderId="0" xfId="0" applyNumberFormat="1" applyFill="1"/>
    <xf numFmtId="165" fontId="0" fillId="21" borderId="0" xfId="0" applyNumberFormat="1" applyFill="1"/>
    <xf numFmtId="164" fontId="0" fillId="21" borderId="0" xfId="0" applyNumberFormat="1" applyFill="1"/>
    <xf numFmtId="174" fontId="0" fillId="21" borderId="0" xfId="0" applyNumberFormat="1" applyFill="1"/>
    <xf numFmtId="169" fontId="0" fillId="21" borderId="0" xfId="0" applyNumberFormat="1" applyFill="1"/>
    <xf numFmtId="0" fontId="29" fillId="0" borderId="32" xfId="0" applyFont="1" applyBorder="1" applyAlignment="1">
      <alignment horizontal="center" vertical="top" wrapText="1"/>
    </xf>
    <xf numFmtId="186" fontId="29" fillId="0" borderId="0" xfId="0" applyNumberFormat="1" applyFont="1" applyAlignment="1">
      <alignment horizontal="right"/>
    </xf>
    <xf numFmtId="174" fontId="29" fillId="0" borderId="0" xfId="0" applyNumberFormat="1" applyFont="1" applyAlignment="1">
      <alignment horizontal="center"/>
    </xf>
    <xf numFmtId="187" fontId="29" fillId="0" borderId="0" xfId="0" applyNumberFormat="1" applyFont="1" applyAlignment="1">
      <alignment horizontal="right"/>
    </xf>
    <xf numFmtId="188" fontId="29" fillId="0" borderId="0" xfId="0" applyNumberFormat="1" applyFont="1" applyAlignment="1">
      <alignment horizontal="right"/>
    </xf>
    <xf numFmtId="189" fontId="29" fillId="0" borderId="0" xfId="0" applyNumberFormat="1" applyFont="1" applyAlignment="1">
      <alignment horizontal="right"/>
    </xf>
    <xf numFmtId="0" fontId="29" fillId="0" borderId="0" xfId="0" applyFont="1"/>
    <xf numFmtId="190" fontId="29" fillId="0" borderId="0" xfId="0" applyNumberFormat="1" applyFont="1" applyAlignment="1">
      <alignment horizontal="right"/>
    </xf>
    <xf numFmtId="191" fontId="29" fillId="0" borderId="0" xfId="0" applyNumberFormat="1" applyFont="1" applyAlignment="1">
      <alignment horizontal="right"/>
    </xf>
    <xf numFmtId="192" fontId="29" fillId="0" borderId="0" xfId="0" applyNumberFormat="1" applyFont="1" applyAlignment="1">
      <alignment horizontal="right"/>
    </xf>
    <xf numFmtId="193" fontId="29" fillId="0" borderId="0" xfId="0" applyNumberFormat="1" applyFont="1" applyAlignment="1">
      <alignment horizontal="right"/>
    </xf>
    <xf numFmtId="194" fontId="29" fillId="0" borderId="0" xfId="0" applyNumberFormat="1" applyFont="1" applyAlignment="1">
      <alignment horizontal="right"/>
    </xf>
    <xf numFmtId="11" fontId="0" fillId="22" borderId="0" xfId="0" applyNumberFormat="1" applyFill="1"/>
    <xf numFmtId="174" fontId="0" fillId="22" borderId="0" xfId="0" applyNumberFormat="1" applyFill="1"/>
    <xf numFmtId="165" fontId="0" fillId="22" borderId="0" xfId="0" applyNumberFormat="1" applyFill="1"/>
    <xf numFmtId="164" fontId="0" fillId="22" borderId="0" xfId="0" applyNumberFormat="1" applyFill="1"/>
    <xf numFmtId="169" fontId="0" fillId="22" borderId="0" xfId="0" applyNumberFormat="1" applyFill="1"/>
    <xf numFmtId="170" fontId="0" fillId="22" borderId="0" xfId="0" applyNumberFormat="1" applyFill="1"/>
    <xf numFmtId="0" fontId="2" fillId="22" borderId="0" xfId="0" applyFont="1" applyFill="1"/>
    <xf numFmtId="169" fontId="25" fillId="0" borderId="42" xfId="0" applyNumberFormat="1" applyFont="1" applyBorder="1" applyAlignment="1">
      <alignment horizontal="center" vertical="center"/>
    </xf>
    <xf numFmtId="169" fontId="25" fillId="0" borderId="40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25" fillId="0" borderId="40" xfId="0" applyNumberFormat="1" applyFont="1" applyBorder="1" applyAlignment="1">
      <alignment horizontal="center" vertical="center"/>
    </xf>
    <xf numFmtId="170" fontId="25" fillId="0" borderId="42" xfId="0" applyNumberFormat="1" applyFont="1" applyBorder="1" applyAlignment="1">
      <alignment horizontal="center" vertical="center"/>
    </xf>
    <xf numFmtId="170" fontId="25" fillId="0" borderId="40" xfId="0" applyNumberFormat="1" applyFont="1" applyBorder="1" applyAlignment="1">
      <alignment horizontal="center" vertical="center"/>
    </xf>
    <xf numFmtId="174" fontId="25" fillId="0" borderId="42" xfId="0" applyNumberFormat="1" applyFont="1" applyBorder="1" applyAlignment="1">
      <alignment horizontal="center" vertical="center"/>
    </xf>
    <xf numFmtId="174" fontId="25" fillId="0" borderId="40" xfId="0" applyNumberFormat="1" applyFont="1" applyBorder="1" applyAlignment="1">
      <alignment horizontal="center" vertical="center"/>
    </xf>
    <xf numFmtId="164" fontId="25" fillId="0" borderId="42" xfId="0" applyNumberFormat="1" applyFont="1" applyBorder="1" applyAlignment="1">
      <alignment horizontal="center" vertical="center"/>
    </xf>
    <xf numFmtId="164" fontId="25" fillId="0" borderId="40" xfId="0" applyNumberFormat="1" applyFont="1" applyBorder="1" applyAlignment="1">
      <alignment horizontal="center" vertical="center"/>
    </xf>
    <xf numFmtId="1" fontId="25" fillId="0" borderId="42" xfId="0" applyNumberFormat="1" applyFont="1" applyBorder="1" applyAlignment="1">
      <alignment horizontal="center" vertical="center"/>
    </xf>
    <xf numFmtId="1" fontId="25" fillId="0" borderId="40" xfId="0" applyNumberFormat="1" applyFont="1" applyBorder="1" applyAlignment="1">
      <alignment horizontal="center" vertical="center"/>
    </xf>
    <xf numFmtId="169" fontId="25" fillId="0" borderId="35" xfId="0" applyNumberFormat="1" applyFont="1" applyBorder="1" applyAlignment="1">
      <alignment horizontal="center" vertical="center"/>
    </xf>
    <xf numFmtId="169" fontId="25" fillId="0" borderId="51" xfId="0" applyNumberFormat="1" applyFont="1" applyBorder="1" applyAlignment="1">
      <alignment horizontal="center" vertical="center"/>
    </xf>
    <xf numFmtId="169" fontId="25" fillId="0" borderId="27" xfId="0" applyNumberFormat="1" applyFont="1" applyBorder="1" applyAlignment="1">
      <alignment horizontal="center" vertical="center"/>
    </xf>
    <xf numFmtId="2" fontId="25" fillId="0" borderId="41" xfId="0" applyNumberFormat="1" applyFont="1" applyBorder="1" applyAlignment="1">
      <alignment horizontal="center" vertical="center"/>
    </xf>
    <xf numFmtId="169" fontId="25" fillId="0" borderId="41" xfId="0" applyNumberFormat="1" applyFont="1" applyBorder="1" applyAlignment="1">
      <alignment horizontal="center" vertical="center"/>
    </xf>
    <xf numFmtId="2" fontId="25" fillId="0" borderId="27" xfId="0" applyNumberFormat="1" applyFont="1" applyBorder="1" applyAlignment="1">
      <alignment horizontal="center" vertical="center"/>
    </xf>
    <xf numFmtId="0" fontId="25" fillId="0" borderId="34" xfId="0" applyFont="1" applyBorder="1" applyAlignment="1">
      <alignment horizontal="center"/>
    </xf>
    <xf numFmtId="0" fontId="25" fillId="0" borderId="44" xfId="0" applyFont="1" applyBorder="1" applyAlignment="1">
      <alignment horizontal="center"/>
    </xf>
    <xf numFmtId="0" fontId="25" fillId="0" borderId="56" xfId="0" applyFont="1" applyBorder="1" applyAlignment="1">
      <alignment horizontal="center" vertical="top"/>
    </xf>
    <xf numFmtId="0" fontId="25" fillId="0" borderId="57" xfId="0" applyFont="1" applyBorder="1" applyAlignment="1">
      <alignment horizontal="center" vertical="top"/>
    </xf>
    <xf numFmtId="0" fontId="25" fillId="0" borderId="56" xfId="0" applyFont="1" applyBorder="1" applyAlignment="1">
      <alignment horizontal="center" vertical="top" wrapText="1"/>
    </xf>
    <xf numFmtId="0" fontId="25" fillId="0" borderId="31" xfId="0" applyFont="1" applyBorder="1" applyAlignment="1">
      <alignment horizontal="center"/>
    </xf>
  </cellXfs>
  <cellStyles count="4">
    <cellStyle name="Heading 2" xfId="1" builtinId="17" customBuiltin="1"/>
    <cellStyle name="Normal" xfId="0" builtinId="0"/>
    <cellStyle name="Normal_Uncertainty" xfId="2" xr:uid="{00000000-0005-0000-0000-000002000000}"/>
    <cellStyle name="Normal_Universal Bridge" xfId="3" xr:uid="{00000000-0005-0000-0000-00000300000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4055402449693791"/>
                  <c:y val="-6.4355861767279088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Results!$F$66:$F$69</c:f>
              <c:numCache>
                <c:formatCode>General</c:formatCode>
                <c:ptCount val="4"/>
                <c:pt idx="0">
                  <c:v>19.59</c:v>
                </c:pt>
                <c:pt idx="1">
                  <c:v>20.11</c:v>
                </c:pt>
                <c:pt idx="2">
                  <c:v>19.79</c:v>
                </c:pt>
                <c:pt idx="3">
                  <c:v>19.37</c:v>
                </c:pt>
              </c:numCache>
            </c:numRef>
          </c:xVal>
          <c:yVal>
            <c:numRef>
              <c:f>Results!$D$66:$D$69</c:f>
              <c:numCache>
                <c:formatCode>General</c:formatCode>
                <c:ptCount val="4"/>
                <c:pt idx="0">
                  <c:v>99862</c:v>
                </c:pt>
                <c:pt idx="1">
                  <c:v>99847</c:v>
                </c:pt>
                <c:pt idx="2">
                  <c:v>99858</c:v>
                </c:pt>
                <c:pt idx="3">
                  <c:v>99871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F-4653-B8DA-4C1E7296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6880"/>
        <c:axId val="37948416"/>
      </c:scatterChart>
      <c:valAx>
        <c:axId val="379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948416"/>
        <c:crosses val="autoZero"/>
        <c:crossBetween val="midCat"/>
      </c:valAx>
      <c:valAx>
        <c:axId val="3794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46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'Previous reports'!$A$50</c:f>
          <c:strCache>
            <c:ptCount val="1"/>
            <c:pt idx="0">
              <c:v>1600_100 milli</c:v>
            </c:pt>
          </c:strCache>
        </c:strRef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830393079205182E-2"/>
          <c:y val="5.4054108926419694E-2"/>
          <c:w val="0.66838088220803693"/>
          <c:h val="0.817048646464728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'Previous reports'!$B$50</c:f>
              <c:strCache>
                <c:ptCount val="1"/>
                <c:pt idx="0">
                  <c:v>Resistance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'Previous reports'!$C$51:$C$55</c:f>
                <c:numCache>
                  <c:formatCode>General</c:formatCode>
                  <c:ptCount val="5"/>
                  <c:pt idx="0">
                    <c:v>1.8066452659985281E-4</c:v>
                  </c:pt>
                  <c:pt idx="1">
                    <c:v>1.7704540832701694E-4</c:v>
                  </c:pt>
                  <c:pt idx="2">
                    <c:v>1.606325275066058E-4</c:v>
                  </c:pt>
                  <c:pt idx="3">
                    <c:v>5.1286364663879337E-5</c:v>
                  </c:pt>
                  <c:pt idx="4">
                    <c:v>4.682190452441673E-5</c:v>
                  </c:pt>
                </c:numCache>
              </c:numRef>
            </c:plus>
            <c:minus>
              <c:numRef>
                <c:f>'Previous reports'!$C$51:$C$55</c:f>
                <c:numCache>
                  <c:formatCode>General</c:formatCode>
                  <c:ptCount val="5"/>
                  <c:pt idx="0">
                    <c:v>1.8066452659985281E-4</c:v>
                  </c:pt>
                  <c:pt idx="1">
                    <c:v>1.7704540832701694E-4</c:v>
                  </c:pt>
                  <c:pt idx="2">
                    <c:v>1.606325275066058E-4</c:v>
                  </c:pt>
                  <c:pt idx="3">
                    <c:v>5.1286364663879337E-5</c:v>
                  </c:pt>
                  <c:pt idx="4">
                    <c:v>4.682190452441673E-5</c:v>
                  </c:pt>
                </c:numCache>
              </c:numRef>
            </c:minus>
            <c:spPr>
              <a:ln w="12700">
                <a:solidFill>
                  <a:srgbClr val="00FFFF"/>
                </a:solidFill>
                <a:prstDash val="solid"/>
              </a:ln>
            </c:spPr>
          </c:errBars>
          <c:xVal>
            <c:numRef>
              <c:f>'Previous reports'!$A$51:$A$55</c:f>
              <c:numCache>
                <c:formatCode>d\-mmm\-yy</c:formatCode>
                <c:ptCount val="5"/>
                <c:pt idx="0">
                  <c:v>41948</c:v>
                </c:pt>
                <c:pt idx="1">
                  <c:v>40668</c:v>
                </c:pt>
                <c:pt idx="2">
                  <c:v>38398</c:v>
                </c:pt>
                <c:pt idx="3">
                  <c:v>37231</c:v>
                </c:pt>
                <c:pt idx="4">
                  <c:v>36143</c:v>
                </c:pt>
              </c:numCache>
            </c:numRef>
          </c:xVal>
          <c:yVal>
            <c:numRef>
              <c:f>'Previous reports'!$B$51:$B$55</c:f>
              <c:numCache>
                <c:formatCode>General</c:formatCode>
                <c:ptCount val="5"/>
                <c:pt idx="0">
                  <c:v>2.0004741205370462</c:v>
                </c:pt>
                <c:pt idx="1">
                  <c:v>2.0004848347745603</c:v>
                </c:pt>
                <c:pt idx="2">
                  <c:v>2.0004491791218011</c:v>
                </c:pt>
                <c:pt idx="3">
                  <c:v>2.0004391220856923</c:v>
                </c:pt>
                <c:pt idx="4">
                  <c:v>2.0004167541836031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A-40B8-9F96-E5807F15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5184"/>
        <c:axId val="32446720"/>
      </c:scatterChart>
      <c:scatterChart>
        <c:scatterStyle val="lineMarker"/>
        <c:varyColors val="0"/>
        <c:ser>
          <c:idx val="1"/>
          <c:order val="1"/>
          <c:tx>
            <c:strRef>
              <c:f>'Previous reports'!$D$50</c:f>
              <c:strCache>
                <c:ptCount val="1"/>
                <c:pt idx="0">
                  <c:v>Reactance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'Previous reports'!$E$51:$E$55</c:f>
                <c:numCache>
                  <c:formatCode>General</c:formatCode>
                  <c:ptCount val="5"/>
                  <c:pt idx="0">
                    <c:v>3.9143538865520897E-2</c:v>
                  </c:pt>
                  <c:pt idx="1">
                    <c:v>5.6049341349194131E-3</c:v>
                  </c:pt>
                  <c:pt idx="2">
                    <c:v>1.5719484007862151E-2</c:v>
                  </c:pt>
                  <c:pt idx="3">
                    <c:v>2.4881540052839695E-2</c:v>
                  </c:pt>
                  <c:pt idx="4">
                    <c:v>7.3966596047535093E-3</c:v>
                  </c:pt>
                </c:numCache>
              </c:numRef>
            </c:plus>
            <c:minus>
              <c:numRef>
                <c:f>'Previous reports'!$E$51:$E$55</c:f>
                <c:numCache>
                  <c:formatCode>General</c:formatCode>
                  <c:ptCount val="5"/>
                  <c:pt idx="0">
                    <c:v>3.9143538865520897E-2</c:v>
                  </c:pt>
                  <c:pt idx="1">
                    <c:v>5.6049341349194131E-3</c:v>
                  </c:pt>
                  <c:pt idx="2">
                    <c:v>1.5719484007862151E-2</c:v>
                  </c:pt>
                  <c:pt idx="3">
                    <c:v>2.4881540052839695E-2</c:v>
                  </c:pt>
                  <c:pt idx="4">
                    <c:v>7.3966596047535093E-3</c:v>
                  </c:pt>
                </c:numCache>
              </c:numRef>
            </c:minus>
            <c:spPr>
              <a:ln w="12700">
                <a:solidFill>
                  <a:srgbClr val="FF00FF"/>
                </a:solidFill>
                <a:prstDash val="solid"/>
              </a:ln>
            </c:spPr>
          </c:errBars>
          <c:xVal>
            <c:numRef>
              <c:f>'Previous reports'!$A$51:$A$55</c:f>
              <c:numCache>
                <c:formatCode>d\-mmm\-yy</c:formatCode>
                <c:ptCount val="5"/>
                <c:pt idx="0">
                  <c:v>41948</c:v>
                </c:pt>
                <c:pt idx="1">
                  <c:v>40668</c:v>
                </c:pt>
                <c:pt idx="2">
                  <c:v>38398</c:v>
                </c:pt>
                <c:pt idx="3">
                  <c:v>37231</c:v>
                </c:pt>
                <c:pt idx="4">
                  <c:v>36143</c:v>
                </c:pt>
              </c:numCache>
            </c:numRef>
          </c:xVal>
          <c:yVal>
            <c:numRef>
              <c:f>'Previous reports'!$D$51:$D$55</c:f>
              <c:numCache>
                <c:formatCode>General</c:formatCode>
                <c:ptCount val="5"/>
                <c:pt idx="0">
                  <c:v>99.883042505986282</c:v>
                </c:pt>
                <c:pt idx="1">
                  <c:v>99.863542752591371</c:v>
                </c:pt>
                <c:pt idx="2">
                  <c:v>99.881245449221169</c:v>
                </c:pt>
                <c:pt idx="3">
                  <c:v>99.882246828303522</c:v>
                </c:pt>
                <c:pt idx="4">
                  <c:v>99.8781716019583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A-40B8-9F96-E5807F15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4896"/>
        <c:axId val="32466432"/>
      </c:scatterChart>
      <c:valAx>
        <c:axId val="324451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6720"/>
        <c:crosses val="autoZero"/>
        <c:crossBetween val="midCat"/>
      </c:valAx>
      <c:valAx>
        <c:axId val="32446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45184"/>
        <c:crosses val="autoZero"/>
        <c:crossBetween val="midCat"/>
      </c:valAx>
      <c:valAx>
        <c:axId val="32464896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one"/>
        <c:crossAx val="32466432"/>
        <c:crosses val="autoZero"/>
        <c:crossBetween val="midCat"/>
      </c:valAx>
      <c:valAx>
        <c:axId val="32466432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64896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234859675036932"/>
          <c:y val="0.41767068273092367"/>
          <c:w val="0.15657311669128507"/>
          <c:h val="8.83534136546184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66</xdr:row>
      <xdr:rowOff>9525</xdr:rowOff>
    </xdr:from>
    <xdr:to>
      <xdr:col>15</xdr:col>
      <xdr:colOff>228600</xdr:colOff>
      <xdr:row>83</xdr:row>
      <xdr:rowOff>0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00000000-0008-0000-0200-000001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54</xdr:row>
      <xdr:rowOff>152400</xdr:rowOff>
    </xdr:from>
    <xdr:to>
      <xdr:col>27</xdr:col>
      <xdr:colOff>514350</xdr:colOff>
      <xdr:row>84</xdr:row>
      <xdr:rowOff>38100</xdr:rowOff>
    </xdr:to>
    <xdr:graphicFrame macro="">
      <xdr:nvGraphicFramePr>
        <xdr:cNvPr id="9217" name="Chart 17">
          <a:extLst>
            <a:ext uri="{FF2B5EF4-FFF2-40B4-BE49-F238E27FC236}">
              <a16:creationId xmlns:a16="http://schemas.microsoft.com/office/drawing/2014/main" id="{00000000-0008-0000-0600-000001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llivan_nov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environment"/>
      <sheetName val="pyReport"/>
      <sheetName val="Results"/>
      <sheetName val="AH2700A results"/>
      <sheetName val="Room data logger"/>
      <sheetName val="Universal Bridge"/>
      <sheetName val="Uncertainty"/>
      <sheetName val="Report"/>
      <sheetName val="Historical"/>
      <sheetName val="Previous History"/>
    </sheetNames>
    <sheetDataSet>
      <sheetData sheetId="0" refreshError="1"/>
      <sheetData sheetId="1" refreshError="1"/>
      <sheetData sheetId="2">
        <row r="1">
          <cell r="A1" t="str">
            <v>Item</v>
          </cell>
          <cell r="B1" t="str">
            <v>Label</v>
          </cell>
          <cell r="C1" t="str">
            <v>Range</v>
          </cell>
          <cell r="D1" t="str">
            <v>xDial</v>
          </cell>
          <cell r="E1" t="str">
            <v>rDial</v>
          </cell>
          <cell r="F1" t="str">
            <v>frequency</v>
          </cell>
          <cell r="G1" t="str">
            <v>temperature</v>
          </cell>
          <cell r="H1" t="str">
            <v>utemp</v>
          </cell>
          <cell r="I1" t="str">
            <v>dftemp</v>
          </cell>
          <cell r="J1" t="str">
            <v>alphax</v>
          </cell>
          <cell r="K1" t="str">
            <v>ualphax</v>
          </cell>
          <cell r="L1" t="str">
            <v>dfalphax</v>
          </cell>
          <cell r="M1" t="str">
            <v>alphar</v>
          </cell>
          <cell r="N1" t="str">
            <v>ualphar</v>
          </cell>
          <cell r="O1" t="str">
            <v>dfalphr</v>
          </cell>
          <cell r="P1" t="str">
            <v>x</v>
          </cell>
          <cell r="Q1" t="str">
            <v>ux</v>
          </cell>
          <cell r="R1" t="str">
            <v>kx</v>
          </cell>
          <cell r="S1" t="str">
            <v>r</v>
          </cell>
          <cell r="T1" t="str">
            <v>ur</v>
          </cell>
          <cell r="U1" t="str">
            <v>kr</v>
          </cell>
          <cell r="V1" t="str">
            <v>cmcx</v>
          </cell>
          <cell r="W1" t="str">
            <v>cmcr</v>
          </cell>
          <cell r="X1" t="str">
            <v>ux/cmcx</v>
          </cell>
          <cell r="Y1" t="str">
            <v>ur/cmcr</v>
          </cell>
          <cell r="Z1" t="str">
            <v>label</v>
          </cell>
          <cell r="AA1" t="str">
            <v>multiplier for R</v>
          </cell>
          <cell r="AB1" t="str">
            <v>R</v>
          </cell>
          <cell r="AC1" t="str">
            <v>uR</v>
          </cell>
          <cell r="AD1" t="str">
            <v>k</v>
          </cell>
          <cell r="AE1" t="str">
            <v>multiplier for L</v>
          </cell>
          <cell r="AF1" t="str">
            <v>L</v>
          </cell>
          <cell r="AG1" t="str">
            <v>uL</v>
          </cell>
          <cell r="AH1" t="str">
            <v>k</v>
          </cell>
          <cell r="AI1" t="str">
            <v>nom Freq</v>
          </cell>
        </row>
        <row r="2">
          <cell r="A2" t="str">
            <v>coax zero</v>
          </cell>
          <cell r="B2">
            <v>1591.5</v>
          </cell>
          <cell r="C2" t="str">
            <v>3Z</v>
          </cell>
          <cell r="D2">
            <v>-1</v>
          </cell>
          <cell r="E2">
            <v>-6</v>
          </cell>
          <cell r="F2">
            <v>1593.07</v>
          </cell>
          <cell r="G2">
            <v>19.71</v>
          </cell>
          <cell r="H2">
            <v>0.5</v>
          </cell>
          <cell r="I2">
            <v>10</v>
          </cell>
          <cell r="J2">
            <v>2.0000000000000002E-5</v>
          </cell>
          <cell r="K2">
            <v>9.9999999999999995E-7</v>
          </cell>
          <cell r="L2">
            <v>10</v>
          </cell>
          <cell r="M2">
            <v>4.0000000000000001E-3</v>
          </cell>
          <cell r="N2">
            <v>2.0000000000000001E-4</v>
          </cell>
          <cell r="O2">
            <v>10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1.255437614258792E-8</v>
          </cell>
          <cell r="W2">
            <v>1.255437614234308E-4</v>
          </cell>
          <cell r="X2">
            <v>0</v>
          </cell>
          <cell r="Y2">
            <v>0</v>
          </cell>
          <cell r="Z2" t="str">
            <v>coax zero1591.5</v>
          </cell>
          <cell r="AA2">
            <v>1</v>
          </cell>
          <cell r="AB2">
            <v>0</v>
          </cell>
          <cell r="AC2">
            <v>0</v>
          </cell>
          <cell r="AD2">
            <v>0</v>
          </cell>
          <cell r="AE2">
            <v>1000000</v>
          </cell>
          <cell r="AF2">
            <v>0</v>
          </cell>
          <cell r="AG2">
            <v>0</v>
          </cell>
          <cell r="AH2">
            <v>0</v>
          </cell>
          <cell r="AI2">
            <v>1591.5</v>
          </cell>
        </row>
        <row r="3">
          <cell r="A3" t="str">
            <v>A1</v>
          </cell>
          <cell r="B3">
            <v>1591.5</v>
          </cell>
          <cell r="C3" t="str">
            <v>3Z</v>
          </cell>
          <cell r="D3">
            <v>99380</v>
          </cell>
          <cell r="E3">
            <v>569169</v>
          </cell>
          <cell r="F3">
            <v>1593.33</v>
          </cell>
          <cell r="G3">
            <v>19.73</v>
          </cell>
          <cell r="H3">
            <v>0.5</v>
          </cell>
          <cell r="I3">
            <v>10</v>
          </cell>
          <cell r="J3">
            <v>2.0000000000000002E-5</v>
          </cell>
          <cell r="K3">
            <v>9.9999999999999995E-7</v>
          </cell>
          <cell r="L3">
            <v>10</v>
          </cell>
          <cell r="M3">
            <v>4.0000000000000001E-3</v>
          </cell>
          <cell r="N3">
            <v>2.0000000000000001E-4</v>
          </cell>
          <cell r="O3">
            <v>10</v>
          </cell>
          <cell r="P3">
            <v>9.9401681968295011E-4</v>
          </cell>
          <cell r="Q3">
            <v>6.3212537943479837E-8</v>
          </cell>
          <cell r="R3">
            <v>1.988966074789402</v>
          </cell>
          <cell r="S3">
            <v>5.68601177492092</v>
          </cell>
          <cell r="T3">
            <v>3.3718965085672653E-2</v>
          </cell>
          <cell r="U3">
            <v>2.08343460112531</v>
          </cell>
          <cell r="V3">
            <v>1.958623812165344E-8</v>
          </cell>
          <cell r="W3">
            <v>1.78849360134071E-4</v>
          </cell>
          <cell r="X3">
            <v>3.2273955596197732</v>
          </cell>
          <cell r="Y3">
            <v>188.53276892014529</v>
          </cell>
          <cell r="Z3" t="str">
            <v>A11591.5</v>
          </cell>
          <cell r="AA3">
            <v>1</v>
          </cell>
          <cell r="AB3">
            <v>5.68601177492092</v>
          </cell>
          <cell r="AC3">
            <v>3.3718965085672653E-2</v>
          </cell>
          <cell r="AD3">
            <v>2.08343460112531</v>
          </cell>
          <cell r="AE3">
            <v>1000000</v>
          </cell>
          <cell r="AF3">
            <v>994.01681968295009</v>
          </cell>
          <cell r="AG3">
            <v>6.3212537943479835E-2</v>
          </cell>
          <cell r="AH3">
            <v>1.988966074789402</v>
          </cell>
          <cell r="AI3">
            <v>1591.5</v>
          </cell>
        </row>
        <row r="4">
          <cell r="A4" t="str">
            <v>A2</v>
          </cell>
          <cell r="B4">
            <v>1591.5</v>
          </cell>
          <cell r="C4" t="str">
            <v>3Z</v>
          </cell>
          <cell r="D4">
            <v>198010</v>
          </cell>
          <cell r="E4">
            <v>838356</v>
          </cell>
          <cell r="F4">
            <v>1593.46</v>
          </cell>
          <cell r="G4">
            <v>19.71</v>
          </cell>
          <cell r="H4">
            <v>0.5</v>
          </cell>
          <cell r="I4">
            <v>10</v>
          </cell>
          <cell r="J4">
            <v>2.0000000000000002E-5</v>
          </cell>
          <cell r="K4">
            <v>9.9999999999999995E-7</v>
          </cell>
          <cell r="L4">
            <v>10</v>
          </cell>
          <cell r="M4">
            <v>4.0000000000000001E-3</v>
          </cell>
          <cell r="N4">
            <v>2.0000000000000001E-4</v>
          </cell>
          <cell r="O4">
            <v>10</v>
          </cell>
          <cell r="P4">
            <v>1.9805212842130809E-3</v>
          </cell>
          <cell r="Q4">
            <v>9.8534666896604751E-8</v>
          </cell>
          <cell r="R4">
            <v>2.0003046386368011</v>
          </cell>
          <cell r="S4">
            <v>8.3744971612129753</v>
          </cell>
          <cell r="T4">
            <v>4.9590542893043661E-2</v>
          </cell>
          <cell r="U4">
            <v>2.0844998268059021</v>
          </cell>
          <cell r="V4">
            <v>3.1569504431021839E-8</v>
          </cell>
          <cell r="W4">
            <v>2.6221343712188873E-4</v>
          </cell>
          <cell r="X4">
            <v>3.1211977721062816</v>
          </cell>
          <cell r="Y4">
            <v>189.12281322177904</v>
          </cell>
          <cell r="Z4" t="str">
            <v>A21591.5</v>
          </cell>
          <cell r="AA4">
            <v>1</v>
          </cell>
          <cell r="AB4">
            <v>8.3744971612129753</v>
          </cell>
          <cell r="AC4">
            <v>4.9590542893043661E-2</v>
          </cell>
          <cell r="AD4">
            <v>2.0844998268059021</v>
          </cell>
          <cell r="AE4">
            <v>1000000</v>
          </cell>
          <cell r="AF4">
            <v>1980.5212842130809</v>
          </cell>
          <cell r="AG4">
            <v>9.8534666896604756E-2</v>
          </cell>
          <cell r="AH4">
            <v>2.0003046386368011</v>
          </cell>
          <cell r="AI4">
            <v>1591.5</v>
          </cell>
        </row>
        <row r="5">
          <cell r="A5" t="str">
            <v>A3</v>
          </cell>
          <cell r="B5">
            <v>1591.5</v>
          </cell>
          <cell r="C5" t="str">
            <v>3Z</v>
          </cell>
          <cell r="D5">
            <v>296879</v>
          </cell>
          <cell r="E5">
            <v>1066481</v>
          </cell>
          <cell r="F5">
            <v>1593.67</v>
          </cell>
          <cell r="G5">
            <v>19.71</v>
          </cell>
          <cell r="H5">
            <v>0.5</v>
          </cell>
          <cell r="I5">
            <v>10</v>
          </cell>
          <cell r="J5">
            <v>2.0000000000000002E-5</v>
          </cell>
          <cell r="K5">
            <v>9.9999999999999995E-7</v>
          </cell>
          <cell r="L5">
            <v>10</v>
          </cell>
          <cell r="M5">
            <v>4.0000000000000001E-3</v>
          </cell>
          <cell r="N5">
            <v>2.0000000000000001E-4</v>
          </cell>
          <cell r="O5">
            <v>10</v>
          </cell>
          <cell r="P5">
            <v>2.9694166427695619E-3</v>
          </cell>
          <cell r="Q5">
            <v>1.3829150761095631E-7</v>
          </cell>
          <cell r="R5">
            <v>2.010169515041158</v>
          </cell>
          <cell r="S5">
            <v>10.65326474493345</v>
          </cell>
          <cell r="T5">
            <v>6.3053901278092198E-2</v>
          </cell>
          <cell r="U5">
            <v>2.0848438583220079</v>
          </cell>
          <cell r="V5">
            <v>4.4715477591063512E-8</v>
          </cell>
          <cell r="W5">
            <v>3.5527459634257611E-4</v>
          </cell>
          <cell r="X5">
            <v>3.0926988832742373</v>
          </cell>
          <cell r="Y5">
            <v>177.47934112714327</v>
          </cell>
          <cell r="Z5" t="str">
            <v>A31591.5</v>
          </cell>
          <cell r="AA5">
            <v>1</v>
          </cell>
          <cell r="AB5">
            <v>10.65326474493345</v>
          </cell>
          <cell r="AC5">
            <v>6.3053901278092198E-2</v>
          </cell>
          <cell r="AD5">
            <v>2.0848438583220079</v>
          </cell>
          <cell r="AE5">
            <v>1000000</v>
          </cell>
          <cell r="AF5">
            <v>2969.4166427695618</v>
          </cell>
          <cell r="AG5">
            <v>0.13829150761095629</v>
          </cell>
          <cell r="AH5">
            <v>2.010169515041158</v>
          </cell>
          <cell r="AI5">
            <v>1591.5</v>
          </cell>
        </row>
        <row r="6">
          <cell r="A6" t="str">
            <v>A4</v>
          </cell>
          <cell r="B6">
            <v>1591.5</v>
          </cell>
          <cell r="C6" t="str">
            <v>3Z</v>
          </cell>
          <cell r="D6">
            <v>394832</v>
          </cell>
          <cell r="E6">
            <v>1265232</v>
          </cell>
          <cell r="F6">
            <v>1593.74</v>
          </cell>
          <cell r="G6">
            <v>19.7</v>
          </cell>
          <cell r="H6">
            <v>0.5</v>
          </cell>
          <cell r="I6">
            <v>10</v>
          </cell>
          <cell r="J6">
            <v>2.0000000000000002E-5</v>
          </cell>
          <cell r="K6">
            <v>9.9999999999999995E-7</v>
          </cell>
          <cell r="L6">
            <v>10</v>
          </cell>
          <cell r="M6">
            <v>4.0000000000000001E-3</v>
          </cell>
          <cell r="N6">
            <v>2.0000000000000001E-4</v>
          </cell>
          <cell r="O6">
            <v>10</v>
          </cell>
          <cell r="P6">
            <v>3.9491493088906282E-3</v>
          </cell>
          <cell r="Q6">
            <v>1.7901486866776379E-7</v>
          </cell>
          <cell r="R6">
            <v>2.0157101721327422</v>
          </cell>
          <cell r="S6">
            <v>12.638105842186681</v>
          </cell>
          <cell r="T6">
            <v>7.4789449082862863E-2</v>
          </cell>
          <cell r="U6">
            <v>2.0849886670162432</v>
          </cell>
          <cell r="V6">
            <v>5.8089398522521403E-8</v>
          </cell>
          <cell r="W6">
            <v>4.5065208157016637E-4</v>
          </cell>
          <cell r="X6">
            <v>3.0817132423631359</v>
          </cell>
          <cell r="Y6">
            <v>165.95829053375442</v>
          </cell>
          <cell r="Z6" t="str">
            <v>A41591.5</v>
          </cell>
          <cell r="AA6">
            <v>1</v>
          </cell>
          <cell r="AB6">
            <v>12.638105842186681</v>
          </cell>
          <cell r="AC6">
            <v>7.4789449082862863E-2</v>
          </cell>
          <cell r="AD6">
            <v>2.0849886670162432</v>
          </cell>
          <cell r="AE6">
            <v>1000000</v>
          </cell>
          <cell r="AF6">
            <v>3949.1493088906282</v>
          </cell>
          <cell r="AG6">
            <v>0.17901486866776378</v>
          </cell>
          <cell r="AH6">
            <v>2.0157101721327422</v>
          </cell>
          <cell r="AI6">
            <v>1591.5</v>
          </cell>
        </row>
        <row r="7">
          <cell r="A7" t="str">
            <v>A5</v>
          </cell>
          <cell r="B7">
            <v>1591.5</v>
          </cell>
          <cell r="C7" t="str">
            <v>3Z</v>
          </cell>
          <cell r="D7">
            <v>493210</v>
          </cell>
          <cell r="E7">
            <v>1442337</v>
          </cell>
          <cell r="F7">
            <v>1592.85</v>
          </cell>
          <cell r="G7">
            <v>19.71</v>
          </cell>
          <cell r="H7">
            <v>0.5</v>
          </cell>
          <cell r="I7">
            <v>10</v>
          </cell>
          <cell r="J7">
            <v>2.0000000000000002E-5</v>
          </cell>
          <cell r="K7">
            <v>9.9999999999999995E-7</v>
          </cell>
          <cell r="L7">
            <v>10</v>
          </cell>
          <cell r="M7">
            <v>4.0000000000000001E-3</v>
          </cell>
          <cell r="N7">
            <v>2.0000000000000001E-4</v>
          </cell>
          <cell r="O7">
            <v>10</v>
          </cell>
          <cell r="P7">
            <v>4.9331344374347504E-3</v>
          </cell>
          <cell r="Q7">
            <v>2.2044425967197429E-7</v>
          </cell>
          <cell r="R7">
            <v>2.019069475039879</v>
          </cell>
          <cell r="S7">
            <v>14.407734745796329</v>
          </cell>
          <cell r="T7">
            <v>8.5247953063210424E-2</v>
          </cell>
          <cell r="U7">
            <v>2.08507527367559</v>
          </cell>
          <cell r="V7">
            <v>7.1662927810288021E-8</v>
          </cell>
          <cell r="W7">
            <v>5.4763676805981768E-4</v>
          </cell>
          <cell r="X7">
            <v>3.0761268958414929</v>
          </cell>
          <cell r="Y7">
            <v>155.66513798047046</v>
          </cell>
          <cell r="Z7" t="str">
            <v>A51591.5</v>
          </cell>
          <cell r="AA7">
            <v>1</v>
          </cell>
          <cell r="AB7">
            <v>14.407734745796329</v>
          </cell>
          <cell r="AC7">
            <v>8.5247953063210424E-2</v>
          </cell>
          <cell r="AD7">
            <v>2.08507527367559</v>
          </cell>
          <cell r="AE7">
            <v>1000000</v>
          </cell>
          <cell r="AF7">
            <v>4933.13443743475</v>
          </cell>
          <cell r="AG7">
            <v>0.22044425967197429</v>
          </cell>
          <cell r="AH7">
            <v>2.019069475039879</v>
          </cell>
          <cell r="AI7">
            <v>1591.5</v>
          </cell>
        </row>
        <row r="8">
          <cell r="A8" t="str">
            <v>A6</v>
          </cell>
          <cell r="B8">
            <v>1591.5</v>
          </cell>
          <cell r="C8" t="str">
            <v>3Z</v>
          </cell>
          <cell r="D8">
            <v>591464</v>
          </cell>
          <cell r="E8">
            <v>1611164</v>
          </cell>
          <cell r="F8">
            <v>1592.97</v>
          </cell>
          <cell r="G8">
            <v>19.7</v>
          </cell>
          <cell r="H8">
            <v>0.5</v>
          </cell>
          <cell r="I8">
            <v>10</v>
          </cell>
          <cell r="J8">
            <v>2.0000000000000002E-5</v>
          </cell>
          <cell r="K8">
            <v>9.9999999999999995E-7</v>
          </cell>
          <cell r="L8">
            <v>10</v>
          </cell>
          <cell r="M8">
            <v>4.0000000000000001E-3</v>
          </cell>
          <cell r="N8">
            <v>2.0000000000000001E-4</v>
          </cell>
          <cell r="O8">
            <v>10</v>
          </cell>
          <cell r="P8">
            <v>5.9158773354081222E-3</v>
          </cell>
          <cell r="Q8">
            <v>2.6214210239541239E-7</v>
          </cell>
          <cell r="R8">
            <v>2.0212070379172729</v>
          </cell>
          <cell r="S8">
            <v>16.09352308802535</v>
          </cell>
          <cell r="T8">
            <v>9.5220986774527033E-2</v>
          </cell>
          <cell r="U8">
            <v>2.085115084871771</v>
          </cell>
          <cell r="V8">
            <v>8.5304419895056359E-8</v>
          </cell>
          <cell r="W8">
            <v>6.454674611146695E-4</v>
          </cell>
          <cell r="X8">
            <v>3.0730189914884387</v>
          </cell>
          <cell r="Y8">
            <v>147.52252051573316</v>
          </cell>
          <cell r="Z8" t="str">
            <v>A61591.5</v>
          </cell>
          <cell r="AA8">
            <v>1</v>
          </cell>
          <cell r="AB8">
            <v>16.09352308802535</v>
          </cell>
          <cell r="AC8">
            <v>9.5220986774527033E-2</v>
          </cell>
          <cell r="AD8">
            <v>2.085115084871771</v>
          </cell>
          <cell r="AE8">
            <v>1000000</v>
          </cell>
          <cell r="AF8">
            <v>5915.8773354081222</v>
          </cell>
          <cell r="AG8">
            <v>0.26214210239541241</v>
          </cell>
          <cell r="AH8">
            <v>2.0212070379172729</v>
          </cell>
          <cell r="AI8">
            <v>1591.5</v>
          </cell>
        </row>
        <row r="9">
          <cell r="A9" t="str">
            <v>A7</v>
          </cell>
          <cell r="B9">
            <v>1591.5</v>
          </cell>
          <cell r="C9" t="str">
            <v>3Z</v>
          </cell>
          <cell r="D9">
            <v>689154</v>
          </cell>
          <cell r="E9">
            <v>1775693</v>
          </cell>
          <cell r="F9">
            <v>1593.08</v>
          </cell>
          <cell r="G9">
            <v>19.7</v>
          </cell>
          <cell r="H9">
            <v>0.5</v>
          </cell>
          <cell r="I9">
            <v>10</v>
          </cell>
          <cell r="J9">
            <v>2.0000000000000002E-5</v>
          </cell>
          <cell r="K9">
            <v>9.9999999999999995E-7</v>
          </cell>
          <cell r="L9">
            <v>10</v>
          </cell>
          <cell r="M9">
            <v>4.0000000000000001E-3</v>
          </cell>
          <cell r="N9">
            <v>2.0000000000000001E-4</v>
          </cell>
          <cell r="O9">
            <v>10</v>
          </cell>
          <cell r="P9">
            <v>6.8929800496687413E-3</v>
          </cell>
          <cell r="Q9">
            <v>3.0379823407733697E-7</v>
          </cell>
          <cell r="R9">
            <v>2.022640790532277</v>
          </cell>
          <cell r="S9">
            <v>17.73695689594307</v>
          </cell>
          <cell r="T9">
            <v>0.10494020952145559</v>
          </cell>
          <cell r="U9">
            <v>2.085146043611084</v>
          </cell>
          <cell r="V9">
            <v>9.8922348894532976E-8</v>
          </cell>
          <cell r="W9">
            <v>7.4344230861128743E-4</v>
          </cell>
          <cell r="X9">
            <v>3.0710778451210698</v>
          </cell>
          <cell r="Y9">
            <v>141.15447601775395</v>
          </cell>
          <cell r="Z9" t="str">
            <v>A71591.5</v>
          </cell>
          <cell r="AA9">
            <v>1</v>
          </cell>
          <cell r="AB9">
            <v>17.73695689594307</v>
          </cell>
          <cell r="AC9">
            <v>0.10494020952145559</v>
          </cell>
          <cell r="AD9">
            <v>2.085146043611084</v>
          </cell>
          <cell r="AE9">
            <v>1000000</v>
          </cell>
          <cell r="AF9">
            <v>6892.9800496687412</v>
          </cell>
          <cell r="AG9">
            <v>0.30379823407733697</v>
          </cell>
          <cell r="AH9">
            <v>2.022640790532277</v>
          </cell>
          <cell r="AI9">
            <v>1591.5</v>
          </cell>
        </row>
        <row r="10">
          <cell r="A10" t="str">
            <v>A8</v>
          </cell>
          <cell r="B10">
            <v>1591.5</v>
          </cell>
          <cell r="C10" t="str">
            <v>3Z</v>
          </cell>
          <cell r="D10">
            <v>786400</v>
          </cell>
          <cell r="E10">
            <v>1927498</v>
          </cell>
          <cell r="F10">
            <v>1593.25</v>
          </cell>
          <cell r="G10">
            <v>19.690000000000001</v>
          </cell>
          <cell r="H10">
            <v>0.5</v>
          </cell>
          <cell r="I10">
            <v>10</v>
          </cell>
          <cell r="J10">
            <v>2.0000000000000002E-5</v>
          </cell>
          <cell r="K10">
            <v>9.9999999999999995E-7</v>
          </cell>
          <cell r="L10">
            <v>10</v>
          </cell>
          <cell r="M10">
            <v>4.0000000000000001E-3</v>
          </cell>
          <cell r="N10">
            <v>2.0000000000000001E-4</v>
          </cell>
          <cell r="O10">
            <v>10</v>
          </cell>
          <cell r="P10">
            <v>7.865640269459415E-3</v>
          </cell>
          <cell r="Q10">
            <v>3.4533603943197121E-7</v>
          </cell>
          <cell r="R10">
            <v>2.0236935467261419</v>
          </cell>
          <cell r="S10">
            <v>19.252523199529762</v>
          </cell>
          <cell r="T10">
            <v>0.1139101160682761</v>
          </cell>
          <cell r="U10">
            <v>2.0851554112409292</v>
          </cell>
          <cell r="V10">
            <v>1.124964921201696E-7</v>
          </cell>
          <cell r="W10">
            <v>8.4099707783186911E-4</v>
          </cell>
          <cell r="X10">
            <v>3.0697494021687421</v>
          </cell>
          <cell r="Y10">
            <v>135.44650638019081</v>
          </cell>
          <cell r="Z10" t="str">
            <v>A81591.5</v>
          </cell>
          <cell r="AA10">
            <v>1</v>
          </cell>
          <cell r="AB10">
            <v>19.252523199529762</v>
          </cell>
          <cell r="AC10">
            <v>0.1139101160682761</v>
          </cell>
          <cell r="AD10">
            <v>2.0851554112409292</v>
          </cell>
          <cell r="AE10">
            <v>1000000</v>
          </cell>
          <cell r="AF10">
            <v>7865.6402694594153</v>
          </cell>
          <cell r="AG10">
            <v>0.34533603943197122</v>
          </cell>
          <cell r="AH10">
            <v>2.0236935467261419</v>
          </cell>
          <cell r="AI10">
            <v>1591.5</v>
          </cell>
        </row>
        <row r="11">
          <cell r="A11" t="str">
            <v>A9</v>
          </cell>
          <cell r="B11">
            <v>1591.5</v>
          </cell>
          <cell r="C11" t="str">
            <v>3Z</v>
          </cell>
          <cell r="D11">
            <v>883362</v>
          </cell>
          <cell r="E11">
            <v>2073610</v>
          </cell>
          <cell r="F11">
            <v>1593.16</v>
          </cell>
          <cell r="G11">
            <v>19.7</v>
          </cell>
          <cell r="H11">
            <v>0.5</v>
          </cell>
          <cell r="I11">
            <v>10</v>
          </cell>
          <cell r="J11">
            <v>2.0000000000000002E-5</v>
          </cell>
          <cell r="K11">
            <v>9.9999999999999995E-7</v>
          </cell>
          <cell r="L11">
            <v>10</v>
          </cell>
          <cell r="M11">
            <v>4.0000000000000001E-3</v>
          </cell>
          <cell r="N11">
            <v>2.0000000000000001E-4</v>
          </cell>
          <cell r="O11">
            <v>10</v>
          </cell>
          <cell r="P11">
            <v>8.8354630461998703E-3</v>
          </cell>
          <cell r="Q11">
            <v>3.8681766926432672E-7</v>
          </cell>
          <cell r="R11">
            <v>2.0244870402683031</v>
          </cell>
          <cell r="S11">
            <v>20.712765839979809</v>
          </cell>
          <cell r="T11">
            <v>0.1225417546724499</v>
          </cell>
          <cell r="U11">
            <v>2.085173993463791</v>
          </cell>
          <cell r="V11">
            <v>1.2605003379356691E-7</v>
          </cell>
          <cell r="W11">
            <v>9.3846175900026197E-4</v>
          </cell>
          <cell r="X11">
            <v>3.0687629159847822</v>
          </cell>
          <cell r="Y11">
            <v>130.57724888331407</v>
          </cell>
          <cell r="Z11" t="str">
            <v>A91591.5</v>
          </cell>
          <cell r="AA11">
            <v>1</v>
          </cell>
          <cell r="AB11">
            <v>20.712765839979809</v>
          </cell>
          <cell r="AC11">
            <v>0.1225417546724499</v>
          </cell>
          <cell r="AD11">
            <v>2.085173993463791</v>
          </cell>
          <cell r="AE11">
            <v>1000000</v>
          </cell>
          <cell r="AF11">
            <v>8835.4630461998695</v>
          </cell>
          <cell r="AG11">
            <v>0.3868176692643267</v>
          </cell>
          <cell r="AH11">
            <v>2.0244870402683031</v>
          </cell>
          <cell r="AI11">
            <v>1591.5</v>
          </cell>
        </row>
        <row r="12">
          <cell r="A12" t="str">
            <v>A10</v>
          </cell>
          <cell r="B12">
            <v>1591.5</v>
          </cell>
          <cell r="C12" t="str">
            <v>3Z</v>
          </cell>
          <cell r="D12">
            <v>980451</v>
          </cell>
          <cell r="E12">
            <v>2222585</v>
          </cell>
          <cell r="F12">
            <v>1592.88</v>
          </cell>
          <cell r="G12">
            <v>19.86</v>
          </cell>
          <cell r="H12">
            <v>0.5</v>
          </cell>
          <cell r="I12">
            <v>10</v>
          </cell>
          <cell r="J12">
            <v>2.0000000000000002E-5</v>
          </cell>
          <cell r="K12">
            <v>9.9999999999999995E-7</v>
          </cell>
          <cell r="L12">
            <v>10</v>
          </cell>
          <cell r="M12">
            <v>4.0000000000000001E-3</v>
          </cell>
          <cell r="N12">
            <v>2.0000000000000001E-4</v>
          </cell>
          <cell r="O12">
            <v>10</v>
          </cell>
          <cell r="P12">
            <v>9.8065858944700064E-3</v>
          </cell>
          <cell r="Q12">
            <v>4.2841385677505878E-7</v>
          </cell>
          <cell r="R12">
            <v>2.0251003487482429</v>
          </cell>
          <cell r="S12">
            <v>22.215060692605501</v>
          </cell>
          <cell r="T12">
            <v>0.13132694062678729</v>
          </cell>
          <cell r="U12">
            <v>2.0852746854712212</v>
          </cell>
          <cell r="V12">
            <v>1.3964571382247391E-7</v>
          </cell>
          <cell r="W12">
            <v>1.036482195090958E-3</v>
          </cell>
          <cell r="X12">
            <v>3.0678625576699363</v>
          </cell>
          <cell r="Y12">
            <v>126.70448296052255</v>
          </cell>
          <cell r="Z12" t="str">
            <v>A101591.5</v>
          </cell>
          <cell r="AA12">
            <v>1</v>
          </cell>
          <cell r="AB12">
            <v>22.215060692605501</v>
          </cell>
          <cell r="AC12">
            <v>0.13132694062678729</v>
          </cell>
          <cell r="AD12">
            <v>2.0852746854712212</v>
          </cell>
          <cell r="AE12">
            <v>1000000</v>
          </cell>
          <cell r="AF12">
            <v>9806.5858944700067</v>
          </cell>
          <cell r="AG12">
            <v>0.42841385677505878</v>
          </cell>
          <cell r="AH12">
            <v>2.0251003487482429</v>
          </cell>
          <cell r="AI12">
            <v>1591.5</v>
          </cell>
        </row>
        <row r="13">
          <cell r="A13" t="str">
            <v>B1</v>
          </cell>
          <cell r="B13">
            <v>1591.5</v>
          </cell>
          <cell r="C13" t="str">
            <v>2Z</v>
          </cell>
          <cell r="D13">
            <v>99118</v>
          </cell>
          <cell r="E13">
            <v>1166562</v>
          </cell>
          <cell r="F13">
            <v>1594.81</v>
          </cell>
          <cell r="G13">
            <v>19.77</v>
          </cell>
          <cell r="H13">
            <v>0.5</v>
          </cell>
          <cell r="I13">
            <v>10</v>
          </cell>
          <cell r="J13">
            <v>2.0000000000000002E-5</v>
          </cell>
          <cell r="K13">
            <v>9.9999999999999995E-7</v>
          </cell>
          <cell r="L13">
            <v>10</v>
          </cell>
          <cell r="M13">
            <v>4.0000000000000001E-3</v>
          </cell>
          <cell r="N13">
            <v>2.0000000000000001E-4</v>
          </cell>
          <cell r="O13">
            <v>10</v>
          </cell>
          <cell r="P13">
            <v>9.9141707182395154E-5</v>
          </cell>
          <cell r="Q13">
            <v>7.2135113813399104E-9</v>
          </cell>
          <cell r="R13">
            <v>1.997657557397754</v>
          </cell>
          <cell r="S13">
            <v>1.165597564479266</v>
          </cell>
          <cell r="T13">
            <v>6.8951135109526678E-3</v>
          </cell>
          <cell r="U13">
            <v>2.0850484851781181</v>
          </cell>
          <cell r="V13">
            <v>2.204574624214287E-9</v>
          </cell>
          <cell r="W13">
            <v>2.285437881499195E-5</v>
          </cell>
          <cell r="X13">
            <v>3.2720649607907077</v>
          </cell>
          <cell r="Y13">
            <v>301.69769945484717</v>
          </cell>
          <cell r="Z13" t="str">
            <v>B11591.5</v>
          </cell>
          <cell r="AA13">
            <v>1</v>
          </cell>
          <cell r="AB13">
            <v>1.165597564479266</v>
          </cell>
          <cell r="AC13">
            <v>6.8951135109526678E-3</v>
          </cell>
          <cell r="AD13">
            <v>2.0850484851781181</v>
          </cell>
          <cell r="AE13">
            <v>1000000</v>
          </cell>
          <cell r="AF13">
            <v>99.141707182395152</v>
          </cell>
          <cell r="AG13">
            <v>7.2135113813399107E-3</v>
          </cell>
          <cell r="AH13">
            <v>1.997657557397754</v>
          </cell>
          <cell r="AI13">
            <v>1591.5</v>
          </cell>
        </row>
        <row r="14">
          <cell r="A14" t="str">
            <v>B2</v>
          </cell>
          <cell r="B14">
            <v>1591.5</v>
          </cell>
          <cell r="C14" t="str">
            <v>2Z</v>
          </cell>
          <cell r="D14">
            <v>198956</v>
          </cell>
          <cell r="E14">
            <v>1739697</v>
          </cell>
          <cell r="F14">
            <v>1594.95</v>
          </cell>
          <cell r="G14">
            <v>19.760000000000002</v>
          </cell>
          <cell r="H14">
            <v>0.5</v>
          </cell>
          <cell r="I14">
            <v>10</v>
          </cell>
          <cell r="J14">
            <v>2.0000000000000002E-5</v>
          </cell>
          <cell r="K14">
            <v>9.9999999999999995E-7</v>
          </cell>
          <cell r="L14">
            <v>10</v>
          </cell>
          <cell r="M14">
            <v>4.0000000000000001E-3</v>
          </cell>
          <cell r="N14">
            <v>2.0000000000000001E-4</v>
          </cell>
          <cell r="O14">
            <v>10</v>
          </cell>
          <cell r="P14">
            <v>1.990005243383183E-4</v>
          </cell>
          <cell r="Q14">
            <v>1.11644392449385E-8</v>
          </cell>
          <cell r="R14">
            <v>2.002804983453184</v>
          </cell>
          <cell r="S14">
            <v>1.738176858421052</v>
          </cell>
          <cell r="T14">
            <v>1.0278923366988419E-2</v>
          </cell>
          <cell r="U14">
            <v>2.0853100731824559</v>
          </cell>
          <cell r="V14">
            <v>3.5158311118546709E-9</v>
          </cell>
          <cell r="W14">
            <v>3.3860496423014598E-5</v>
          </cell>
          <cell r="X14">
            <v>3.1754765487154009</v>
          </cell>
          <cell r="Y14">
            <v>303.5668242596098</v>
          </cell>
          <cell r="Z14" t="str">
            <v>B21591.5</v>
          </cell>
          <cell r="AA14">
            <v>1</v>
          </cell>
          <cell r="AB14">
            <v>1.738176858421052</v>
          </cell>
          <cell r="AC14">
            <v>1.0278923366988419E-2</v>
          </cell>
          <cell r="AD14">
            <v>2.0853100731824559</v>
          </cell>
          <cell r="AE14">
            <v>1000000</v>
          </cell>
          <cell r="AF14">
            <v>199.00052433831831</v>
          </cell>
          <cell r="AG14">
            <v>1.11644392449385E-2</v>
          </cell>
          <cell r="AH14">
            <v>2.002804983453184</v>
          </cell>
          <cell r="AI14">
            <v>1591.5</v>
          </cell>
        </row>
        <row r="15">
          <cell r="A15" t="str">
            <v>B3</v>
          </cell>
          <cell r="B15">
            <v>1591.5</v>
          </cell>
          <cell r="C15" t="str">
            <v>2Z</v>
          </cell>
          <cell r="D15">
            <v>298184</v>
          </cell>
          <cell r="E15">
            <v>2207103</v>
          </cell>
          <cell r="F15">
            <v>1595.08</v>
          </cell>
          <cell r="G15">
            <v>19.75</v>
          </cell>
          <cell r="H15">
            <v>0.5</v>
          </cell>
          <cell r="I15">
            <v>10</v>
          </cell>
          <cell r="J15">
            <v>2.0000000000000002E-5</v>
          </cell>
          <cell r="K15">
            <v>9.9999999999999995E-7</v>
          </cell>
          <cell r="L15">
            <v>10</v>
          </cell>
          <cell r="M15">
            <v>4.0000000000000001E-3</v>
          </cell>
          <cell r="N15">
            <v>2.0000000000000001E-4</v>
          </cell>
          <cell r="O15">
            <v>10</v>
          </cell>
          <cell r="P15">
            <v>2.9824917436069488E-4</v>
          </cell>
          <cell r="Q15">
            <v>1.5327593796820691E-8</v>
          </cell>
          <cell r="R15">
            <v>2.0065864442930721</v>
          </cell>
          <cell r="S15">
            <v>2.20507943285509</v>
          </cell>
          <cell r="T15">
            <v>1.3039230984667249E-2</v>
          </cell>
          <cell r="U15">
            <v>2.085383461903509</v>
          </cell>
          <cell r="V15">
            <v>4.886582170902018E-9</v>
          </cell>
          <cell r="W15">
            <v>4.4739746355274072E-5</v>
          </cell>
          <cell r="X15">
            <v>3.1366696109381822</v>
          </cell>
          <cell r="Y15">
            <v>291.44624292511531</v>
          </cell>
          <cell r="Z15" t="str">
            <v>B31591.5</v>
          </cell>
          <cell r="AA15">
            <v>1</v>
          </cell>
          <cell r="AB15">
            <v>2.20507943285509</v>
          </cell>
          <cell r="AC15">
            <v>1.3039230984667249E-2</v>
          </cell>
          <cell r="AD15">
            <v>2.085383461903509</v>
          </cell>
          <cell r="AE15">
            <v>1000000</v>
          </cell>
          <cell r="AF15">
            <v>298.24917436069489</v>
          </cell>
          <cell r="AG15">
            <v>1.5327593796820691E-2</v>
          </cell>
          <cell r="AH15">
            <v>2.0065864442930721</v>
          </cell>
          <cell r="AI15">
            <v>1591.5</v>
          </cell>
        </row>
        <row r="16">
          <cell r="A16" t="str">
            <v>B4</v>
          </cell>
          <cell r="B16">
            <v>1591.5</v>
          </cell>
          <cell r="C16" t="str">
            <v>2Z</v>
          </cell>
          <cell r="D16">
            <v>396438</v>
          </cell>
          <cell r="E16">
            <v>2792679</v>
          </cell>
          <cell r="F16">
            <v>1595.22</v>
          </cell>
          <cell r="G16">
            <v>19.739999999999998</v>
          </cell>
          <cell r="H16">
            <v>0.5</v>
          </cell>
          <cell r="I16">
            <v>10</v>
          </cell>
          <cell r="J16">
            <v>2.0000000000000002E-5</v>
          </cell>
          <cell r="K16">
            <v>9.9999999999999995E-7</v>
          </cell>
          <cell r="L16">
            <v>10</v>
          </cell>
          <cell r="M16">
            <v>4.0000000000000001E-3</v>
          </cell>
          <cell r="N16">
            <v>2.0000000000000001E-4</v>
          </cell>
          <cell r="O16">
            <v>10</v>
          </cell>
          <cell r="P16">
            <v>3.9652358179154248E-4</v>
          </cell>
          <cell r="Q16">
            <v>1.980695884882506E-8</v>
          </cell>
          <cell r="R16">
            <v>2.009449846405277</v>
          </cell>
          <cell r="S16">
            <v>2.7900002030166511</v>
          </cell>
          <cell r="T16">
            <v>1.6497716817181061E-2</v>
          </cell>
          <cell r="U16">
            <v>2.0854271768813679</v>
          </cell>
          <cell r="V16">
            <v>6.3394933523814189E-9</v>
          </cell>
          <cell r="W16">
            <v>5.7081736657138811E-5</v>
          </cell>
          <cell r="X16">
            <v>3.1243756792306776</v>
          </cell>
          <cell r="Y16">
            <v>289.01918167407069</v>
          </cell>
          <cell r="Z16" t="str">
            <v>B41591.5</v>
          </cell>
          <cell r="AA16">
            <v>1</v>
          </cell>
          <cell r="AB16">
            <v>2.7900002030166511</v>
          </cell>
          <cell r="AC16">
            <v>1.6497716817181061E-2</v>
          </cell>
          <cell r="AD16">
            <v>2.0854271768813679</v>
          </cell>
          <cell r="AE16">
            <v>1000000</v>
          </cell>
          <cell r="AF16">
            <v>396.52358179154248</v>
          </cell>
          <cell r="AG16">
            <v>1.9806958848825062E-2</v>
          </cell>
          <cell r="AH16">
            <v>2.009449846405277</v>
          </cell>
          <cell r="AI16">
            <v>1591.5</v>
          </cell>
        </row>
        <row r="17">
          <cell r="A17" t="str">
            <v>B5</v>
          </cell>
          <cell r="B17">
            <v>1591.5</v>
          </cell>
          <cell r="C17" t="str">
            <v>2Z</v>
          </cell>
          <cell r="D17">
            <v>494367</v>
          </cell>
          <cell r="E17">
            <v>3176412</v>
          </cell>
          <cell r="F17">
            <v>1.5953200000000001</v>
          </cell>
          <cell r="G17">
            <v>19.71</v>
          </cell>
          <cell r="H17">
            <v>0.5</v>
          </cell>
          <cell r="I17">
            <v>10</v>
          </cell>
          <cell r="J17">
            <v>2.0000000000000002E-5</v>
          </cell>
          <cell r="K17">
            <v>9.9999999999999995E-7</v>
          </cell>
          <cell r="L17">
            <v>10</v>
          </cell>
          <cell r="M17">
            <v>4.0000000000000001E-3</v>
          </cell>
          <cell r="N17">
            <v>2.0000000000000001E-4</v>
          </cell>
          <cell r="O17">
            <v>10</v>
          </cell>
          <cell r="P17">
            <v>4.944726844883379E-4</v>
          </cell>
          <cell r="Q17">
            <v>3.6437502005131619E-7</v>
          </cell>
          <cell r="R17">
            <v>2.224972110923106</v>
          </cell>
          <cell r="S17">
            <v>3.1729804859140089</v>
          </cell>
          <cell r="T17">
            <v>1.899651737571835E-2</v>
          </cell>
          <cell r="U17">
            <v>2.0774059265958238</v>
          </cell>
          <cell r="V17">
            <v>1.253690113276088E-6</v>
          </cell>
          <cell r="W17">
            <v>1.253684615535567E-2</v>
          </cell>
          <cell r="X17">
            <v>0.29064201447608723</v>
          </cell>
          <cell r="Y17">
            <v>1.5152548847066409</v>
          </cell>
          <cell r="Z17" t="str">
            <v>B51591.5</v>
          </cell>
          <cell r="AA17">
            <v>1</v>
          </cell>
          <cell r="AB17">
            <v>3.1729804859140089</v>
          </cell>
          <cell r="AC17">
            <v>1.899651737571835E-2</v>
          </cell>
          <cell r="AD17">
            <v>2.0774059265958238</v>
          </cell>
          <cell r="AE17">
            <v>1000000</v>
          </cell>
          <cell r="AF17">
            <v>494.4726844883379</v>
          </cell>
          <cell r="AG17">
            <v>0.36437502005131617</v>
          </cell>
          <cell r="AH17">
            <v>2.224972110923106</v>
          </cell>
          <cell r="AI17">
            <v>1591.5</v>
          </cell>
        </row>
        <row r="18">
          <cell r="A18" t="str">
            <v>B6</v>
          </cell>
          <cell r="B18">
            <v>1591.5</v>
          </cell>
          <cell r="C18" t="str">
            <v>2Z</v>
          </cell>
          <cell r="D18">
            <v>593385</v>
          </cell>
          <cell r="E18">
            <v>3538125</v>
          </cell>
          <cell r="F18">
            <v>1594.66</v>
          </cell>
          <cell r="G18">
            <v>19.77</v>
          </cell>
          <cell r="H18">
            <v>0.5</v>
          </cell>
          <cell r="I18">
            <v>10</v>
          </cell>
          <cell r="J18">
            <v>2.0000000000000002E-5</v>
          </cell>
          <cell r="K18">
            <v>9.9999999999999995E-7</v>
          </cell>
          <cell r="L18">
            <v>10</v>
          </cell>
          <cell r="M18">
            <v>4.0000000000000001E-3</v>
          </cell>
          <cell r="N18">
            <v>2.0000000000000001E-4</v>
          </cell>
          <cell r="O18">
            <v>10</v>
          </cell>
          <cell r="P18">
            <v>5.9351196350646929E-4</v>
          </cell>
          <cell r="Q18">
            <v>2.8287184129686931E-8</v>
          </cell>
          <cell r="R18">
            <v>2.0123828103306369</v>
          </cell>
          <cell r="S18">
            <v>3.5351490872197648</v>
          </cell>
          <cell r="T18">
            <v>2.0900121606257871E-2</v>
          </cell>
          <cell r="U18">
            <v>2.0854718432650761</v>
          </cell>
          <cell r="V18">
            <v>9.1178567824268424E-9</v>
          </cell>
          <cell r="W18">
            <v>7.8318610456484507E-5</v>
          </cell>
          <cell r="X18">
            <v>3.1023939950675459</v>
          </cell>
          <cell r="Y18">
            <v>266.86021986907474</v>
          </cell>
          <cell r="Z18" t="str">
            <v>B61591.5</v>
          </cell>
          <cell r="AA18">
            <v>1</v>
          </cell>
          <cell r="AB18">
            <v>3.5351490872197648</v>
          </cell>
          <cell r="AC18">
            <v>2.0900121606257871E-2</v>
          </cell>
          <cell r="AD18">
            <v>2.0854718432650761</v>
          </cell>
          <cell r="AE18">
            <v>1000000</v>
          </cell>
          <cell r="AF18">
            <v>593.51196350646933</v>
          </cell>
          <cell r="AG18">
            <v>2.8287184129686931E-2</v>
          </cell>
          <cell r="AH18">
            <v>2.0123828103306369</v>
          </cell>
          <cell r="AI18">
            <v>1591.5</v>
          </cell>
        </row>
        <row r="19">
          <cell r="A19" t="str">
            <v>B7</v>
          </cell>
          <cell r="B19">
            <v>1591.5</v>
          </cell>
          <cell r="C19" t="str">
            <v>2Z</v>
          </cell>
          <cell r="D19">
            <v>691195</v>
          </cell>
          <cell r="E19">
            <v>3896072</v>
          </cell>
          <cell r="F19">
            <v>1594.9</v>
          </cell>
          <cell r="G19">
            <v>19.78</v>
          </cell>
          <cell r="H19">
            <v>0.5</v>
          </cell>
          <cell r="I19">
            <v>10</v>
          </cell>
          <cell r="J19">
            <v>2.0000000000000002E-5</v>
          </cell>
          <cell r="K19">
            <v>9.9999999999999995E-7</v>
          </cell>
          <cell r="L19">
            <v>10</v>
          </cell>
          <cell r="M19">
            <v>4.0000000000000001E-3</v>
          </cell>
          <cell r="N19">
            <v>2.0000000000000001E-4</v>
          </cell>
          <cell r="O19">
            <v>10</v>
          </cell>
          <cell r="P19">
            <v>6.9134253506520586E-4</v>
          </cell>
          <cell r="Q19">
            <v>3.2542981818679869E-8</v>
          </cell>
          <cell r="R19">
            <v>2.0134916700482628</v>
          </cell>
          <cell r="S19">
            <v>3.8929483431081251</v>
          </cell>
          <cell r="T19">
            <v>2.3014161720599721E-2</v>
          </cell>
          <cell r="U19">
            <v>2.0854840937733918</v>
          </cell>
          <cell r="V19">
            <v>1.05087183821401E-8</v>
          </cell>
          <cell r="W19">
            <v>8.8951572225890569E-5</v>
          </cell>
          <cell r="X19">
            <v>3.0967602932425802</v>
          </cell>
          <cell r="Y19">
            <v>258.72686839256488</v>
          </cell>
          <cell r="Z19" t="str">
            <v>B71591.5</v>
          </cell>
          <cell r="AA19">
            <v>1</v>
          </cell>
          <cell r="AB19">
            <v>3.8929483431081251</v>
          </cell>
          <cell r="AC19">
            <v>2.3014161720599721E-2</v>
          </cell>
          <cell r="AD19">
            <v>2.0854840937733918</v>
          </cell>
          <cell r="AE19">
            <v>1000000</v>
          </cell>
          <cell r="AF19">
            <v>691.34253506520588</v>
          </cell>
          <cell r="AG19">
            <v>3.2542981818679866E-2</v>
          </cell>
          <cell r="AH19">
            <v>2.0134916700482628</v>
          </cell>
          <cell r="AI19">
            <v>1591.5</v>
          </cell>
        </row>
        <row r="20">
          <cell r="A20" t="str">
            <v>B8</v>
          </cell>
          <cell r="B20">
            <v>1591.5</v>
          </cell>
          <cell r="C20" t="str">
            <v>2Z</v>
          </cell>
          <cell r="D20">
            <v>788963</v>
          </cell>
          <cell r="E20">
            <v>4199748</v>
          </cell>
          <cell r="F20">
            <v>1595.1</v>
          </cell>
          <cell r="G20">
            <v>19.79</v>
          </cell>
          <cell r="H20">
            <v>0.5</v>
          </cell>
          <cell r="I20">
            <v>10</v>
          </cell>
          <cell r="J20">
            <v>2.0000000000000002E-5</v>
          </cell>
          <cell r="K20">
            <v>9.9999999999999995E-7</v>
          </cell>
          <cell r="L20">
            <v>10</v>
          </cell>
          <cell r="M20">
            <v>4.0000000000000001E-3</v>
          </cell>
          <cell r="N20">
            <v>2.0000000000000001E-4</v>
          </cell>
          <cell r="O20">
            <v>10</v>
          </cell>
          <cell r="P20">
            <v>7.8913113696535636E-4</v>
          </cell>
          <cell r="Q20">
            <v>3.6749930180303707E-8</v>
          </cell>
          <cell r="R20">
            <v>2.0145314839794111</v>
          </cell>
          <cell r="S20">
            <v>4.1965469255980388</v>
          </cell>
          <cell r="T20">
            <v>2.4807693496296929E-2</v>
          </cell>
          <cell r="U20">
            <v>2.085492355303519</v>
          </cell>
          <cell r="V20">
            <v>1.1885592525196761E-8</v>
          </cell>
          <cell r="W20">
            <v>9.9206946199566546E-5</v>
          </cell>
          <cell r="X20">
            <v>3.0919729161500369</v>
          </cell>
          <cell r="Y20">
            <v>250.06004565842909</v>
          </cell>
          <cell r="Z20" t="str">
            <v>B81591.5</v>
          </cell>
          <cell r="AA20">
            <v>1</v>
          </cell>
          <cell r="AB20">
            <v>4.1965469255980388</v>
          </cell>
          <cell r="AC20">
            <v>2.4807693496296929E-2</v>
          </cell>
          <cell r="AD20">
            <v>2.085492355303519</v>
          </cell>
          <cell r="AE20">
            <v>1000000</v>
          </cell>
          <cell r="AF20">
            <v>789.1311369653564</v>
          </cell>
          <cell r="AG20">
            <v>3.674993018030371E-2</v>
          </cell>
          <cell r="AH20">
            <v>2.0145314839794111</v>
          </cell>
          <cell r="AI20">
            <v>1591.5</v>
          </cell>
        </row>
        <row r="21">
          <cell r="A21" t="str">
            <v>B9</v>
          </cell>
          <cell r="B21">
            <v>1591.5</v>
          </cell>
          <cell r="C21" t="str">
            <v>2Z</v>
          </cell>
          <cell r="D21">
            <v>887174</v>
          </cell>
          <cell r="E21">
            <v>4517998</v>
          </cell>
          <cell r="F21">
            <v>1595.29</v>
          </cell>
          <cell r="G21">
            <v>19.79</v>
          </cell>
          <cell r="H21">
            <v>0.5</v>
          </cell>
          <cell r="I21">
            <v>10</v>
          </cell>
          <cell r="J21">
            <v>2.0000000000000002E-5</v>
          </cell>
          <cell r="K21">
            <v>9.9999999999999995E-7</v>
          </cell>
          <cell r="L21">
            <v>10</v>
          </cell>
          <cell r="M21">
            <v>4.0000000000000001E-3</v>
          </cell>
          <cell r="N21">
            <v>2.0000000000000001E-4</v>
          </cell>
          <cell r="O21">
            <v>10</v>
          </cell>
          <cell r="P21">
            <v>8.8736269332046771E-4</v>
          </cell>
          <cell r="Q21">
            <v>4.1013267447577318E-8</v>
          </cell>
          <cell r="R21">
            <v>2.015381791628192</v>
          </cell>
          <cell r="S21">
            <v>4.514552458846584</v>
          </cell>
          <cell r="T21">
            <v>2.6687501726403232E-2</v>
          </cell>
          <cell r="U21">
            <v>2.0854944472490771</v>
          </cell>
          <cell r="V21">
            <v>1.3278557666300681E-8</v>
          </cell>
          <cell r="W21">
            <v>1.0969366294916909E-4</v>
          </cell>
          <cell r="X21">
            <v>3.0886839126860792</v>
          </cell>
          <cell r="Y21">
            <v>243.29118938046534</v>
          </cell>
          <cell r="Z21" t="str">
            <v>B91591.5</v>
          </cell>
          <cell r="AA21">
            <v>1</v>
          </cell>
          <cell r="AB21">
            <v>4.514552458846584</v>
          </cell>
          <cell r="AC21">
            <v>2.6687501726403232E-2</v>
          </cell>
          <cell r="AD21">
            <v>2.0854944472490771</v>
          </cell>
          <cell r="AE21">
            <v>1000000</v>
          </cell>
          <cell r="AF21">
            <v>887.36269332046766</v>
          </cell>
          <cell r="AG21">
            <v>4.1013267447577322E-2</v>
          </cell>
          <cell r="AH21">
            <v>2.015381791628192</v>
          </cell>
          <cell r="AI21">
            <v>1591.5</v>
          </cell>
        </row>
        <row r="22">
          <cell r="A22" t="str">
            <v>B10</v>
          </cell>
          <cell r="B22">
            <v>1591.5</v>
          </cell>
          <cell r="C22" t="str">
            <v>2Z</v>
          </cell>
          <cell r="D22">
            <v>984585</v>
          </cell>
          <cell r="E22">
            <v>4826330</v>
          </cell>
          <cell r="F22">
            <v>1595.54</v>
          </cell>
          <cell r="G22">
            <v>19.79</v>
          </cell>
          <cell r="H22">
            <v>0.5</v>
          </cell>
          <cell r="I22">
            <v>10</v>
          </cell>
          <cell r="J22">
            <v>2.0000000000000002E-5</v>
          </cell>
          <cell r="K22">
            <v>9.9999999999999995E-7</v>
          </cell>
          <cell r="L22">
            <v>10</v>
          </cell>
          <cell r="M22">
            <v>4.0000000000000001E-3</v>
          </cell>
          <cell r="N22">
            <v>2.0000000000000001E-4</v>
          </cell>
          <cell r="O22">
            <v>10</v>
          </cell>
          <cell r="P22">
            <v>9.8479408222912129E-4</v>
          </cell>
          <cell r="Q22">
            <v>4.5246907875903372E-8</v>
          </cell>
          <cell r="R22">
            <v>2.016109853709128</v>
          </cell>
          <cell r="S22">
            <v>4.8226476107007592</v>
          </cell>
          <cell r="T22">
            <v>2.8508751132540242E-2</v>
          </cell>
          <cell r="U22">
            <v>2.0854956124087289</v>
          </cell>
          <cell r="V22">
            <v>1.466127880564669E-8</v>
          </cell>
          <cell r="W22">
            <v>1.200896162060546E-4</v>
          </cell>
          <cell r="X22">
            <v>3.0861501561839777</v>
          </cell>
          <cell r="Y22">
            <v>237.395638633933</v>
          </cell>
          <cell r="Z22" t="str">
            <v>B101591.5</v>
          </cell>
          <cell r="AA22">
            <v>1</v>
          </cell>
          <cell r="AB22">
            <v>4.8226476107007592</v>
          </cell>
          <cell r="AC22">
            <v>2.8508751132540242E-2</v>
          </cell>
          <cell r="AD22">
            <v>2.0854956124087289</v>
          </cell>
          <cell r="AE22">
            <v>1000000</v>
          </cell>
          <cell r="AF22">
            <v>984.79408222912127</v>
          </cell>
          <cell r="AG22">
            <v>4.5246907875903374E-2</v>
          </cell>
          <cell r="AH22">
            <v>2.016109853709128</v>
          </cell>
          <cell r="AI22">
            <v>1591.5</v>
          </cell>
        </row>
        <row r="23">
          <cell r="A23" t="str">
            <v>coax zero</v>
          </cell>
          <cell r="B23">
            <v>1591.5</v>
          </cell>
          <cell r="C23" t="str">
            <v>2Z</v>
          </cell>
          <cell r="D23">
            <v>-3</v>
          </cell>
          <cell r="E23">
            <v>-25</v>
          </cell>
          <cell r="F23">
            <v>1594.71</v>
          </cell>
          <cell r="G23">
            <v>19.77</v>
          </cell>
          <cell r="H23">
            <v>0.5</v>
          </cell>
          <cell r="I23">
            <v>10</v>
          </cell>
          <cell r="J23">
            <v>2.0000000000000002E-5</v>
          </cell>
          <cell r="K23">
            <v>9.9999999999999995E-7</v>
          </cell>
          <cell r="L23">
            <v>10</v>
          </cell>
          <cell r="M23">
            <v>4.0000000000000001E-3</v>
          </cell>
          <cell r="N23">
            <v>2.0000000000000001E-4</v>
          </cell>
          <cell r="O23">
            <v>10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1.2541465228909351E-9</v>
          </cell>
          <cell r="W23">
            <v>1.2541465227855709E-5</v>
          </cell>
          <cell r="X23">
            <v>0</v>
          </cell>
          <cell r="Y23">
            <v>0</v>
          </cell>
          <cell r="Z23" t="str">
            <v>coax zero1591.5</v>
          </cell>
          <cell r="AA23">
            <v>1</v>
          </cell>
          <cell r="AB23">
            <v>0</v>
          </cell>
          <cell r="AC23">
            <v>0</v>
          </cell>
          <cell r="AD23">
            <v>0</v>
          </cell>
          <cell r="AE23">
            <v>1000000</v>
          </cell>
          <cell r="AF23">
            <v>0</v>
          </cell>
          <cell r="AG23">
            <v>0</v>
          </cell>
          <cell r="AH23">
            <v>0</v>
          </cell>
          <cell r="AI23">
            <v>1591.5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7" workbookViewId="0">
      <selection activeCell="A13" sqref="A13"/>
    </sheetView>
  </sheetViews>
  <sheetFormatPr defaultRowHeight="12.75"/>
  <sheetData>
    <row r="1" spans="1:1">
      <c r="A1" s="276" t="s">
        <v>437</v>
      </c>
    </row>
    <row r="2" spans="1:1">
      <c r="A2" s="276" t="s">
        <v>440</v>
      </c>
    </row>
    <row r="3" spans="1:1">
      <c r="A3" s="276" t="s">
        <v>460</v>
      </c>
    </row>
    <row r="4" spans="1:1">
      <c r="A4" s="276" t="s">
        <v>446</v>
      </c>
    </row>
    <row r="5" spans="1:1">
      <c r="A5" s="276" t="s">
        <v>448</v>
      </c>
    </row>
    <row r="6" spans="1:1">
      <c r="A6" s="276" t="s">
        <v>449</v>
      </c>
    </row>
    <row r="7" spans="1:1">
      <c r="A7" s="276" t="s">
        <v>451</v>
      </c>
    </row>
    <row r="8" spans="1:1">
      <c r="A8" s="276" t="s">
        <v>454</v>
      </c>
    </row>
    <row r="9" spans="1:1">
      <c r="A9" s="276" t="s">
        <v>455</v>
      </c>
    </row>
    <row r="10" spans="1:1">
      <c r="A10" s="276" t="s">
        <v>459</v>
      </c>
    </row>
    <row r="11" spans="1:1">
      <c r="A11" s="276" t="s">
        <v>468</v>
      </c>
    </row>
    <row r="12" spans="1:1">
      <c r="A12" s="276" t="s">
        <v>469</v>
      </c>
    </row>
    <row r="13" spans="1:1">
      <c r="A13" s="276" t="s">
        <v>462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9"/>
  <sheetViews>
    <sheetView topLeftCell="A52" workbookViewId="0">
      <selection activeCell="A4" sqref="A4"/>
    </sheetView>
  </sheetViews>
  <sheetFormatPr defaultRowHeight="12.75"/>
  <cols>
    <col min="9" max="9" width="11" customWidth="1"/>
    <col min="12" max="12" width="7.42578125" customWidth="1"/>
    <col min="13" max="13" width="12" customWidth="1"/>
    <col min="14" max="14" width="13.7109375" customWidth="1"/>
    <col min="15" max="15" width="10.7109375" customWidth="1"/>
    <col min="16" max="16" width="12.28515625" customWidth="1"/>
    <col min="17" max="17" width="14.28515625" customWidth="1"/>
    <col min="18" max="18" width="10.28515625" customWidth="1"/>
  </cols>
  <sheetData>
    <row r="1" spans="1:10">
      <c r="A1" t="s">
        <v>311</v>
      </c>
    </row>
    <row r="2" spans="1:10">
      <c r="A2" t="s">
        <v>357</v>
      </c>
    </row>
    <row r="3" spans="1:10">
      <c r="A3" t="s">
        <v>422</v>
      </c>
    </row>
    <row r="4" spans="1:10" ht="13.5" thickBot="1">
      <c r="A4" s="10" t="s">
        <v>178</v>
      </c>
      <c r="I4" t="s">
        <v>171</v>
      </c>
    </row>
    <row r="5" spans="1:10" ht="13.5" thickTop="1">
      <c r="A5">
        <v>1</v>
      </c>
      <c r="B5" t="s">
        <v>170</v>
      </c>
      <c r="I5" s="84" t="s">
        <v>4</v>
      </c>
      <c r="J5" s="5" t="s">
        <v>5</v>
      </c>
    </row>
    <row r="6" spans="1:10">
      <c r="I6" s="75"/>
      <c r="J6" s="76"/>
    </row>
    <row r="7" spans="1:10">
      <c r="I7" s="126">
        <v>1</v>
      </c>
      <c r="J7" s="127">
        <v>70</v>
      </c>
    </row>
    <row r="8" spans="1:10">
      <c r="I8" s="128">
        <v>101503</v>
      </c>
      <c r="J8" s="129">
        <v>193646</v>
      </c>
    </row>
    <row r="9" spans="1:10">
      <c r="I9" s="128">
        <v>199897</v>
      </c>
      <c r="J9" s="129">
        <v>278425</v>
      </c>
    </row>
    <row r="10" spans="1:10">
      <c r="I10" s="128">
        <v>292665</v>
      </c>
      <c r="J10" s="129">
        <v>342702</v>
      </c>
    </row>
    <row r="11" spans="1:10">
      <c r="I11" s="128">
        <v>393478</v>
      </c>
      <c r="J11" s="129">
        <v>403100</v>
      </c>
    </row>
    <row r="12" spans="1:10">
      <c r="I12" s="128">
        <v>490494</v>
      </c>
      <c r="J12" s="129">
        <v>456415</v>
      </c>
    </row>
    <row r="13" spans="1:10">
      <c r="I13" s="128">
        <v>590914</v>
      </c>
      <c r="J13" s="129">
        <v>507265</v>
      </c>
    </row>
    <row r="14" spans="1:10">
      <c r="I14" s="128">
        <v>689345</v>
      </c>
      <c r="J14" s="129">
        <v>554089</v>
      </c>
    </row>
    <row r="15" spans="1:10">
      <c r="I15" s="128">
        <v>788688</v>
      </c>
      <c r="J15" s="129">
        <v>599514</v>
      </c>
    </row>
    <row r="16" spans="1:10">
      <c r="I16" s="128">
        <v>889705</v>
      </c>
      <c r="J16" s="129">
        <v>644643</v>
      </c>
    </row>
    <row r="17" spans="1:10" ht="13.5" thickBot="1">
      <c r="I17" s="130">
        <v>1010757</v>
      </c>
      <c r="J17" s="131">
        <v>694910</v>
      </c>
    </row>
    <row r="18" spans="1:10" ht="13.5" thickTop="1">
      <c r="I18" s="126">
        <v>0</v>
      </c>
      <c r="J18" s="127">
        <v>-11</v>
      </c>
    </row>
    <row r="19" spans="1:10">
      <c r="I19" s="128">
        <v>103882</v>
      </c>
      <c r="J19" s="129">
        <v>167100</v>
      </c>
    </row>
    <row r="20" spans="1:10">
      <c r="I20" s="128">
        <v>207655</v>
      </c>
      <c r="J20" s="129">
        <v>242290</v>
      </c>
    </row>
    <row r="21" spans="1:10">
      <c r="I21" s="128">
        <v>304252</v>
      </c>
      <c r="J21" s="129">
        <v>299420</v>
      </c>
    </row>
    <row r="22" spans="1:10">
      <c r="I22" s="128">
        <v>398861</v>
      </c>
      <c r="J22" s="129">
        <v>347800</v>
      </c>
    </row>
    <row r="23" spans="1:10">
      <c r="I23" s="128">
        <v>494623</v>
      </c>
      <c r="J23" s="129">
        <v>393060</v>
      </c>
    </row>
    <row r="24" spans="1:10">
      <c r="I24" s="128">
        <v>592256</v>
      </c>
      <c r="J24" s="129">
        <v>436120</v>
      </c>
    </row>
    <row r="25" spans="1:10">
      <c r="I25" s="128">
        <v>689692</v>
      </c>
      <c r="J25" s="129">
        <v>476900</v>
      </c>
    </row>
    <row r="26" spans="1:10">
      <c r="I26" s="128">
        <v>782948</v>
      </c>
      <c r="J26" s="129">
        <v>514970</v>
      </c>
    </row>
    <row r="27" spans="1:10">
      <c r="I27" s="128">
        <v>878078</v>
      </c>
      <c r="J27" s="129">
        <v>552860</v>
      </c>
    </row>
    <row r="28" spans="1:10" ht="13.5" thickBot="1">
      <c r="I28" s="130">
        <v>984766</v>
      </c>
      <c r="J28" s="131">
        <v>593284</v>
      </c>
    </row>
    <row r="29" spans="1:10" ht="13.5" thickTop="1"/>
    <row r="31" spans="1:10" ht="13.5" thickBot="1">
      <c r="A31">
        <v>2</v>
      </c>
      <c r="B31" t="s">
        <v>172</v>
      </c>
      <c r="I31" s="132">
        <v>38883</v>
      </c>
      <c r="J31" s="125" t="s">
        <v>252</v>
      </c>
    </row>
    <row r="32" spans="1:10" ht="13.5" thickTop="1">
      <c r="B32" t="s">
        <v>173</v>
      </c>
      <c r="I32" s="80" t="s">
        <v>6</v>
      </c>
      <c r="J32" s="71" t="s">
        <v>7</v>
      </c>
    </row>
    <row r="33" spans="2:10">
      <c r="B33" t="s">
        <v>204</v>
      </c>
      <c r="I33" s="72" t="s">
        <v>8</v>
      </c>
      <c r="J33" s="73" t="s">
        <v>9</v>
      </c>
    </row>
    <row r="34" spans="2:10" ht="13.5" thickBot="1"/>
    <row r="35" spans="2:10" ht="13.5" thickTop="1">
      <c r="I35" s="136">
        <v>10.147652088873398</v>
      </c>
      <c r="J35" s="139">
        <v>19.326103071000013</v>
      </c>
    </row>
    <row r="36" spans="2:10">
      <c r="I36" s="137">
        <v>19.984950592241578</v>
      </c>
      <c r="J36" s="140">
        <v>27.796586538600021</v>
      </c>
    </row>
    <row r="37" spans="2:10">
      <c r="I37" s="137">
        <v>29.260152044195213</v>
      </c>
      <c r="J37" s="140">
        <v>34.217953049280027</v>
      </c>
    </row>
    <row r="38" spans="2:10">
      <c r="I38" s="137">
        <v>39.340192459268565</v>
      </c>
      <c r="J38" s="140">
        <v>40.254297584160021</v>
      </c>
    </row>
    <row r="39" spans="2:10">
      <c r="I39" s="137">
        <v>49.040467304195836</v>
      </c>
      <c r="J39" s="140">
        <v>45.580601592240029</v>
      </c>
    </row>
    <row r="40" spans="2:10">
      <c r="I40" s="137">
        <v>59.082001070729227</v>
      </c>
      <c r="J40" s="140">
        <v>50.665891844040033</v>
      </c>
    </row>
    <row r="41" spans="2:10">
      <c r="I41" s="137">
        <v>68.924600489350965</v>
      </c>
      <c r="J41" s="140">
        <v>55.34415886428004</v>
      </c>
    </row>
    <row r="42" spans="2:10">
      <c r="I42" s="137">
        <v>78.85831563997246</v>
      </c>
      <c r="J42" s="140">
        <v>59.882417893320032</v>
      </c>
    </row>
    <row r="43" spans="2:10">
      <c r="I43" s="137">
        <v>88.961560061438718</v>
      </c>
      <c r="J43" s="140">
        <v>64.387675038720047</v>
      </c>
    </row>
    <row r="44" spans="2:10" ht="13.5" thickBot="1">
      <c r="I44" s="138">
        <v>101.07675186480091</v>
      </c>
      <c r="J44" s="141">
        <v>69.481965804240048</v>
      </c>
    </row>
    <row r="45" spans="2:10" ht="14.25" thickTop="1" thickBot="1">
      <c r="I45" s="133"/>
      <c r="J45" s="125"/>
    </row>
    <row r="46" spans="2:10" ht="13.5" thickTop="1">
      <c r="I46" s="136">
        <v>103.90394000578577</v>
      </c>
      <c r="J46" s="139">
        <v>167.10753795384011</v>
      </c>
    </row>
    <row r="47" spans="2:10">
      <c r="I47" s="137">
        <v>207.69286015229636</v>
      </c>
      <c r="J47" s="140">
        <v>242.34583231056016</v>
      </c>
    </row>
    <row r="48" spans="2:10">
      <c r="I48" s="137">
        <v>304.30754159810135</v>
      </c>
      <c r="J48" s="140">
        <v>299.53909671576019</v>
      </c>
    </row>
    <row r="49" spans="1:18">
      <c r="I49" s="137">
        <v>398.92987904672162</v>
      </c>
      <c r="J49" s="140">
        <v>347.97986155680019</v>
      </c>
    </row>
    <row r="50" spans="1:18">
      <c r="I50" s="137">
        <v>494.70641577885152</v>
      </c>
      <c r="J50" s="140">
        <v>393.31244899320029</v>
      </c>
    </row>
    <row r="51" spans="1:18">
      <c r="I51" s="137">
        <v>592.35827630351218</v>
      </c>
      <c r="J51" s="140">
        <v>436.38490742880026</v>
      </c>
    </row>
    <row r="52" spans="1:18">
      <c r="I52" s="137">
        <v>689.80510142685603</v>
      </c>
      <c r="J52" s="140">
        <v>477.37724713800026</v>
      </c>
    </row>
    <row r="53" spans="1:18">
      <c r="I53" s="137">
        <v>783.09620902595191</v>
      </c>
      <c r="J53" s="140">
        <v>515.71943558520036</v>
      </c>
    </row>
    <row r="54" spans="1:18">
      <c r="I54" s="137">
        <v>878.28764473481226</v>
      </c>
      <c r="J54" s="140">
        <v>553.71160405440037</v>
      </c>
    </row>
    <row r="55" spans="1:18" ht="13.5" thickBot="1">
      <c r="I55" s="138">
        <v>985.10008692122699</v>
      </c>
      <c r="J55" s="141">
        <v>594.31892178780038</v>
      </c>
    </row>
    <row r="56" spans="1:18" ht="13.5" thickTop="1"/>
    <row r="57" spans="1:18">
      <c r="A57">
        <v>3</v>
      </c>
      <c r="B57" t="s">
        <v>174</v>
      </c>
    </row>
    <row r="58" spans="1:18">
      <c r="B58" t="s">
        <v>175</v>
      </c>
    </row>
    <row r="60" spans="1:18">
      <c r="A60">
        <v>4</v>
      </c>
      <c r="B60" t="s">
        <v>176</v>
      </c>
    </row>
    <row r="61" spans="1:18" ht="13.5" thickBot="1">
      <c r="B61" t="s">
        <v>177</v>
      </c>
    </row>
    <row r="62" spans="1:18" ht="16.5" thickTop="1">
      <c r="L62" s="92" t="s">
        <v>2</v>
      </c>
      <c r="M62" s="108" t="s">
        <v>6</v>
      </c>
      <c r="N62" s="86" t="s">
        <v>147</v>
      </c>
      <c r="O62" s="93" t="s">
        <v>148</v>
      </c>
      <c r="P62" s="86" t="s">
        <v>7</v>
      </c>
      <c r="Q62" s="93" t="s">
        <v>147</v>
      </c>
      <c r="R62" s="100" t="s">
        <v>148</v>
      </c>
    </row>
    <row r="63" spans="1:18" ht="15.75">
      <c r="L63" s="91"/>
      <c r="M63" s="109" t="s">
        <v>154</v>
      </c>
      <c r="N63" s="87" t="s">
        <v>149</v>
      </c>
      <c r="O63" s="88" t="s">
        <v>150</v>
      </c>
      <c r="P63" s="87" t="s">
        <v>154</v>
      </c>
      <c r="Q63" s="88" t="s">
        <v>149</v>
      </c>
      <c r="R63" s="101" t="s">
        <v>150</v>
      </c>
    </row>
    <row r="64" spans="1:18" ht="15.75">
      <c r="B64" t="s">
        <v>179</v>
      </c>
      <c r="L64" s="91"/>
      <c r="M64" s="110" t="s">
        <v>8</v>
      </c>
      <c r="N64" s="104" t="s">
        <v>8</v>
      </c>
      <c r="O64" s="105"/>
      <c r="P64" s="104" t="s">
        <v>273</v>
      </c>
      <c r="Q64" s="105" t="s">
        <v>273</v>
      </c>
      <c r="R64" s="106"/>
    </row>
    <row r="65" spans="12:18" ht="15.75">
      <c r="L65" s="113">
        <v>10</v>
      </c>
      <c r="M65" s="114" t="s">
        <v>222</v>
      </c>
      <c r="N65" s="97" t="s">
        <v>236</v>
      </c>
      <c r="O65" s="94">
        <v>2.165998685992284</v>
      </c>
      <c r="P65" s="89" t="s">
        <v>253</v>
      </c>
      <c r="Q65" s="95" t="s">
        <v>180</v>
      </c>
      <c r="R65" s="102">
        <v>2.1576959573635639</v>
      </c>
    </row>
    <row r="66" spans="12:18" ht="15.75">
      <c r="L66" s="91">
        <v>9</v>
      </c>
      <c r="M66" s="111" t="s">
        <v>223</v>
      </c>
      <c r="N66" s="97" t="s">
        <v>237</v>
      </c>
      <c r="O66" s="94">
        <v>2.1310516062315781</v>
      </c>
      <c r="P66" s="89" t="s">
        <v>254</v>
      </c>
      <c r="Q66" s="95" t="s">
        <v>181</v>
      </c>
      <c r="R66" s="102">
        <v>2.1573520803794763</v>
      </c>
    </row>
    <row r="67" spans="12:18" ht="15.75">
      <c r="L67" s="91">
        <v>8</v>
      </c>
      <c r="M67" s="111" t="s">
        <v>224</v>
      </c>
      <c r="N67" s="97" t="s">
        <v>238</v>
      </c>
      <c r="O67" s="94">
        <v>2.123489660952361</v>
      </c>
      <c r="P67" s="89" t="s">
        <v>255</v>
      </c>
      <c r="Q67" s="95" t="s">
        <v>183</v>
      </c>
      <c r="R67" s="102">
        <v>2.1574169271393355</v>
      </c>
    </row>
    <row r="68" spans="12:18" ht="15.75">
      <c r="L68" s="91">
        <v>7</v>
      </c>
      <c r="M68" s="111" t="s">
        <v>225</v>
      </c>
      <c r="N68" s="97" t="s">
        <v>182</v>
      </c>
      <c r="O68" s="94">
        <v>2.1211171199706831</v>
      </c>
      <c r="P68" s="89" t="s">
        <v>256</v>
      </c>
      <c r="Q68" s="95" t="s">
        <v>185</v>
      </c>
      <c r="R68" s="102">
        <v>2.1574445046337707</v>
      </c>
    </row>
    <row r="69" spans="12:18" ht="15.75">
      <c r="L69" s="91">
        <v>6</v>
      </c>
      <c r="M69" s="111" t="s">
        <v>226</v>
      </c>
      <c r="N69" s="97" t="s">
        <v>184</v>
      </c>
      <c r="O69" s="94">
        <v>2.118043824270472</v>
      </c>
      <c r="P69" s="89" t="s">
        <v>257</v>
      </c>
      <c r="Q69" s="95" t="s">
        <v>186</v>
      </c>
      <c r="R69" s="102">
        <v>2.1574649219271036</v>
      </c>
    </row>
    <row r="70" spans="12:18" ht="15.75">
      <c r="L70" s="91">
        <v>5</v>
      </c>
      <c r="M70" s="111" t="s">
        <v>227</v>
      </c>
      <c r="N70" s="97" t="s">
        <v>239</v>
      </c>
      <c r="O70" s="94">
        <v>2.1142168373809231</v>
      </c>
      <c r="P70" s="89" t="s">
        <v>258</v>
      </c>
      <c r="Q70" s="95" t="s">
        <v>187</v>
      </c>
      <c r="R70" s="102">
        <v>2.157401132210099</v>
      </c>
    </row>
    <row r="71" spans="12:18" ht="15.75">
      <c r="L71" s="91">
        <v>4</v>
      </c>
      <c r="M71" s="111" t="s">
        <v>228</v>
      </c>
      <c r="N71" s="97" t="s">
        <v>240</v>
      </c>
      <c r="O71" s="94">
        <v>2.1115892568980348</v>
      </c>
      <c r="P71" s="89" t="s">
        <v>259</v>
      </c>
      <c r="Q71" s="95" t="s">
        <v>274</v>
      </c>
      <c r="R71" s="102">
        <v>2.157390913209507</v>
      </c>
    </row>
    <row r="72" spans="12:18" ht="15.75">
      <c r="L72" s="91">
        <v>3</v>
      </c>
      <c r="M72" s="111" t="s">
        <v>216</v>
      </c>
      <c r="N72" s="97" t="s">
        <v>241</v>
      </c>
      <c r="O72" s="94">
        <v>2.1068404085118169</v>
      </c>
      <c r="P72" s="89" t="s">
        <v>260</v>
      </c>
      <c r="Q72" s="95" t="s">
        <v>188</v>
      </c>
      <c r="R72" s="102">
        <v>2.1572860065273143</v>
      </c>
    </row>
    <row r="73" spans="12:18" ht="15.75">
      <c r="L73" s="91">
        <v>2</v>
      </c>
      <c r="M73" s="111" t="s">
        <v>217</v>
      </c>
      <c r="N73" s="97" t="s">
        <v>242</v>
      </c>
      <c r="O73" s="94">
        <v>2.0988732713240856</v>
      </c>
      <c r="P73" s="89" t="s">
        <v>261</v>
      </c>
      <c r="Q73" s="95" t="s">
        <v>189</v>
      </c>
      <c r="R73" s="102">
        <v>2.1571382825033889</v>
      </c>
    </row>
    <row r="74" spans="12:18" ht="16.5" thickBot="1">
      <c r="L74" s="107">
        <v>1</v>
      </c>
      <c r="M74" s="112" t="s">
        <v>218</v>
      </c>
      <c r="N74" s="98" t="s">
        <v>243</v>
      </c>
      <c r="O74" s="90">
        <v>2.0722221508839702</v>
      </c>
      <c r="P74" s="99" t="s">
        <v>262</v>
      </c>
      <c r="Q74" s="96" t="s">
        <v>190</v>
      </c>
      <c r="R74" s="103">
        <v>2.1565545079364052</v>
      </c>
    </row>
    <row r="75" spans="12:18" ht="14.25" thickTop="1" thickBot="1"/>
    <row r="76" spans="12:18" ht="16.5" thickTop="1">
      <c r="L76" s="92" t="s">
        <v>2</v>
      </c>
      <c r="M76" s="108" t="s">
        <v>6</v>
      </c>
      <c r="N76" s="86" t="s">
        <v>147</v>
      </c>
      <c r="O76" s="93" t="s">
        <v>148</v>
      </c>
      <c r="P76" s="86" t="s">
        <v>7</v>
      </c>
      <c r="Q76" s="93" t="s">
        <v>147</v>
      </c>
      <c r="R76" s="100" t="s">
        <v>148</v>
      </c>
    </row>
    <row r="77" spans="12:18" ht="15.75">
      <c r="L77" s="91"/>
      <c r="M77" s="109" t="s">
        <v>154</v>
      </c>
      <c r="N77" s="87" t="s">
        <v>149</v>
      </c>
      <c r="O77" s="88" t="s">
        <v>150</v>
      </c>
      <c r="P77" s="87" t="s">
        <v>154</v>
      </c>
      <c r="Q77" s="88" t="s">
        <v>149</v>
      </c>
      <c r="R77" s="101" t="s">
        <v>150</v>
      </c>
    </row>
    <row r="78" spans="12:18" ht="15.75">
      <c r="L78" s="91"/>
      <c r="M78" s="110" t="s">
        <v>8</v>
      </c>
      <c r="N78" s="104" t="s">
        <v>8</v>
      </c>
      <c r="O78" s="105"/>
      <c r="P78" s="104" t="s">
        <v>273</v>
      </c>
      <c r="Q78" s="105" t="s">
        <v>273</v>
      </c>
      <c r="R78" s="106"/>
    </row>
    <row r="79" spans="12:18" ht="15.75">
      <c r="L79" s="113">
        <v>10</v>
      </c>
      <c r="M79" s="111" t="s">
        <v>229</v>
      </c>
      <c r="N79" s="97" t="s">
        <v>275</v>
      </c>
      <c r="O79" s="94">
        <v>2.1661958008186022</v>
      </c>
      <c r="P79" s="89" t="s">
        <v>263</v>
      </c>
      <c r="Q79" s="95" t="s">
        <v>191</v>
      </c>
      <c r="R79" s="102">
        <v>2.1566702792676868</v>
      </c>
    </row>
    <row r="80" spans="12:18" ht="15.75">
      <c r="L80" s="91">
        <v>9</v>
      </c>
      <c r="M80" s="111" t="s">
        <v>230</v>
      </c>
      <c r="N80" s="97" t="s">
        <v>244</v>
      </c>
      <c r="O80" s="94">
        <v>2.1942558814269275</v>
      </c>
      <c r="P80" s="89" t="s">
        <v>264</v>
      </c>
      <c r="Q80" s="95" t="s">
        <v>192</v>
      </c>
      <c r="R80" s="102">
        <v>2.1569098223267469</v>
      </c>
    </row>
    <row r="81" spans="12:18" ht="15.75">
      <c r="L81" s="91">
        <v>8</v>
      </c>
      <c r="M81" s="111" t="s">
        <v>231</v>
      </c>
      <c r="N81" s="97" t="s">
        <v>245</v>
      </c>
      <c r="O81" s="94">
        <v>2.199519812864323</v>
      </c>
      <c r="P81" s="89" t="s">
        <v>265</v>
      </c>
      <c r="Q81" s="95" t="s">
        <v>193</v>
      </c>
      <c r="R81" s="102">
        <v>2.1570229174809095</v>
      </c>
    </row>
    <row r="82" spans="12:18" ht="15.75">
      <c r="L82" s="91">
        <v>7</v>
      </c>
      <c r="M82" s="111" t="s">
        <v>232</v>
      </c>
      <c r="N82" s="97" t="s">
        <v>246</v>
      </c>
      <c r="O82" s="94">
        <v>2.1988192502635444</v>
      </c>
      <c r="P82" s="89" t="s">
        <v>266</v>
      </c>
      <c r="Q82" s="95" t="s">
        <v>194</v>
      </c>
      <c r="R82" s="102">
        <v>2.1573758065013311</v>
      </c>
    </row>
    <row r="83" spans="12:18" ht="15.75">
      <c r="L83" s="91">
        <v>6</v>
      </c>
      <c r="M83" s="111" t="s">
        <v>233</v>
      </c>
      <c r="N83" s="97" t="s">
        <v>247</v>
      </c>
      <c r="O83" s="94">
        <v>2.1977971200999842</v>
      </c>
      <c r="P83" s="89" t="s">
        <v>267</v>
      </c>
      <c r="Q83" s="95" t="s">
        <v>195</v>
      </c>
      <c r="R83" s="102">
        <v>2.157585892732274</v>
      </c>
    </row>
    <row r="84" spans="12:18" ht="15.75">
      <c r="L84" s="91">
        <v>5</v>
      </c>
      <c r="M84" s="111" t="s">
        <v>234</v>
      </c>
      <c r="N84" s="97" t="s">
        <v>248</v>
      </c>
      <c r="O84" s="94">
        <v>2.1957439173233615</v>
      </c>
      <c r="P84" s="89" t="s">
        <v>268</v>
      </c>
      <c r="Q84" s="95" t="s">
        <v>196</v>
      </c>
      <c r="R84" s="102">
        <v>2.1576055616413754</v>
      </c>
    </row>
    <row r="85" spans="12:18" ht="15.75">
      <c r="L85" s="91">
        <v>4</v>
      </c>
      <c r="M85" s="111" t="s">
        <v>235</v>
      </c>
      <c r="N85" s="97" t="s">
        <v>249</v>
      </c>
      <c r="O85" s="94">
        <v>2.1923551670235377</v>
      </c>
      <c r="P85" s="89" t="s">
        <v>269</v>
      </c>
      <c r="Q85" s="95" t="s">
        <v>197</v>
      </c>
      <c r="R85" s="102">
        <v>2.157657785378051</v>
      </c>
    </row>
    <row r="86" spans="12:18" ht="15.75">
      <c r="L86" s="91">
        <v>3</v>
      </c>
      <c r="M86" s="111" t="s">
        <v>219</v>
      </c>
      <c r="N86" s="97" t="s">
        <v>250</v>
      </c>
      <c r="O86" s="94">
        <v>2.1855367422404033</v>
      </c>
      <c r="P86" s="89" t="s">
        <v>270</v>
      </c>
      <c r="Q86" s="95" t="s">
        <v>198</v>
      </c>
      <c r="R86" s="102">
        <v>2.1576685071984469</v>
      </c>
    </row>
    <row r="87" spans="12:18" ht="15.75">
      <c r="L87" s="91">
        <v>2</v>
      </c>
      <c r="M87" s="111" t="s">
        <v>220</v>
      </c>
      <c r="N87" s="97" t="s">
        <v>199</v>
      </c>
      <c r="O87" s="94">
        <v>2.1690117299389051</v>
      </c>
      <c r="P87" s="89" t="s">
        <v>200</v>
      </c>
      <c r="Q87" s="95" t="s">
        <v>201</v>
      </c>
      <c r="R87" s="102">
        <v>2.1575843239596972</v>
      </c>
    </row>
    <row r="88" spans="12:18" ht="16.5" thickBot="1">
      <c r="L88" s="107">
        <v>1</v>
      </c>
      <c r="M88" s="112" t="s">
        <v>221</v>
      </c>
      <c r="N88" s="98" t="s">
        <v>251</v>
      </c>
      <c r="O88" s="90">
        <v>2.1117223535898049</v>
      </c>
      <c r="P88" s="99" t="s">
        <v>202</v>
      </c>
      <c r="Q88" s="96" t="s">
        <v>203</v>
      </c>
      <c r="R88" s="103">
        <v>2.1570883833775061</v>
      </c>
    </row>
    <row r="89" spans="12:18" ht="13.5" thickTop="1"/>
  </sheetData>
  <phoneticPr fontId="17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CB3-1C5E-4660-8289-0E517D06346F}">
  <dimension ref="A1:R63"/>
  <sheetViews>
    <sheetView topLeftCell="A34" workbookViewId="0">
      <selection activeCell="F36" sqref="F36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386" t="s">
        <v>470</v>
      </c>
    </row>
    <row r="2" spans="1:18">
      <c r="A2" s="387">
        <v>1</v>
      </c>
      <c r="B2" s="388">
        <v>2</v>
      </c>
      <c r="C2" s="387"/>
      <c r="D2" s="387">
        <v>3</v>
      </c>
      <c r="E2" s="388">
        <v>4</v>
      </c>
      <c r="F2" s="387">
        <v>5</v>
      </c>
      <c r="G2" s="388">
        <v>6</v>
      </c>
      <c r="H2" s="387">
        <v>7</v>
      </c>
      <c r="I2" s="388">
        <v>8</v>
      </c>
      <c r="J2" s="387">
        <v>9</v>
      </c>
      <c r="K2" s="388">
        <v>10</v>
      </c>
      <c r="L2" s="387">
        <v>11</v>
      </c>
      <c r="M2" s="388">
        <v>12</v>
      </c>
      <c r="N2" s="387">
        <v>13</v>
      </c>
      <c r="O2" s="388">
        <v>14</v>
      </c>
      <c r="P2" s="387">
        <v>15</v>
      </c>
      <c r="Q2" s="388">
        <v>16</v>
      </c>
      <c r="R2" s="387">
        <v>17</v>
      </c>
    </row>
    <row r="3" spans="1:18">
      <c r="A3" s="389" t="s">
        <v>471</v>
      </c>
      <c r="B3" s="390" t="s">
        <v>493</v>
      </c>
      <c r="C3" s="390"/>
      <c r="D3" s="391"/>
      <c r="E3" s="30" t="s">
        <v>472</v>
      </c>
      <c r="F3" s="390"/>
      <c r="G3" s="391"/>
      <c r="K3" s="276" t="s">
        <v>473</v>
      </c>
    </row>
    <row r="4" spans="1:18">
      <c r="A4" s="389" t="s">
        <v>474</v>
      </c>
      <c r="B4" s="392"/>
      <c r="C4" s="390"/>
      <c r="D4" s="391"/>
      <c r="E4" s="30" t="s">
        <v>475</v>
      </c>
      <c r="F4" s="393"/>
      <c r="G4" s="391"/>
      <c r="K4" t="s">
        <v>476</v>
      </c>
    </row>
    <row r="5" spans="1:18">
      <c r="A5" s="389" t="s">
        <v>477</v>
      </c>
      <c r="B5" s="392"/>
      <c r="C5" s="390"/>
      <c r="D5" s="391"/>
      <c r="E5" s="30" t="s">
        <v>478</v>
      </c>
      <c r="F5" s="390"/>
      <c r="G5" s="391"/>
    </row>
    <row r="6" spans="1:18" ht="13.5" thickBot="1">
      <c r="A6" s="394"/>
      <c r="D6" s="276" t="s">
        <v>479</v>
      </c>
      <c r="F6" t="s">
        <v>480</v>
      </c>
      <c r="G6" t="s">
        <v>480</v>
      </c>
      <c r="H6" s="276" t="s">
        <v>481</v>
      </c>
      <c r="Q6" s="1"/>
    </row>
    <row r="7" spans="1:18" ht="13.5" thickTop="1">
      <c r="A7" s="395" t="s">
        <v>278</v>
      </c>
      <c r="B7" s="396" t="s">
        <v>482</v>
      </c>
      <c r="C7" s="397" t="s">
        <v>0</v>
      </c>
      <c r="D7" s="398" t="s">
        <v>483</v>
      </c>
      <c r="E7" s="398" t="s">
        <v>484</v>
      </c>
      <c r="F7" s="399" t="s">
        <v>312</v>
      </c>
      <c r="G7" s="400" t="s">
        <v>464</v>
      </c>
      <c r="H7" s="401" t="s">
        <v>485</v>
      </c>
      <c r="I7" s="401" t="s">
        <v>486</v>
      </c>
      <c r="J7" s="402" t="s">
        <v>487</v>
      </c>
      <c r="K7" s="402" t="s">
        <v>485</v>
      </c>
      <c r="L7" s="402" t="s">
        <v>486</v>
      </c>
      <c r="M7" s="403" t="s">
        <v>488</v>
      </c>
      <c r="N7" s="403" t="s">
        <v>485</v>
      </c>
      <c r="O7" s="403" t="s">
        <v>486</v>
      </c>
      <c r="P7" s="404" t="s">
        <v>489</v>
      </c>
      <c r="Q7" s="404" t="s">
        <v>485</v>
      </c>
      <c r="R7" s="404" t="s">
        <v>486</v>
      </c>
    </row>
    <row r="8" spans="1:18">
      <c r="A8" s="82"/>
      <c r="B8" s="405" t="s">
        <v>490</v>
      </c>
      <c r="C8" s="397"/>
      <c r="D8" s="398"/>
      <c r="E8" s="398"/>
      <c r="F8" s="406" t="s">
        <v>490</v>
      </c>
      <c r="G8" s="407" t="s">
        <v>491</v>
      </c>
      <c r="H8" s="401"/>
      <c r="I8" s="401"/>
      <c r="J8" s="402"/>
      <c r="K8" s="408"/>
      <c r="L8" s="408"/>
      <c r="M8" s="403"/>
      <c r="N8" s="409"/>
      <c r="O8" s="409"/>
      <c r="P8" s="404"/>
      <c r="Q8" s="410"/>
      <c r="R8" s="410"/>
    </row>
    <row r="9" spans="1:18">
      <c r="A9" s="411" t="s">
        <v>293</v>
      </c>
      <c r="B9" s="396">
        <v>53</v>
      </c>
      <c r="C9" s="412" t="s">
        <v>60</v>
      </c>
      <c r="D9" s="413">
        <v>90</v>
      </c>
      <c r="E9" s="413">
        <v>38290</v>
      </c>
      <c r="F9" s="414">
        <v>53</v>
      </c>
      <c r="G9" s="415">
        <v>19.709999999999997</v>
      </c>
      <c r="H9" s="401">
        <v>0.5</v>
      </c>
      <c r="I9" s="416">
        <v>10</v>
      </c>
      <c r="J9" s="417">
        <v>0</v>
      </c>
      <c r="K9" s="417">
        <v>0</v>
      </c>
      <c r="L9" s="418">
        <v>10</v>
      </c>
      <c r="M9" s="419">
        <v>0</v>
      </c>
      <c r="N9" s="419">
        <v>0</v>
      </c>
      <c r="O9" s="420">
        <v>10</v>
      </c>
      <c r="P9" s="410"/>
      <c r="Q9" s="410"/>
      <c r="R9" s="421"/>
    </row>
    <row r="10" spans="1:18">
      <c r="A10" s="411" t="s">
        <v>294</v>
      </c>
      <c r="B10" s="396">
        <v>400</v>
      </c>
      <c r="C10" s="412" t="s">
        <v>60</v>
      </c>
      <c r="D10" s="413">
        <v>70</v>
      </c>
      <c r="E10" s="413">
        <v>38261</v>
      </c>
      <c r="F10" s="414">
        <v>400</v>
      </c>
      <c r="G10" s="415">
        <v>19.75</v>
      </c>
      <c r="H10" s="401">
        <v>0.5</v>
      </c>
      <c r="I10" s="416">
        <v>10</v>
      </c>
      <c r="J10" s="417">
        <v>0</v>
      </c>
      <c r="K10" s="417">
        <v>0</v>
      </c>
      <c r="L10" s="418">
        <v>10</v>
      </c>
      <c r="M10" s="419">
        <v>0</v>
      </c>
      <c r="N10" s="419">
        <v>0</v>
      </c>
      <c r="O10" s="420">
        <v>10</v>
      </c>
      <c r="P10" s="410"/>
      <c r="Q10" s="422"/>
      <c r="R10" s="421"/>
    </row>
    <row r="11" spans="1:18">
      <c r="A11" s="411" t="s">
        <v>295</v>
      </c>
      <c r="B11" s="396">
        <v>1000</v>
      </c>
      <c r="C11" s="412" t="s">
        <v>60</v>
      </c>
      <c r="D11" s="413">
        <v>65</v>
      </c>
      <c r="E11" s="413">
        <v>38470</v>
      </c>
      <c r="F11" s="414">
        <v>1000</v>
      </c>
      <c r="G11" s="415">
        <v>19.75</v>
      </c>
      <c r="H11" s="401">
        <v>0.5</v>
      </c>
      <c r="I11" s="416">
        <v>10</v>
      </c>
      <c r="J11" s="417">
        <v>0</v>
      </c>
      <c r="K11" s="417">
        <v>0</v>
      </c>
      <c r="L11" s="418">
        <v>10</v>
      </c>
      <c r="M11" s="419">
        <v>0</v>
      </c>
      <c r="N11" s="419">
        <v>0</v>
      </c>
      <c r="O11" s="420">
        <v>10</v>
      </c>
      <c r="P11" s="410"/>
      <c r="Q11" s="422"/>
      <c r="R11" s="421"/>
    </row>
    <row r="12" spans="1:18">
      <c r="A12" s="411" t="s">
        <v>296</v>
      </c>
      <c r="B12" s="396">
        <v>53</v>
      </c>
      <c r="C12" s="412" t="s">
        <v>60</v>
      </c>
      <c r="D12" s="423">
        <v>40</v>
      </c>
      <c r="E12" s="413">
        <v>10</v>
      </c>
      <c r="F12" s="414">
        <v>53</v>
      </c>
      <c r="G12" s="415">
        <v>19.7</v>
      </c>
      <c r="H12" s="401">
        <v>0.5</v>
      </c>
      <c r="I12" s="416">
        <v>10</v>
      </c>
      <c r="J12" s="417">
        <v>0</v>
      </c>
      <c r="K12" s="417">
        <v>0</v>
      </c>
      <c r="L12" s="418">
        <v>10</v>
      </c>
      <c r="M12" s="419">
        <v>0</v>
      </c>
      <c r="N12" s="419">
        <v>0</v>
      </c>
      <c r="O12" s="420">
        <v>10</v>
      </c>
      <c r="P12" s="410"/>
      <c r="Q12" s="422"/>
      <c r="R12" s="421"/>
    </row>
    <row r="13" spans="1:18">
      <c r="A13" s="411" t="s">
        <v>297</v>
      </c>
      <c r="B13" s="396">
        <v>400</v>
      </c>
      <c r="C13" s="412" t="s">
        <v>60</v>
      </c>
      <c r="D13" s="413">
        <v>-10</v>
      </c>
      <c r="E13" s="413">
        <v>11</v>
      </c>
      <c r="F13" s="414">
        <v>400</v>
      </c>
      <c r="G13" s="415">
        <v>19.75</v>
      </c>
      <c r="H13" s="401">
        <v>0.5</v>
      </c>
      <c r="I13" s="416">
        <v>10</v>
      </c>
      <c r="J13" s="417">
        <v>0</v>
      </c>
      <c r="K13" s="417">
        <v>0</v>
      </c>
      <c r="L13" s="418">
        <v>10</v>
      </c>
      <c r="M13" s="419">
        <v>0</v>
      </c>
      <c r="N13" s="419">
        <v>0</v>
      </c>
      <c r="O13" s="420">
        <v>10</v>
      </c>
      <c r="P13" s="410"/>
      <c r="Q13" s="422"/>
      <c r="R13" s="421"/>
    </row>
    <row r="14" spans="1:18">
      <c r="A14" s="411" t="s">
        <v>298</v>
      </c>
      <c r="B14" s="396">
        <v>1000</v>
      </c>
      <c r="C14" s="412" t="s">
        <v>60</v>
      </c>
      <c r="D14" s="413">
        <v>-15</v>
      </c>
      <c r="E14" s="413">
        <v>-50</v>
      </c>
      <c r="F14" s="414">
        <v>1000</v>
      </c>
      <c r="G14" s="415">
        <v>19.73</v>
      </c>
      <c r="H14" s="401">
        <v>0.5</v>
      </c>
      <c r="I14" s="416">
        <v>10</v>
      </c>
      <c r="J14" s="417">
        <v>0</v>
      </c>
      <c r="K14" s="417">
        <v>0</v>
      </c>
      <c r="L14" s="418">
        <v>10</v>
      </c>
      <c r="M14" s="419">
        <v>0</v>
      </c>
      <c r="N14" s="419">
        <v>0</v>
      </c>
      <c r="O14" s="420">
        <v>10</v>
      </c>
      <c r="P14" s="410"/>
      <c r="Q14" s="422"/>
      <c r="R14" s="421"/>
    </row>
    <row r="15" spans="1:18">
      <c r="A15" s="411" t="s">
        <v>492</v>
      </c>
      <c r="B15" s="396">
        <v>53</v>
      </c>
      <c r="C15" s="412" t="s">
        <v>60</v>
      </c>
      <c r="D15" s="413">
        <v>80</v>
      </c>
      <c r="E15" s="413">
        <v>-20</v>
      </c>
      <c r="F15" s="414">
        <v>53</v>
      </c>
      <c r="G15" s="415">
        <v>19.669999999999998</v>
      </c>
      <c r="H15" s="401">
        <v>0.5</v>
      </c>
      <c r="I15" s="416">
        <v>10</v>
      </c>
      <c r="J15" s="417">
        <v>0</v>
      </c>
      <c r="K15" s="417">
        <v>0</v>
      </c>
      <c r="L15" s="418">
        <v>10</v>
      </c>
      <c r="M15" s="419">
        <v>0</v>
      </c>
      <c r="N15" s="419">
        <v>0</v>
      </c>
      <c r="O15" s="420">
        <v>10</v>
      </c>
      <c r="P15" s="410"/>
      <c r="Q15" s="410"/>
      <c r="R15" s="421"/>
    </row>
    <row r="16" spans="1:18">
      <c r="A16" s="411" t="s">
        <v>492</v>
      </c>
      <c r="B16" s="396">
        <v>400</v>
      </c>
      <c r="C16" s="412" t="s">
        <v>60</v>
      </c>
      <c r="D16" s="413">
        <v>-11</v>
      </c>
      <c r="E16" s="413">
        <v>1</v>
      </c>
      <c r="F16" s="414">
        <v>400</v>
      </c>
      <c r="G16" s="415">
        <v>19.759999999999998</v>
      </c>
      <c r="H16" s="401">
        <v>0.5</v>
      </c>
      <c r="I16" s="416">
        <v>10</v>
      </c>
      <c r="J16" s="417">
        <v>0</v>
      </c>
      <c r="K16" s="417">
        <v>0</v>
      </c>
      <c r="L16" s="418">
        <v>10</v>
      </c>
      <c r="M16" s="419">
        <v>0</v>
      </c>
      <c r="N16" s="419">
        <v>0</v>
      </c>
      <c r="O16" s="420">
        <v>10</v>
      </c>
      <c r="P16" s="410"/>
      <c r="Q16" s="422"/>
      <c r="R16" s="421"/>
    </row>
    <row r="17" spans="1:18">
      <c r="A17" s="411" t="s">
        <v>492</v>
      </c>
      <c r="B17" s="396">
        <v>1000</v>
      </c>
      <c r="C17" s="412" t="s">
        <v>60</v>
      </c>
      <c r="D17" s="413">
        <v>-13</v>
      </c>
      <c r="E17" s="413">
        <v>0</v>
      </c>
      <c r="F17" s="414">
        <v>1000</v>
      </c>
      <c r="G17" s="415">
        <v>19.759999999999998</v>
      </c>
      <c r="H17" s="401">
        <v>0.5</v>
      </c>
      <c r="I17" s="416">
        <v>10</v>
      </c>
      <c r="J17" s="417">
        <v>0</v>
      </c>
      <c r="K17" s="417">
        <v>0</v>
      </c>
      <c r="L17" s="418">
        <v>10</v>
      </c>
      <c r="M17" s="419">
        <v>0</v>
      </c>
      <c r="N17" s="419">
        <v>0</v>
      </c>
      <c r="O17" s="420">
        <v>10</v>
      </c>
      <c r="P17" s="410"/>
      <c r="Q17" s="422"/>
      <c r="R17" s="421"/>
    </row>
    <row r="18" spans="1:18">
      <c r="A18" s="411" t="s">
        <v>302</v>
      </c>
      <c r="B18" s="396">
        <v>53</v>
      </c>
      <c r="C18" s="412" t="s">
        <v>60</v>
      </c>
      <c r="D18" s="413">
        <v>180</v>
      </c>
      <c r="E18" s="413">
        <v>1050700</v>
      </c>
      <c r="F18" s="414">
        <v>53</v>
      </c>
      <c r="G18" s="415">
        <v>19.72</v>
      </c>
      <c r="H18" s="401">
        <v>0.5</v>
      </c>
      <c r="I18" s="416">
        <v>10</v>
      </c>
      <c r="J18" s="417">
        <v>0</v>
      </c>
      <c r="K18" s="417">
        <v>0</v>
      </c>
      <c r="L18" s="418">
        <v>10</v>
      </c>
      <c r="M18" s="419">
        <v>0</v>
      </c>
      <c r="N18" s="419">
        <v>5.0000000000000002E-5</v>
      </c>
      <c r="O18" s="420">
        <v>10</v>
      </c>
      <c r="P18" s="410"/>
      <c r="Q18" s="422"/>
      <c r="R18" s="421"/>
    </row>
    <row r="19" spans="1:18">
      <c r="A19" s="411" t="s">
        <v>343</v>
      </c>
      <c r="B19" s="396">
        <v>400</v>
      </c>
      <c r="C19" s="412" t="s">
        <v>60</v>
      </c>
      <c r="D19" s="413">
        <v>62</v>
      </c>
      <c r="E19" s="423">
        <v>1051191</v>
      </c>
      <c r="F19" s="414">
        <v>400</v>
      </c>
      <c r="G19" s="415">
        <v>19.739999999999998</v>
      </c>
      <c r="H19" s="401">
        <v>0.5</v>
      </c>
      <c r="I19" s="416">
        <v>10</v>
      </c>
      <c r="J19" s="417">
        <v>0</v>
      </c>
      <c r="K19" s="417">
        <v>0</v>
      </c>
      <c r="L19" s="418">
        <v>10</v>
      </c>
      <c r="M19" s="419">
        <v>0</v>
      </c>
      <c r="N19" s="419">
        <v>5.0000000000000002E-5</v>
      </c>
      <c r="O19" s="420">
        <v>10</v>
      </c>
      <c r="P19" s="410"/>
      <c r="Q19" s="422"/>
      <c r="R19" s="421"/>
    </row>
    <row r="20" spans="1:18">
      <c r="A20" s="411" t="s">
        <v>303</v>
      </c>
      <c r="B20" s="396">
        <v>1000</v>
      </c>
      <c r="C20" s="412" t="s">
        <v>60</v>
      </c>
      <c r="D20" s="413">
        <v>67</v>
      </c>
      <c r="E20" s="413">
        <v>1051120</v>
      </c>
      <c r="F20" s="414">
        <v>1000</v>
      </c>
      <c r="G20" s="415">
        <v>19.75</v>
      </c>
      <c r="H20" s="401">
        <v>0.5</v>
      </c>
      <c r="I20" s="416">
        <v>10</v>
      </c>
      <c r="J20" s="417">
        <v>0</v>
      </c>
      <c r="K20" s="417">
        <v>0</v>
      </c>
      <c r="L20" s="418">
        <v>10</v>
      </c>
      <c r="M20" s="419">
        <v>0</v>
      </c>
      <c r="N20" s="419">
        <v>5.0000000000000002E-5</v>
      </c>
      <c r="O20" s="420">
        <v>10</v>
      </c>
      <c r="P20" s="410"/>
      <c r="Q20" s="410"/>
      <c r="R20" s="421"/>
    </row>
    <row r="21" spans="1:18">
      <c r="A21" s="411" t="s">
        <v>304</v>
      </c>
      <c r="B21" s="396">
        <v>53</v>
      </c>
      <c r="C21" s="412" t="s">
        <v>60</v>
      </c>
      <c r="D21" s="413">
        <v>100</v>
      </c>
      <c r="E21" s="413">
        <v>9879850</v>
      </c>
      <c r="F21" s="414">
        <v>53</v>
      </c>
      <c r="G21" s="415">
        <v>19.73</v>
      </c>
      <c r="H21" s="401">
        <v>0.5</v>
      </c>
      <c r="I21" s="416">
        <v>10</v>
      </c>
      <c r="J21" s="417">
        <v>0</v>
      </c>
      <c r="K21" s="417">
        <v>0</v>
      </c>
      <c r="L21" s="418">
        <v>10</v>
      </c>
      <c r="M21" s="419">
        <v>0</v>
      </c>
      <c r="N21" s="419">
        <v>3.0000000000000001E-5</v>
      </c>
      <c r="O21" s="420">
        <v>10</v>
      </c>
      <c r="P21" s="410"/>
      <c r="Q21" s="422"/>
      <c r="R21" s="421"/>
    </row>
    <row r="22" spans="1:18">
      <c r="A22" s="411" t="s">
        <v>305</v>
      </c>
      <c r="B22" s="396">
        <v>400</v>
      </c>
      <c r="C22" s="412" t="s">
        <v>60</v>
      </c>
      <c r="D22" s="413">
        <v>43</v>
      </c>
      <c r="E22" s="413">
        <v>9879941</v>
      </c>
      <c r="F22" s="414">
        <v>400</v>
      </c>
      <c r="G22" s="415">
        <v>19.73</v>
      </c>
      <c r="H22" s="401">
        <v>0.5</v>
      </c>
      <c r="I22" s="416">
        <v>10</v>
      </c>
      <c r="J22" s="417">
        <v>0</v>
      </c>
      <c r="K22" s="417">
        <v>0</v>
      </c>
      <c r="L22" s="418">
        <v>10</v>
      </c>
      <c r="M22" s="419">
        <v>0</v>
      </c>
      <c r="N22" s="419">
        <v>3.0000000000000001E-5</v>
      </c>
      <c r="O22" s="420">
        <v>10</v>
      </c>
      <c r="P22" s="410"/>
      <c r="Q22" s="422"/>
      <c r="R22" s="421"/>
    </row>
    <row r="23" spans="1:18">
      <c r="A23" s="411" t="s">
        <v>306</v>
      </c>
      <c r="B23" s="396">
        <v>1000</v>
      </c>
      <c r="C23" s="412" t="s">
        <v>60</v>
      </c>
      <c r="D23" s="413">
        <v>43</v>
      </c>
      <c r="E23" s="413">
        <v>9879760</v>
      </c>
      <c r="F23" s="414">
        <v>1000</v>
      </c>
      <c r="G23" s="415">
        <v>19.759999999999998</v>
      </c>
      <c r="H23" s="401">
        <v>0.5</v>
      </c>
      <c r="I23" s="416">
        <v>10</v>
      </c>
      <c r="J23" s="417">
        <v>0</v>
      </c>
      <c r="K23" s="417">
        <v>0</v>
      </c>
      <c r="L23" s="418">
        <v>10</v>
      </c>
      <c r="M23" s="419">
        <v>0</v>
      </c>
      <c r="N23" s="419">
        <v>3.0000000000000001E-5</v>
      </c>
      <c r="O23" s="420">
        <v>10</v>
      </c>
      <c r="P23" s="410"/>
      <c r="Q23" s="422"/>
      <c r="R23" s="421"/>
    </row>
    <row r="24" spans="1:18">
      <c r="A24" s="411" t="s">
        <v>492</v>
      </c>
      <c r="B24" s="396">
        <v>53</v>
      </c>
      <c r="C24" s="412" t="s">
        <v>61</v>
      </c>
      <c r="D24" s="413">
        <v>100</v>
      </c>
      <c r="E24" s="413">
        <v>10</v>
      </c>
      <c r="F24" s="414">
        <v>53</v>
      </c>
      <c r="G24" s="415">
        <v>19.77</v>
      </c>
      <c r="H24" s="401">
        <v>0.5</v>
      </c>
      <c r="I24" s="416">
        <v>10</v>
      </c>
      <c r="J24" s="417">
        <v>0</v>
      </c>
      <c r="K24" s="417">
        <v>0</v>
      </c>
      <c r="L24" s="418">
        <v>10</v>
      </c>
      <c r="M24" s="419">
        <v>0</v>
      </c>
      <c r="N24" s="419">
        <v>0</v>
      </c>
      <c r="O24" s="420">
        <v>10</v>
      </c>
      <c r="P24" s="410"/>
      <c r="Q24" s="422"/>
      <c r="R24" s="421"/>
    </row>
    <row r="25" spans="1:18">
      <c r="A25" s="411" t="s">
        <v>492</v>
      </c>
      <c r="B25" s="396">
        <v>400</v>
      </c>
      <c r="C25" s="412" t="s">
        <v>61</v>
      </c>
      <c r="D25" s="413">
        <v>1</v>
      </c>
      <c r="E25" s="413">
        <v>-4</v>
      </c>
      <c r="F25" s="414">
        <v>400</v>
      </c>
      <c r="G25" s="415">
        <v>19.77</v>
      </c>
      <c r="H25" s="401">
        <v>0.5</v>
      </c>
      <c r="I25" s="416">
        <v>10</v>
      </c>
      <c r="J25" s="417">
        <v>0</v>
      </c>
      <c r="K25" s="417">
        <v>0</v>
      </c>
      <c r="L25" s="418">
        <v>10</v>
      </c>
      <c r="M25" s="419">
        <v>0</v>
      </c>
      <c r="N25" s="419">
        <v>0</v>
      </c>
      <c r="O25" s="420">
        <v>10</v>
      </c>
      <c r="P25" s="410"/>
      <c r="Q25" s="422"/>
      <c r="R25" s="421"/>
    </row>
    <row r="26" spans="1:18">
      <c r="A26" s="411" t="s">
        <v>492</v>
      </c>
      <c r="B26" s="396">
        <v>1000</v>
      </c>
      <c r="C26" s="412" t="s">
        <v>61</v>
      </c>
      <c r="D26" s="413">
        <v>-2</v>
      </c>
      <c r="E26" s="413">
        <v>-8</v>
      </c>
      <c r="F26" s="414">
        <v>1000</v>
      </c>
      <c r="G26" s="415">
        <v>19.779999999999998</v>
      </c>
      <c r="H26" s="401">
        <v>0.5</v>
      </c>
      <c r="I26" s="416">
        <v>10</v>
      </c>
      <c r="J26" s="417">
        <v>0</v>
      </c>
      <c r="K26" s="417">
        <v>0</v>
      </c>
      <c r="L26" s="418">
        <v>10</v>
      </c>
      <c r="M26" s="419">
        <v>0</v>
      </c>
      <c r="N26" s="419">
        <v>0</v>
      </c>
      <c r="O26" s="420">
        <v>10</v>
      </c>
      <c r="P26" s="410"/>
      <c r="Q26" s="410"/>
      <c r="R26" s="421"/>
    </row>
    <row r="27" spans="1:18">
      <c r="A27" s="411" t="s">
        <v>307</v>
      </c>
      <c r="B27" s="396">
        <v>53</v>
      </c>
      <c r="C27" s="412" t="s">
        <v>61</v>
      </c>
      <c r="D27" s="413">
        <v>120</v>
      </c>
      <c r="E27" s="413">
        <v>9913100</v>
      </c>
      <c r="F27" s="414">
        <v>53</v>
      </c>
      <c r="G27" s="415">
        <v>19.779999999999998</v>
      </c>
      <c r="H27" s="401">
        <v>0.5</v>
      </c>
      <c r="I27" s="416">
        <v>10</v>
      </c>
      <c r="J27" s="417">
        <v>0</v>
      </c>
      <c r="K27" s="417">
        <v>0</v>
      </c>
      <c r="L27" s="418">
        <v>10</v>
      </c>
      <c r="M27" s="419">
        <v>0</v>
      </c>
      <c r="N27" s="419">
        <v>3.0000000000000001E-5</v>
      </c>
      <c r="O27" s="420">
        <v>10</v>
      </c>
      <c r="P27" s="410"/>
      <c r="Q27" s="422"/>
      <c r="R27" s="421"/>
    </row>
    <row r="28" spans="1:18">
      <c r="A28" s="411" t="s">
        <v>308</v>
      </c>
      <c r="B28" s="396">
        <v>400</v>
      </c>
      <c r="C28" s="412" t="s">
        <v>61</v>
      </c>
      <c r="D28" s="413">
        <v>5</v>
      </c>
      <c r="E28" s="413">
        <v>9913067</v>
      </c>
      <c r="F28" s="414">
        <v>400</v>
      </c>
      <c r="G28" s="415">
        <v>19.77</v>
      </c>
      <c r="H28" s="401">
        <v>0.5</v>
      </c>
      <c r="I28" s="416">
        <v>10</v>
      </c>
      <c r="J28" s="417">
        <v>0</v>
      </c>
      <c r="K28" s="417">
        <v>0</v>
      </c>
      <c r="L28" s="418">
        <v>10</v>
      </c>
      <c r="M28" s="419">
        <v>0</v>
      </c>
      <c r="N28" s="419">
        <v>3.0000000000000001E-5</v>
      </c>
      <c r="O28" s="420">
        <v>10</v>
      </c>
      <c r="P28" s="410"/>
      <c r="Q28" s="422"/>
      <c r="R28" s="421"/>
    </row>
    <row r="29" spans="1:18">
      <c r="A29" s="411" t="s">
        <v>309</v>
      </c>
      <c r="B29" s="396">
        <v>1000</v>
      </c>
      <c r="C29" s="412" t="s">
        <v>61</v>
      </c>
      <c r="D29" s="413">
        <v>5</v>
      </c>
      <c r="E29" s="413">
        <v>9912930</v>
      </c>
      <c r="F29" s="414">
        <v>1000</v>
      </c>
      <c r="G29" s="415">
        <v>19.759999999999998</v>
      </c>
      <c r="H29" s="401">
        <v>0.5</v>
      </c>
      <c r="I29" s="416">
        <v>10</v>
      </c>
      <c r="J29" s="417">
        <v>0</v>
      </c>
      <c r="K29" s="417">
        <v>0</v>
      </c>
      <c r="L29" s="418">
        <v>10</v>
      </c>
      <c r="M29" s="419">
        <v>0</v>
      </c>
      <c r="N29" s="419">
        <v>3.0000000000000001E-5</v>
      </c>
      <c r="O29" s="420">
        <v>10</v>
      </c>
      <c r="P29" s="410"/>
      <c r="Q29" s="422"/>
      <c r="R29" s="421"/>
    </row>
    <row r="30" spans="1:18">
      <c r="A30" s="411" t="s">
        <v>492</v>
      </c>
      <c r="B30" s="396">
        <v>53</v>
      </c>
      <c r="C30" s="412" t="s">
        <v>62</v>
      </c>
      <c r="D30" s="413">
        <v>30</v>
      </c>
      <c r="E30" s="413">
        <v>-13</v>
      </c>
      <c r="F30" s="414">
        <v>53</v>
      </c>
      <c r="G30" s="415">
        <v>19.66</v>
      </c>
      <c r="H30" s="401">
        <v>0.5</v>
      </c>
      <c r="I30" s="416">
        <v>10</v>
      </c>
      <c r="J30" s="417">
        <v>0</v>
      </c>
      <c r="K30" s="417">
        <v>0</v>
      </c>
      <c r="L30" s="418">
        <v>10</v>
      </c>
      <c r="M30" s="419">
        <v>0</v>
      </c>
      <c r="N30" s="419">
        <v>0</v>
      </c>
      <c r="O30" s="420">
        <v>10</v>
      </c>
      <c r="P30" s="410"/>
      <c r="Q30" s="422"/>
      <c r="R30" s="421"/>
    </row>
    <row r="31" spans="1:18">
      <c r="A31" s="411" t="s">
        <v>492</v>
      </c>
      <c r="B31" s="396">
        <v>400</v>
      </c>
      <c r="C31" s="412" t="s">
        <v>62</v>
      </c>
      <c r="D31" s="413">
        <v>-1</v>
      </c>
      <c r="E31" s="413">
        <v>-9</v>
      </c>
      <c r="F31" s="414">
        <v>400</v>
      </c>
      <c r="G31" s="415">
        <v>19.66</v>
      </c>
      <c r="H31" s="401">
        <v>0.5</v>
      </c>
      <c r="I31" s="416">
        <v>10</v>
      </c>
      <c r="J31" s="417">
        <v>0</v>
      </c>
      <c r="K31" s="417">
        <v>0</v>
      </c>
      <c r="L31" s="418">
        <v>10</v>
      </c>
      <c r="M31" s="419">
        <v>0</v>
      </c>
      <c r="N31" s="419">
        <v>0</v>
      </c>
      <c r="O31" s="420">
        <v>10</v>
      </c>
      <c r="P31" s="410"/>
      <c r="Q31" s="422"/>
      <c r="R31" s="421"/>
    </row>
    <row r="32" spans="1:18">
      <c r="A32" s="411" t="s">
        <v>492</v>
      </c>
      <c r="B32" s="396">
        <v>1000</v>
      </c>
      <c r="C32" s="412" t="s">
        <v>62</v>
      </c>
      <c r="D32" s="413">
        <v>-1</v>
      </c>
      <c r="E32" s="413">
        <v>-7</v>
      </c>
      <c r="F32" s="414">
        <v>1000</v>
      </c>
      <c r="G32" s="415">
        <v>19.66</v>
      </c>
      <c r="H32" s="401">
        <v>0.5</v>
      </c>
      <c r="I32" s="416">
        <v>10</v>
      </c>
      <c r="J32" s="417">
        <v>0</v>
      </c>
      <c r="K32" s="417">
        <v>0</v>
      </c>
      <c r="L32" s="418">
        <v>10</v>
      </c>
      <c r="M32" s="419">
        <v>0</v>
      </c>
      <c r="N32" s="419">
        <v>0</v>
      </c>
      <c r="O32" s="420">
        <v>10</v>
      </c>
      <c r="P32" s="410"/>
      <c r="Q32" s="422"/>
      <c r="R32" s="421"/>
    </row>
    <row r="33" spans="1:18">
      <c r="A33" s="411" t="s">
        <v>316</v>
      </c>
      <c r="B33" s="396">
        <v>53</v>
      </c>
      <c r="C33" s="412" t="s">
        <v>62</v>
      </c>
      <c r="D33" s="413">
        <v>50</v>
      </c>
      <c r="E33" s="413">
        <v>10002950</v>
      </c>
      <c r="F33" s="414">
        <v>53</v>
      </c>
      <c r="G33" s="415">
        <v>19.669999999999998</v>
      </c>
      <c r="H33" s="401">
        <v>0.5</v>
      </c>
      <c r="I33" s="416">
        <v>10</v>
      </c>
      <c r="J33" s="417">
        <v>0</v>
      </c>
      <c r="K33" s="417">
        <v>0</v>
      </c>
      <c r="L33" s="418">
        <v>10</v>
      </c>
      <c r="M33" s="419">
        <v>0</v>
      </c>
      <c r="N33" s="419">
        <v>5.0000000000000004E-6</v>
      </c>
      <c r="O33" s="420">
        <v>10</v>
      </c>
      <c r="P33" s="410"/>
      <c r="Q33" s="422"/>
      <c r="R33" s="421"/>
    </row>
    <row r="34" spans="1:18">
      <c r="A34" s="411" t="s">
        <v>317</v>
      </c>
      <c r="B34" s="396">
        <v>400</v>
      </c>
      <c r="C34" s="412" t="s">
        <v>62</v>
      </c>
      <c r="D34" s="413">
        <v>5</v>
      </c>
      <c r="E34" s="413">
        <v>10002950</v>
      </c>
      <c r="F34" s="414">
        <v>400</v>
      </c>
      <c r="G34" s="415">
        <v>19.66</v>
      </c>
      <c r="H34" s="401">
        <v>0.5</v>
      </c>
      <c r="I34" s="416">
        <v>10</v>
      </c>
      <c r="J34" s="417">
        <v>0</v>
      </c>
      <c r="K34" s="417">
        <v>0</v>
      </c>
      <c r="L34" s="418">
        <v>10</v>
      </c>
      <c r="M34" s="419">
        <v>0</v>
      </c>
      <c r="N34" s="419">
        <v>5.0000000000000004E-6</v>
      </c>
      <c r="O34" s="420">
        <v>10</v>
      </c>
      <c r="P34" s="410"/>
      <c r="Q34" s="410"/>
      <c r="R34" s="421"/>
    </row>
    <row r="35" spans="1:18">
      <c r="A35" s="411" t="s">
        <v>318</v>
      </c>
      <c r="B35" s="396">
        <v>1000</v>
      </c>
      <c r="C35" s="412" t="s">
        <v>62</v>
      </c>
      <c r="D35" s="413">
        <v>5</v>
      </c>
      <c r="E35" s="413">
        <v>10002954</v>
      </c>
      <c r="F35" s="414">
        <v>1000</v>
      </c>
      <c r="G35" s="415">
        <v>19.649999999999999</v>
      </c>
      <c r="H35" s="401">
        <v>0.5</v>
      </c>
      <c r="I35" s="416">
        <v>10</v>
      </c>
      <c r="J35" s="417">
        <v>0</v>
      </c>
      <c r="K35" s="417">
        <v>0</v>
      </c>
      <c r="L35" s="418">
        <v>10</v>
      </c>
      <c r="M35" s="419">
        <v>0</v>
      </c>
      <c r="N35" s="419">
        <v>5.0000000000000004E-6</v>
      </c>
      <c r="O35" s="420">
        <v>10</v>
      </c>
      <c r="P35" s="410"/>
      <c r="Q35" s="410"/>
      <c r="R35" s="410"/>
    </row>
    <row r="36" spans="1:18">
      <c r="A36" s="411" t="s">
        <v>492</v>
      </c>
      <c r="B36" s="396">
        <v>53</v>
      </c>
      <c r="C36" s="412" t="s">
        <v>10</v>
      </c>
      <c r="D36" s="413">
        <v>35</v>
      </c>
      <c r="E36" s="413">
        <v>-10</v>
      </c>
      <c r="F36" s="414">
        <v>53</v>
      </c>
      <c r="G36" s="415">
        <v>19.63</v>
      </c>
      <c r="H36" s="401">
        <v>0.5</v>
      </c>
      <c r="I36" s="416">
        <v>10</v>
      </c>
      <c r="J36" s="417">
        <v>0</v>
      </c>
      <c r="K36" s="417">
        <v>0</v>
      </c>
      <c r="L36" s="418">
        <v>10</v>
      </c>
      <c r="M36" s="419">
        <v>0</v>
      </c>
      <c r="N36" s="419">
        <v>0</v>
      </c>
      <c r="O36" s="420">
        <v>10</v>
      </c>
      <c r="P36" s="410"/>
      <c r="Q36" s="410"/>
      <c r="R36" s="410"/>
    </row>
    <row r="37" spans="1:18">
      <c r="A37" s="411" t="s">
        <v>492</v>
      </c>
      <c r="B37" s="396">
        <v>400</v>
      </c>
      <c r="C37" s="412" t="s">
        <v>10</v>
      </c>
      <c r="D37" s="413">
        <v>0</v>
      </c>
      <c r="E37" s="413">
        <v>-11</v>
      </c>
      <c r="F37" s="414">
        <v>400</v>
      </c>
      <c r="G37" s="415">
        <v>19.64</v>
      </c>
      <c r="H37" s="401">
        <v>0.5</v>
      </c>
      <c r="I37" s="416">
        <v>10</v>
      </c>
      <c r="J37" s="417">
        <v>0</v>
      </c>
      <c r="K37" s="417">
        <v>0</v>
      </c>
      <c r="L37" s="418">
        <v>10</v>
      </c>
      <c r="M37" s="419">
        <v>0</v>
      </c>
      <c r="N37" s="419">
        <v>0</v>
      </c>
      <c r="O37" s="420">
        <v>10</v>
      </c>
      <c r="P37" s="410"/>
      <c r="Q37" s="410"/>
      <c r="R37" s="410"/>
    </row>
    <row r="38" spans="1:18">
      <c r="A38" s="411" t="s">
        <v>492</v>
      </c>
      <c r="B38" s="396">
        <v>1000</v>
      </c>
      <c r="C38" s="412" t="s">
        <v>10</v>
      </c>
      <c r="D38" s="413">
        <v>-1</v>
      </c>
      <c r="E38" s="413">
        <v>-11</v>
      </c>
      <c r="F38" s="414">
        <v>1000</v>
      </c>
      <c r="G38" s="415">
        <v>19.649999999999999</v>
      </c>
      <c r="H38" s="401">
        <v>0.5</v>
      </c>
      <c r="I38" s="416">
        <v>10</v>
      </c>
      <c r="J38" s="417">
        <v>0</v>
      </c>
      <c r="K38" s="417">
        <v>0</v>
      </c>
      <c r="L38" s="418">
        <v>10</v>
      </c>
      <c r="M38" s="419">
        <v>0</v>
      </c>
      <c r="N38" s="419">
        <v>0</v>
      </c>
      <c r="O38" s="420">
        <v>10</v>
      </c>
      <c r="P38" s="410"/>
      <c r="Q38" s="410"/>
      <c r="R38" s="410"/>
    </row>
    <row r="39" spans="1:18">
      <c r="A39" s="411" t="s">
        <v>319</v>
      </c>
      <c r="B39" s="396">
        <v>53</v>
      </c>
      <c r="C39" s="412" t="s">
        <v>10</v>
      </c>
      <c r="D39" s="413">
        <v>10</v>
      </c>
      <c r="E39" s="413">
        <v>10001710</v>
      </c>
      <c r="F39" s="414">
        <v>53</v>
      </c>
      <c r="G39" s="415">
        <v>19.63</v>
      </c>
      <c r="H39" s="401">
        <v>0.5</v>
      </c>
      <c r="I39" s="416">
        <v>10</v>
      </c>
      <c r="J39" s="417">
        <v>0</v>
      </c>
      <c r="K39" s="417">
        <v>0</v>
      </c>
      <c r="L39" s="418">
        <v>10</v>
      </c>
      <c r="M39" s="419">
        <v>0</v>
      </c>
      <c r="N39" s="419">
        <v>5.0000000000000004E-6</v>
      </c>
      <c r="O39" s="420">
        <v>10</v>
      </c>
      <c r="P39" s="410"/>
      <c r="Q39" s="410"/>
      <c r="R39" s="410"/>
    </row>
    <row r="40" spans="1:18">
      <c r="A40" s="411" t="s">
        <v>320</v>
      </c>
      <c r="B40" s="396">
        <v>400</v>
      </c>
      <c r="C40" s="412" t="s">
        <v>10</v>
      </c>
      <c r="D40" s="413">
        <v>5</v>
      </c>
      <c r="E40" s="413">
        <v>10001713</v>
      </c>
      <c r="F40" s="414">
        <v>400</v>
      </c>
      <c r="G40" s="415">
        <v>19.64</v>
      </c>
      <c r="H40" s="401">
        <v>0.5</v>
      </c>
      <c r="I40" s="416">
        <v>10</v>
      </c>
      <c r="J40" s="417">
        <v>0</v>
      </c>
      <c r="K40" s="417">
        <v>0</v>
      </c>
      <c r="L40" s="418">
        <v>10</v>
      </c>
      <c r="M40" s="419">
        <v>0</v>
      </c>
      <c r="N40" s="419">
        <v>5.0000000000000004E-6</v>
      </c>
      <c r="O40" s="420">
        <v>10</v>
      </c>
      <c r="P40" s="410"/>
      <c r="Q40" s="410"/>
      <c r="R40" s="410"/>
    </row>
    <row r="41" spans="1:18">
      <c r="A41" s="411" t="s">
        <v>321</v>
      </c>
      <c r="B41" s="396">
        <v>1000</v>
      </c>
      <c r="C41" s="412" t="s">
        <v>10</v>
      </c>
      <c r="D41" s="413">
        <v>5</v>
      </c>
      <c r="E41" s="413">
        <v>10001670</v>
      </c>
      <c r="F41" s="414">
        <v>1000</v>
      </c>
      <c r="G41" s="415">
        <v>19.649999999999999</v>
      </c>
      <c r="H41" s="401">
        <v>0.5</v>
      </c>
      <c r="I41" s="416">
        <v>10</v>
      </c>
      <c r="J41" s="417">
        <v>0</v>
      </c>
      <c r="K41" s="417">
        <v>0</v>
      </c>
      <c r="L41" s="418">
        <v>10</v>
      </c>
      <c r="M41" s="419">
        <v>0</v>
      </c>
      <c r="N41" s="419">
        <v>5.0000000000000004E-6</v>
      </c>
      <c r="O41" s="420">
        <v>10</v>
      </c>
      <c r="P41" s="410"/>
      <c r="Q41" s="410"/>
      <c r="R41" s="410"/>
    </row>
    <row r="42" spans="1:18">
      <c r="A42" s="411" t="s">
        <v>492</v>
      </c>
      <c r="B42" s="396">
        <v>53</v>
      </c>
      <c r="C42" s="412" t="s">
        <v>11</v>
      </c>
      <c r="D42" s="413">
        <v>10</v>
      </c>
      <c r="E42" s="413">
        <v>-28</v>
      </c>
      <c r="F42" s="414">
        <v>53</v>
      </c>
      <c r="G42" s="415">
        <v>19.489999999999998</v>
      </c>
      <c r="H42" s="401">
        <v>0.5</v>
      </c>
      <c r="I42" s="416">
        <v>10</v>
      </c>
      <c r="J42" s="417">
        <v>0</v>
      </c>
      <c r="K42" s="417">
        <v>0</v>
      </c>
      <c r="L42" s="418">
        <v>10</v>
      </c>
      <c r="M42" s="419">
        <v>0</v>
      </c>
      <c r="N42" s="419">
        <v>0</v>
      </c>
      <c r="O42" s="420">
        <v>10</v>
      </c>
      <c r="P42" s="410"/>
      <c r="Q42" s="410"/>
      <c r="R42" s="410"/>
    </row>
    <row r="43" spans="1:18">
      <c r="A43" s="411" t="s">
        <v>492</v>
      </c>
      <c r="B43" s="396">
        <v>400</v>
      </c>
      <c r="C43" s="412" t="s">
        <v>11</v>
      </c>
      <c r="D43" s="413">
        <v>0</v>
      </c>
      <c r="E43" s="413">
        <v>-26</v>
      </c>
      <c r="F43" s="414">
        <v>400</v>
      </c>
      <c r="G43" s="415">
        <v>19.52</v>
      </c>
      <c r="H43" s="401">
        <v>0.5</v>
      </c>
      <c r="I43" s="416">
        <v>10</v>
      </c>
      <c r="J43" s="417">
        <v>0</v>
      </c>
      <c r="K43" s="417">
        <v>0</v>
      </c>
      <c r="L43" s="418">
        <v>10</v>
      </c>
      <c r="M43" s="419">
        <v>0</v>
      </c>
      <c r="N43" s="419">
        <v>0</v>
      </c>
      <c r="O43" s="420">
        <v>10</v>
      </c>
      <c r="P43" s="410"/>
      <c r="Q43" s="410"/>
      <c r="R43" s="410"/>
    </row>
    <row r="44" spans="1:18">
      <c r="A44" s="411" t="s">
        <v>492</v>
      </c>
      <c r="B44" s="396">
        <v>1000</v>
      </c>
      <c r="C44" s="412" t="s">
        <v>11</v>
      </c>
      <c r="D44" s="413">
        <v>0</v>
      </c>
      <c r="E44" s="413">
        <v>-22</v>
      </c>
      <c r="F44" s="414">
        <v>1000</v>
      </c>
      <c r="G44" s="415">
        <v>19.52</v>
      </c>
      <c r="H44" s="401">
        <v>0.5</v>
      </c>
      <c r="I44" s="416">
        <v>10</v>
      </c>
      <c r="J44" s="417">
        <v>0</v>
      </c>
      <c r="K44" s="417">
        <v>0</v>
      </c>
      <c r="L44" s="418">
        <v>10</v>
      </c>
      <c r="M44" s="419">
        <v>0</v>
      </c>
      <c r="N44" s="419">
        <v>0</v>
      </c>
      <c r="O44" s="420">
        <v>10</v>
      </c>
      <c r="P44" s="410"/>
      <c r="Q44" s="410"/>
      <c r="R44" s="410"/>
    </row>
    <row r="45" spans="1:18">
      <c r="A45" s="411" t="s">
        <v>322</v>
      </c>
      <c r="B45" s="396">
        <v>53</v>
      </c>
      <c r="C45" s="412" t="s">
        <v>11</v>
      </c>
      <c r="D45" s="413">
        <v>-67</v>
      </c>
      <c r="E45" s="413">
        <v>10001342</v>
      </c>
      <c r="F45" s="414">
        <v>53</v>
      </c>
      <c r="G45" s="415">
        <v>19.5</v>
      </c>
      <c r="H45" s="401">
        <v>0.5</v>
      </c>
      <c r="I45" s="416">
        <v>10</v>
      </c>
      <c r="J45" s="417">
        <v>0</v>
      </c>
      <c r="K45" s="417">
        <v>0</v>
      </c>
      <c r="L45" s="418">
        <v>10</v>
      </c>
      <c r="M45" s="419">
        <v>0</v>
      </c>
      <c r="N45" s="419">
        <v>5.0000000000000004E-6</v>
      </c>
      <c r="O45" s="420">
        <v>10</v>
      </c>
      <c r="P45" s="410"/>
      <c r="Q45" s="410"/>
      <c r="R45" s="410"/>
    </row>
    <row r="46" spans="1:18">
      <c r="A46" s="411" t="s">
        <v>323</v>
      </c>
      <c r="B46" s="396">
        <v>400</v>
      </c>
      <c r="C46" s="412" t="s">
        <v>11</v>
      </c>
      <c r="D46" s="413">
        <v>-63</v>
      </c>
      <c r="E46" s="413">
        <v>10001340</v>
      </c>
      <c r="F46" s="414">
        <v>400</v>
      </c>
      <c r="G46" s="415">
        <v>19.509999999999998</v>
      </c>
      <c r="H46" s="401">
        <v>0.5</v>
      </c>
      <c r="I46" s="416">
        <v>10</v>
      </c>
      <c r="J46" s="417">
        <v>0</v>
      </c>
      <c r="K46" s="417">
        <v>0</v>
      </c>
      <c r="L46" s="418">
        <v>10</v>
      </c>
      <c r="M46" s="419">
        <v>0</v>
      </c>
      <c r="N46" s="419">
        <v>5.0000000000000004E-6</v>
      </c>
      <c r="O46" s="420">
        <v>10</v>
      </c>
      <c r="P46" s="410"/>
      <c r="Q46" s="410"/>
      <c r="R46" s="410"/>
    </row>
    <row r="47" spans="1:18">
      <c r="A47" s="411" t="s">
        <v>324</v>
      </c>
      <c r="B47" s="396">
        <v>1000</v>
      </c>
      <c r="C47" s="412" t="s">
        <v>11</v>
      </c>
      <c r="D47" s="413">
        <v>-61</v>
      </c>
      <c r="E47" s="413">
        <v>10001312</v>
      </c>
      <c r="F47" s="414">
        <v>1000</v>
      </c>
      <c r="G47" s="415">
        <v>19.52</v>
      </c>
      <c r="H47" s="401">
        <v>0.5</v>
      </c>
      <c r="I47" s="416">
        <v>10</v>
      </c>
      <c r="J47" s="417">
        <v>0</v>
      </c>
      <c r="K47" s="417">
        <v>0</v>
      </c>
      <c r="L47" s="418">
        <v>10</v>
      </c>
      <c r="M47" s="419">
        <v>0</v>
      </c>
      <c r="N47" s="419">
        <v>5.0000000000000004E-6</v>
      </c>
      <c r="O47" s="420">
        <v>10</v>
      </c>
      <c r="P47" s="410"/>
      <c r="Q47" s="410"/>
      <c r="R47" s="410"/>
    </row>
    <row r="48" spans="1:18">
      <c r="A48" s="411" t="s">
        <v>492</v>
      </c>
      <c r="B48" s="396">
        <v>53</v>
      </c>
      <c r="C48" s="412" t="s">
        <v>63</v>
      </c>
      <c r="D48" s="413">
        <v>10</v>
      </c>
      <c r="E48" s="413">
        <v>-7</v>
      </c>
      <c r="F48" s="414">
        <v>53</v>
      </c>
      <c r="G48" s="415">
        <v>19.549999999999997</v>
      </c>
      <c r="H48" s="401">
        <v>0.5</v>
      </c>
      <c r="I48" s="416">
        <v>10</v>
      </c>
      <c r="J48" s="417">
        <v>0</v>
      </c>
      <c r="K48" s="417">
        <v>0</v>
      </c>
      <c r="L48" s="418">
        <v>10</v>
      </c>
      <c r="M48" s="419">
        <v>0</v>
      </c>
      <c r="N48" s="419">
        <v>0</v>
      </c>
      <c r="O48" s="420">
        <v>10</v>
      </c>
      <c r="P48" s="410"/>
      <c r="Q48" s="410"/>
      <c r="R48" s="410"/>
    </row>
    <row r="49" spans="1:18">
      <c r="A49" s="411" t="s">
        <v>492</v>
      </c>
      <c r="B49" s="396">
        <v>400</v>
      </c>
      <c r="C49" s="412" t="s">
        <v>63</v>
      </c>
      <c r="D49" s="413">
        <v>0</v>
      </c>
      <c r="E49" s="413">
        <v>-10</v>
      </c>
      <c r="F49" s="414">
        <v>400</v>
      </c>
      <c r="G49" s="415">
        <v>19.529999999999998</v>
      </c>
      <c r="H49" s="401">
        <v>0.5</v>
      </c>
      <c r="I49" s="416">
        <v>10</v>
      </c>
      <c r="J49" s="417">
        <v>0</v>
      </c>
      <c r="K49" s="417">
        <v>0</v>
      </c>
      <c r="L49" s="418">
        <v>10</v>
      </c>
      <c r="M49" s="419">
        <v>0</v>
      </c>
      <c r="N49" s="419">
        <v>0</v>
      </c>
      <c r="O49" s="420">
        <v>10</v>
      </c>
      <c r="P49" s="410"/>
      <c r="Q49" s="410"/>
      <c r="R49" s="410"/>
    </row>
    <row r="50" spans="1:18">
      <c r="A50" s="411" t="s">
        <v>492</v>
      </c>
      <c r="B50" s="396">
        <v>1000</v>
      </c>
      <c r="C50" s="412" t="s">
        <v>63</v>
      </c>
      <c r="D50" s="413">
        <v>-1</v>
      </c>
      <c r="E50" s="413">
        <v>-10</v>
      </c>
      <c r="F50" s="414">
        <v>1000</v>
      </c>
      <c r="G50" s="415">
        <v>19.529999999999998</v>
      </c>
      <c r="H50" s="401">
        <v>0.5</v>
      </c>
      <c r="I50" s="416">
        <v>10</v>
      </c>
      <c r="J50" s="417">
        <v>0</v>
      </c>
      <c r="K50" s="417">
        <v>0</v>
      </c>
      <c r="L50" s="418">
        <v>10</v>
      </c>
      <c r="M50" s="419">
        <v>0</v>
      </c>
      <c r="N50" s="419">
        <v>0</v>
      </c>
      <c r="O50" s="420">
        <v>10</v>
      </c>
      <c r="P50" s="410"/>
      <c r="Q50" s="410"/>
      <c r="R50" s="410"/>
    </row>
    <row r="51" spans="1:18">
      <c r="A51" s="411" t="s">
        <v>325</v>
      </c>
      <c r="B51" s="396">
        <v>53</v>
      </c>
      <c r="C51" s="412" t="s">
        <v>63</v>
      </c>
      <c r="D51" s="413">
        <v>-800</v>
      </c>
      <c r="E51" s="413">
        <v>10002700</v>
      </c>
      <c r="F51" s="414">
        <v>53</v>
      </c>
      <c r="G51" s="415">
        <v>19.54</v>
      </c>
      <c r="H51" s="401">
        <v>0.5</v>
      </c>
      <c r="I51" s="416">
        <v>10</v>
      </c>
      <c r="J51" s="417">
        <v>0</v>
      </c>
      <c r="K51" s="417">
        <v>0</v>
      </c>
      <c r="L51" s="418">
        <v>10</v>
      </c>
      <c r="M51" s="419">
        <v>0</v>
      </c>
      <c r="N51" s="419">
        <v>5.0000000000000004E-6</v>
      </c>
      <c r="O51" s="420">
        <v>10</v>
      </c>
      <c r="P51" s="410"/>
      <c r="Q51" s="410"/>
      <c r="R51" s="410"/>
    </row>
    <row r="52" spans="1:18">
      <c r="A52" s="411" t="s">
        <v>326</v>
      </c>
      <c r="B52" s="396">
        <v>400</v>
      </c>
      <c r="C52" s="412" t="s">
        <v>63</v>
      </c>
      <c r="D52" s="413">
        <v>-777</v>
      </c>
      <c r="E52" s="413">
        <v>10002664</v>
      </c>
      <c r="F52" s="414">
        <v>400</v>
      </c>
      <c r="G52" s="415">
        <v>19.529999999999998</v>
      </c>
      <c r="H52" s="401">
        <v>0.5</v>
      </c>
      <c r="I52" s="416">
        <v>10</v>
      </c>
      <c r="J52" s="417">
        <v>0</v>
      </c>
      <c r="K52" s="417">
        <v>0</v>
      </c>
      <c r="L52" s="418">
        <v>10</v>
      </c>
      <c r="M52" s="419">
        <v>0</v>
      </c>
      <c r="N52" s="419">
        <v>5.0000000000000004E-6</v>
      </c>
      <c r="O52" s="420">
        <v>10</v>
      </c>
      <c r="P52" s="410"/>
      <c r="Q52" s="410"/>
      <c r="R52" s="410"/>
    </row>
    <row r="53" spans="1:18">
      <c r="A53" s="411" t="s">
        <v>327</v>
      </c>
      <c r="B53" s="396">
        <v>1000</v>
      </c>
      <c r="C53" s="412" t="s">
        <v>63</v>
      </c>
      <c r="D53" s="413">
        <v>-769</v>
      </c>
      <c r="E53" s="413">
        <v>10002551</v>
      </c>
      <c r="F53" s="414">
        <v>1000</v>
      </c>
      <c r="G53" s="415">
        <v>19.52</v>
      </c>
      <c r="H53" s="401">
        <v>0.5</v>
      </c>
      <c r="I53" s="416">
        <v>10</v>
      </c>
      <c r="J53" s="417">
        <v>0</v>
      </c>
      <c r="K53" s="417">
        <v>0</v>
      </c>
      <c r="L53" s="418">
        <v>10</v>
      </c>
      <c r="M53" s="419">
        <v>0</v>
      </c>
      <c r="N53" s="419">
        <v>5.0000000000000004E-6</v>
      </c>
      <c r="O53" s="420">
        <v>10</v>
      </c>
      <c r="P53" s="410"/>
      <c r="Q53" s="410"/>
      <c r="R53" s="410"/>
    </row>
    <row r="54" spans="1:18">
      <c r="A54" s="411" t="s">
        <v>492</v>
      </c>
      <c r="B54" s="396">
        <v>1600</v>
      </c>
      <c r="C54" s="412" t="s">
        <v>10</v>
      </c>
      <c r="D54" s="413">
        <v>-1</v>
      </c>
      <c r="E54" s="413">
        <v>-8</v>
      </c>
      <c r="F54" s="414">
        <v>1600</v>
      </c>
      <c r="G54" s="415">
        <v>19.559999999999999</v>
      </c>
      <c r="H54" s="401">
        <v>0.5</v>
      </c>
      <c r="I54" s="416">
        <v>10</v>
      </c>
      <c r="J54" s="417">
        <v>0</v>
      </c>
      <c r="K54" s="417">
        <v>0</v>
      </c>
      <c r="L54" s="418">
        <v>10</v>
      </c>
      <c r="M54" s="419">
        <v>0</v>
      </c>
      <c r="N54" s="419">
        <v>0</v>
      </c>
      <c r="O54" s="420">
        <v>10</v>
      </c>
      <c r="P54" s="410"/>
      <c r="Q54" s="410"/>
      <c r="R54" s="410"/>
    </row>
    <row r="55" spans="1:18">
      <c r="A55" s="411" t="s">
        <v>329</v>
      </c>
      <c r="B55" s="396">
        <v>1600</v>
      </c>
      <c r="C55" s="412" t="s">
        <v>10</v>
      </c>
      <c r="D55" s="413">
        <v>1001</v>
      </c>
      <c r="E55" s="413">
        <v>6324510</v>
      </c>
      <c r="F55" s="414">
        <v>1600</v>
      </c>
      <c r="G55" s="415">
        <v>19.559999999999999</v>
      </c>
      <c r="H55" s="401">
        <v>0.5</v>
      </c>
      <c r="I55" s="416">
        <v>10</v>
      </c>
      <c r="J55" s="417">
        <v>0</v>
      </c>
      <c r="K55" s="417">
        <f>0.000315/2</f>
        <v>1.5750000000000001E-4</v>
      </c>
      <c r="L55" s="418">
        <v>10</v>
      </c>
      <c r="M55" s="419">
        <v>0</v>
      </c>
      <c r="N55" s="419">
        <v>5.0000000000000004E-6</v>
      </c>
      <c r="O55" s="420">
        <v>10</v>
      </c>
      <c r="P55" s="410"/>
      <c r="Q55" s="410"/>
      <c r="R55" s="410"/>
    </row>
    <row r="56" spans="1:18">
      <c r="A56" s="411" t="s">
        <v>492</v>
      </c>
      <c r="B56" s="396">
        <v>1600</v>
      </c>
      <c r="C56" s="412" t="s">
        <v>11</v>
      </c>
      <c r="D56" s="413">
        <v>-1</v>
      </c>
      <c r="E56" s="413">
        <v>-20</v>
      </c>
      <c r="F56" s="414">
        <v>1600</v>
      </c>
      <c r="G56" s="415">
        <v>19.559999999999999</v>
      </c>
      <c r="H56" s="401">
        <v>0.5</v>
      </c>
      <c r="I56" s="416">
        <v>10</v>
      </c>
      <c r="J56" s="417">
        <v>0</v>
      </c>
      <c r="K56" s="417">
        <v>0</v>
      </c>
      <c r="L56" s="418">
        <v>10</v>
      </c>
      <c r="M56" s="419">
        <v>0</v>
      </c>
      <c r="N56" s="419">
        <v>0</v>
      </c>
      <c r="O56" s="420">
        <v>10</v>
      </c>
      <c r="P56" s="410"/>
      <c r="Q56" s="410"/>
      <c r="R56" s="410"/>
    </row>
    <row r="57" spans="1:18">
      <c r="A57" s="411" t="s">
        <v>330</v>
      </c>
      <c r="B57" s="396">
        <v>1600</v>
      </c>
      <c r="C57" s="412" t="s">
        <v>11</v>
      </c>
      <c r="D57" s="413">
        <v>99862</v>
      </c>
      <c r="E57" s="413">
        <v>2000313</v>
      </c>
      <c r="F57" s="414">
        <v>1600</v>
      </c>
      <c r="G57" s="415">
        <v>19.559999999999999</v>
      </c>
      <c r="H57" s="401">
        <v>0.5</v>
      </c>
      <c r="I57" s="416">
        <v>10</v>
      </c>
      <c r="J57" s="417">
        <v>0</v>
      </c>
      <c r="K57" s="417">
        <f>0.000315/2</f>
        <v>1.5750000000000001E-4</v>
      </c>
      <c r="L57" s="418">
        <v>10</v>
      </c>
      <c r="M57" s="419">
        <v>0</v>
      </c>
      <c r="N57" s="419">
        <v>5.0000000000000004E-6</v>
      </c>
      <c r="O57" s="420">
        <v>10</v>
      </c>
      <c r="P57" s="410"/>
      <c r="Q57" s="410"/>
      <c r="R57" s="410"/>
    </row>
    <row r="58" spans="1:18">
      <c r="A58" s="411" t="s">
        <v>492</v>
      </c>
      <c r="B58" s="396">
        <v>53</v>
      </c>
      <c r="C58" s="412" t="s">
        <v>71</v>
      </c>
      <c r="D58" s="413">
        <v>30</v>
      </c>
      <c r="E58" s="413">
        <v>10</v>
      </c>
      <c r="F58" s="414">
        <v>53</v>
      </c>
      <c r="G58" s="415">
        <v>19.549999999999997</v>
      </c>
      <c r="H58" s="401">
        <v>0.5</v>
      </c>
      <c r="I58" s="416">
        <v>10</v>
      </c>
      <c r="J58" s="417">
        <v>0</v>
      </c>
      <c r="K58" s="417">
        <v>0</v>
      </c>
      <c r="L58" s="418">
        <v>10</v>
      </c>
      <c r="M58" s="419">
        <v>0</v>
      </c>
      <c r="N58" s="419">
        <v>0</v>
      </c>
      <c r="O58" s="420">
        <v>10</v>
      </c>
      <c r="P58" s="410"/>
      <c r="Q58" s="410"/>
      <c r="R58" s="410"/>
    </row>
    <row r="59" spans="1:18">
      <c r="A59" s="411" t="s">
        <v>492</v>
      </c>
      <c r="B59" s="396">
        <v>400</v>
      </c>
      <c r="C59" s="412" t="s">
        <v>71</v>
      </c>
      <c r="D59" s="413">
        <v>6</v>
      </c>
      <c r="E59" s="413">
        <v>15</v>
      </c>
      <c r="F59" s="414">
        <v>400</v>
      </c>
      <c r="G59" s="415">
        <v>19.549999999999997</v>
      </c>
      <c r="H59" s="401">
        <v>0.5</v>
      </c>
      <c r="I59" s="416">
        <v>10</v>
      </c>
      <c r="J59" s="417">
        <v>0</v>
      </c>
      <c r="K59" s="417">
        <v>0</v>
      </c>
      <c r="L59" s="418">
        <v>10</v>
      </c>
      <c r="M59" s="419">
        <v>0</v>
      </c>
      <c r="N59" s="419">
        <v>0</v>
      </c>
      <c r="O59" s="420">
        <v>10</v>
      </c>
      <c r="P59" s="410"/>
      <c r="Q59" s="410"/>
      <c r="R59" s="410"/>
    </row>
    <row r="60" spans="1:18">
      <c r="A60" s="411" t="s">
        <v>492</v>
      </c>
      <c r="B60" s="396">
        <v>1000</v>
      </c>
      <c r="C60" s="412" t="s">
        <v>71</v>
      </c>
      <c r="D60" s="413">
        <v>6</v>
      </c>
      <c r="E60" s="413">
        <v>16</v>
      </c>
      <c r="F60" s="414">
        <v>1000</v>
      </c>
      <c r="G60" s="415">
        <v>19.529999999999998</v>
      </c>
      <c r="H60" s="401">
        <v>0.5</v>
      </c>
      <c r="I60" s="416">
        <v>10</v>
      </c>
      <c r="J60" s="417">
        <v>0</v>
      </c>
      <c r="K60" s="417">
        <v>0</v>
      </c>
      <c r="L60" s="418">
        <v>10</v>
      </c>
      <c r="M60" s="419">
        <v>0</v>
      </c>
      <c r="N60" s="419">
        <v>0</v>
      </c>
      <c r="O60" s="420">
        <v>10</v>
      </c>
      <c r="P60" s="410"/>
      <c r="Q60" s="410"/>
      <c r="R60" s="410"/>
    </row>
    <row r="61" spans="1:18">
      <c r="A61" s="411" t="s">
        <v>334</v>
      </c>
      <c r="B61" s="396">
        <v>53</v>
      </c>
      <c r="C61" s="412" t="s">
        <v>71</v>
      </c>
      <c r="D61" s="413">
        <v>30</v>
      </c>
      <c r="E61" s="413">
        <v>10</v>
      </c>
      <c r="F61" s="414">
        <v>53</v>
      </c>
      <c r="G61" s="415">
        <v>19.549999999999997</v>
      </c>
      <c r="H61" s="401">
        <v>0.5</v>
      </c>
      <c r="I61" s="416">
        <v>10</v>
      </c>
      <c r="J61" s="417">
        <v>0</v>
      </c>
      <c r="K61" s="417">
        <v>0</v>
      </c>
      <c r="L61" s="418">
        <v>10</v>
      </c>
      <c r="M61" s="419">
        <v>0</v>
      </c>
      <c r="N61" s="419">
        <v>0</v>
      </c>
      <c r="O61" s="420">
        <v>10</v>
      </c>
      <c r="P61" s="410"/>
      <c r="Q61" s="410"/>
      <c r="R61" s="410"/>
    </row>
    <row r="62" spans="1:18">
      <c r="A62" s="411" t="s">
        <v>335</v>
      </c>
      <c r="B62" s="396">
        <v>400</v>
      </c>
      <c r="C62" s="412" t="s">
        <v>71</v>
      </c>
      <c r="D62" s="413">
        <v>7</v>
      </c>
      <c r="E62" s="413">
        <v>15</v>
      </c>
      <c r="F62" s="414">
        <v>400</v>
      </c>
      <c r="G62" s="415">
        <v>19.54</v>
      </c>
      <c r="H62" s="401">
        <v>0.5</v>
      </c>
      <c r="I62" s="416">
        <v>10</v>
      </c>
      <c r="J62" s="417">
        <v>0</v>
      </c>
      <c r="K62" s="417">
        <v>0</v>
      </c>
      <c r="L62" s="418">
        <v>10</v>
      </c>
      <c r="M62" s="419">
        <v>0</v>
      </c>
      <c r="N62" s="419">
        <v>0</v>
      </c>
      <c r="O62" s="420">
        <v>10</v>
      </c>
      <c r="P62" s="410"/>
      <c r="Q62" s="410"/>
      <c r="R62" s="410"/>
    </row>
    <row r="63" spans="1:18">
      <c r="A63" s="411" t="s">
        <v>336</v>
      </c>
      <c r="B63" s="396">
        <v>1000</v>
      </c>
      <c r="C63" s="412" t="s">
        <v>71</v>
      </c>
      <c r="D63" s="413">
        <v>6</v>
      </c>
      <c r="E63" s="413">
        <v>16</v>
      </c>
      <c r="F63" s="414">
        <v>1000</v>
      </c>
      <c r="G63" s="415">
        <v>19.529999999999998</v>
      </c>
      <c r="H63" s="401">
        <v>0.5</v>
      </c>
      <c r="I63" s="416">
        <v>10</v>
      </c>
      <c r="J63" s="417">
        <v>0</v>
      </c>
      <c r="K63" s="417">
        <v>0</v>
      </c>
      <c r="L63" s="418">
        <v>10</v>
      </c>
      <c r="M63" s="419">
        <v>0</v>
      </c>
      <c r="N63" s="419">
        <v>0</v>
      </c>
      <c r="O63" s="420">
        <v>10</v>
      </c>
      <c r="P63" s="410"/>
      <c r="Q63" s="410"/>
      <c r="R63" s="4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7B16-F7DA-4FB4-8450-D5CEF54AA0ED}">
  <dimension ref="A1:AJ56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2" sqref="A2:W56"/>
    </sheetView>
  </sheetViews>
  <sheetFormatPr defaultRowHeight="12.75"/>
  <cols>
    <col min="1" max="1" width="18.5703125" customWidth="1"/>
    <col min="25" max="25" width="10.42578125" customWidth="1"/>
    <col min="26" max="26" width="16.42578125" customWidth="1"/>
    <col min="27" max="27" width="9.28515625" customWidth="1"/>
    <col min="28" max="28" width="13.28515625" customWidth="1"/>
    <col min="29" max="29" width="11" customWidth="1"/>
    <col min="31" max="31" width="12.7109375" customWidth="1"/>
  </cols>
  <sheetData>
    <row r="1" spans="1:35">
      <c r="A1" s="424" t="s">
        <v>278</v>
      </c>
      <c r="B1" s="424" t="s">
        <v>3</v>
      </c>
      <c r="C1" s="424" t="s">
        <v>0</v>
      </c>
      <c r="D1" s="424" t="s">
        <v>494</v>
      </c>
      <c r="E1" s="424" t="s">
        <v>495</v>
      </c>
      <c r="F1" s="424" t="s">
        <v>496</v>
      </c>
      <c r="G1" s="424" t="s">
        <v>497</v>
      </c>
      <c r="H1" s="424" t="s">
        <v>498</v>
      </c>
      <c r="I1" s="424" t="s">
        <v>499</v>
      </c>
      <c r="J1" s="424" t="s">
        <v>500</v>
      </c>
      <c r="K1" s="424" t="s">
        <v>501</v>
      </c>
      <c r="L1" s="424" t="s">
        <v>502</v>
      </c>
      <c r="M1" s="424" t="s">
        <v>503</v>
      </c>
      <c r="N1" s="424" t="s">
        <v>504</v>
      </c>
      <c r="O1" s="424" t="s">
        <v>505</v>
      </c>
      <c r="P1" s="424" t="s">
        <v>506</v>
      </c>
      <c r="Q1" s="424" t="s">
        <v>507</v>
      </c>
      <c r="R1" s="424" t="s">
        <v>508</v>
      </c>
      <c r="S1" s="424" t="s">
        <v>509</v>
      </c>
      <c r="T1" s="424" t="s">
        <v>510</v>
      </c>
      <c r="U1" s="424" t="s">
        <v>511</v>
      </c>
      <c r="V1" s="424" t="s">
        <v>512</v>
      </c>
      <c r="W1" s="424" t="s">
        <v>513</v>
      </c>
      <c r="X1" s="424" t="s">
        <v>514</v>
      </c>
      <c r="Y1" s="424" t="s">
        <v>515</v>
      </c>
      <c r="Z1" s="425" t="s">
        <v>516</v>
      </c>
      <c r="AA1" s="425" t="s">
        <v>517</v>
      </c>
      <c r="AB1" s="425" t="s">
        <v>404</v>
      </c>
      <c r="AC1" s="425" t="s">
        <v>518</v>
      </c>
      <c r="AD1" s="425" t="s">
        <v>94</v>
      </c>
      <c r="AE1" s="425" t="s">
        <v>519</v>
      </c>
      <c r="AF1" s="425" t="s">
        <v>403</v>
      </c>
      <c r="AG1" s="425" t="s">
        <v>520</v>
      </c>
      <c r="AH1" s="425" t="s">
        <v>94</v>
      </c>
      <c r="AI1" s="425" t="s">
        <v>521</v>
      </c>
    </row>
    <row r="2" spans="1:35">
      <c r="A2" t="s">
        <v>293</v>
      </c>
      <c r="B2">
        <v>53</v>
      </c>
      <c r="C2" t="s">
        <v>60</v>
      </c>
      <c r="D2">
        <v>90</v>
      </c>
      <c r="E2">
        <v>38290</v>
      </c>
      <c r="F2">
        <v>53</v>
      </c>
      <c r="G2">
        <v>19.71</v>
      </c>
      <c r="H2">
        <v>0.5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1.000213508969271E-9</v>
      </c>
      <c r="Q2">
        <v>3.954323265624559E-9</v>
      </c>
      <c r="R2">
        <v>2.0844826016396061</v>
      </c>
      <c r="S2">
        <v>3.8312754524489631E-3</v>
      </c>
      <c r="T2">
        <v>4.7926629583172747E-5</v>
      </c>
      <c r="U2">
        <v>2.0256356271261859</v>
      </c>
      <c r="V2">
        <v>3.7735868506581382E-9</v>
      </c>
      <c r="W2">
        <v>3.7735887148039997E-5</v>
      </c>
      <c r="X2" s="426">
        <f t="shared" ref="X2:X23" si="0">Q2/V2</f>
        <v>1.047895125279785</v>
      </c>
      <c r="Y2" s="426">
        <f t="shared" ref="Y2:Y23" si="1">T2/W2</f>
        <v>1.2700544019318771</v>
      </c>
      <c r="Z2" s="427" t="str">
        <f t="shared" ref="Z2:Z23" si="2">A2&amp;B2</f>
        <v>53_0 ohm53</v>
      </c>
      <c r="AA2" s="428">
        <v>1000</v>
      </c>
      <c r="AB2" s="429">
        <f t="shared" ref="AB2:AB23" si="3">AA2*S2</f>
        <v>3.8312754524489629</v>
      </c>
      <c r="AC2" s="430">
        <f t="shared" ref="AC2:AC23" si="4">AA2*T2</f>
        <v>4.7926629583172745E-2</v>
      </c>
      <c r="AD2" s="431">
        <f t="shared" ref="AD2:AD23" si="5">U2</f>
        <v>2.0256356271261859</v>
      </c>
      <c r="AE2" s="428">
        <v>1000000</v>
      </c>
      <c r="AF2" s="428">
        <f t="shared" ref="AF2:AF23" si="6">AE2*P2</f>
        <v>1.000213508969271E-3</v>
      </c>
      <c r="AG2" s="431">
        <f t="shared" ref="AG2:AG23" si="7">AE2*Q2</f>
        <v>3.9543232656245588E-3</v>
      </c>
      <c r="AH2" s="432">
        <f>R2</f>
        <v>2.0844826016396061</v>
      </c>
      <c r="AI2" s="432">
        <f>B2</f>
        <v>53</v>
      </c>
    </row>
    <row r="3" spans="1:35">
      <c r="A3" t="s">
        <v>294</v>
      </c>
      <c r="B3">
        <v>400</v>
      </c>
      <c r="C3" t="s">
        <v>60</v>
      </c>
      <c r="D3">
        <v>70</v>
      </c>
      <c r="E3">
        <v>38261</v>
      </c>
      <c r="F3">
        <v>400</v>
      </c>
      <c r="G3">
        <v>19.75</v>
      </c>
      <c r="H3">
        <v>0.5</v>
      </c>
      <c r="I3">
        <v>10</v>
      </c>
      <c r="J3">
        <v>0</v>
      </c>
      <c r="K3">
        <v>0</v>
      </c>
      <c r="L3">
        <v>10</v>
      </c>
      <c r="M3">
        <v>0</v>
      </c>
      <c r="N3">
        <v>0</v>
      </c>
      <c r="O3">
        <v>10</v>
      </c>
      <c r="P3">
        <v>8.1017294226510888E-9</v>
      </c>
      <c r="Q3">
        <v>9.6690027422434315E-10</v>
      </c>
      <c r="R3">
        <v>2.0639772577964379</v>
      </c>
      <c r="S3">
        <v>3.826275092944332E-3</v>
      </c>
      <c r="T3">
        <v>3.0723601630379627E-5</v>
      </c>
      <c r="U3">
        <v>2.0621839600554539</v>
      </c>
      <c r="V3">
        <v>5.0001465053987012E-10</v>
      </c>
      <c r="W3">
        <v>5.000287007253186E-6</v>
      </c>
      <c r="X3" s="426">
        <f t="shared" si="0"/>
        <v>1.9337438876648365</v>
      </c>
      <c r="Y3" s="426">
        <f t="shared" si="1"/>
        <v>6.1443676304606889</v>
      </c>
      <c r="Z3" s="427" t="str">
        <f t="shared" si="2"/>
        <v>400_0 ohm400</v>
      </c>
      <c r="AA3" s="428">
        <v>1000</v>
      </c>
      <c r="AB3" s="429">
        <f t="shared" si="3"/>
        <v>3.8262750929443321</v>
      </c>
      <c r="AC3" s="430">
        <f t="shared" si="4"/>
        <v>3.0723601630379627E-2</v>
      </c>
      <c r="AD3" s="431">
        <f t="shared" si="5"/>
        <v>2.0621839600554539</v>
      </c>
      <c r="AE3" s="428">
        <v>1000000</v>
      </c>
      <c r="AF3" s="428">
        <f t="shared" si="6"/>
        <v>8.1017294226510897E-3</v>
      </c>
      <c r="AG3" s="431">
        <f t="shared" si="7"/>
        <v>9.6690027422434313E-4</v>
      </c>
      <c r="AH3" s="432">
        <f t="shared" ref="AH3:AH23" si="8">R3</f>
        <v>2.0639772577964379</v>
      </c>
      <c r="AI3" s="432">
        <f t="shared" ref="AI3:AI23" si="9">B3</f>
        <v>400</v>
      </c>
    </row>
    <row r="4" spans="1:35">
      <c r="A4" t="s">
        <v>295</v>
      </c>
      <c r="B4">
        <v>1000</v>
      </c>
      <c r="C4" t="s">
        <v>60</v>
      </c>
      <c r="D4">
        <v>65</v>
      </c>
      <c r="E4">
        <v>38470</v>
      </c>
      <c r="F4">
        <v>1000</v>
      </c>
      <c r="G4">
        <v>19.75</v>
      </c>
      <c r="H4">
        <v>0.5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7.8016653699603059E-9</v>
      </c>
      <c r="Q4">
        <v>5.5305014890525925E-10</v>
      </c>
      <c r="R4">
        <v>2.0342918506699772</v>
      </c>
      <c r="S4">
        <v>3.847276602863786E-3</v>
      </c>
      <c r="T4">
        <v>2.9909259482197859E-5</v>
      </c>
      <c r="U4">
        <v>2.0767479097054098</v>
      </c>
      <c r="V4">
        <v>2.0003702112807881E-10</v>
      </c>
      <c r="W4">
        <v>2.0007252494990881E-6</v>
      </c>
      <c r="X4" s="426">
        <f t="shared" si="0"/>
        <v>2.7647389757476684</v>
      </c>
      <c r="Y4" s="426">
        <f t="shared" si="1"/>
        <v>14.949208788006297</v>
      </c>
      <c r="Z4" s="427" t="str">
        <f t="shared" si="2"/>
        <v>1000_0 ohm1000</v>
      </c>
      <c r="AA4" s="428">
        <v>1000</v>
      </c>
      <c r="AB4" s="429">
        <f t="shared" si="3"/>
        <v>3.8472766028637859</v>
      </c>
      <c r="AC4" s="430">
        <f t="shared" si="4"/>
        <v>2.9909259482197859E-2</v>
      </c>
      <c r="AD4" s="431">
        <f t="shared" si="5"/>
        <v>2.0767479097054098</v>
      </c>
      <c r="AE4" s="428">
        <v>1000000</v>
      </c>
      <c r="AF4" s="428">
        <f t="shared" si="6"/>
        <v>7.8016653699603056E-3</v>
      </c>
      <c r="AG4" s="431">
        <f t="shared" si="7"/>
        <v>5.5305014890525924E-4</v>
      </c>
      <c r="AH4" s="432">
        <f t="shared" si="8"/>
        <v>2.0342918506699772</v>
      </c>
      <c r="AI4" s="432">
        <f t="shared" si="9"/>
        <v>1000</v>
      </c>
    </row>
    <row r="5" spans="1:35">
      <c r="A5" t="s">
        <v>296</v>
      </c>
      <c r="B5">
        <v>53</v>
      </c>
      <c r="C5" t="s">
        <v>60</v>
      </c>
      <c r="D5">
        <v>40</v>
      </c>
      <c r="E5">
        <v>10</v>
      </c>
      <c r="F5">
        <v>53</v>
      </c>
      <c r="G5">
        <v>19.7</v>
      </c>
      <c r="H5">
        <v>0.5</v>
      </c>
      <c r="I5">
        <v>10</v>
      </c>
      <c r="J5">
        <v>0</v>
      </c>
      <c r="K5">
        <v>0</v>
      </c>
      <c r="L5">
        <v>10</v>
      </c>
      <c r="M5">
        <v>0</v>
      </c>
      <c r="N5">
        <v>0</v>
      </c>
      <c r="O5">
        <v>10</v>
      </c>
      <c r="P5">
        <v>-4.0008540358770809E-9</v>
      </c>
      <c r="Q5">
        <v>3.9543060504362833E-9</v>
      </c>
      <c r="R5">
        <v>2.0844856821525162</v>
      </c>
      <c r="S5">
        <v>3.0002157027791408E-6</v>
      </c>
      <c r="T5">
        <v>4.792650849551333E-5</v>
      </c>
      <c r="U5">
        <v>2.0256364182466209</v>
      </c>
      <c r="V5">
        <v>3.773584906076207E-9</v>
      </c>
      <c r="W5">
        <v>3.7735849058727281E-5</v>
      </c>
      <c r="X5" s="426">
        <f t="shared" si="0"/>
        <v>1.0478911032501428</v>
      </c>
      <c r="Y5" s="426">
        <f t="shared" si="1"/>
        <v>1.2700524750596336</v>
      </c>
      <c r="Z5" s="427" t="str">
        <f t="shared" si="2"/>
        <v>53_Short53</v>
      </c>
      <c r="AA5" s="428">
        <v>1000</v>
      </c>
      <c r="AB5" s="429">
        <f t="shared" si="3"/>
        <v>3.000215702779141E-3</v>
      </c>
      <c r="AC5" s="430">
        <f t="shared" si="4"/>
        <v>4.7926508495513331E-2</v>
      </c>
      <c r="AD5" s="431">
        <f t="shared" si="5"/>
        <v>2.0256364182466209</v>
      </c>
      <c r="AE5" s="428">
        <v>1000000</v>
      </c>
      <c r="AF5" s="428">
        <f t="shared" si="6"/>
        <v>-4.0008540358770807E-3</v>
      </c>
      <c r="AG5" s="431">
        <f t="shared" si="7"/>
        <v>3.9543060504362831E-3</v>
      </c>
      <c r="AH5" s="432">
        <f t="shared" si="8"/>
        <v>2.0844856821525162</v>
      </c>
      <c r="AI5" s="432">
        <f t="shared" si="9"/>
        <v>53</v>
      </c>
    </row>
    <row r="6" spans="1:35">
      <c r="A6" t="s">
        <v>297</v>
      </c>
      <c r="B6">
        <v>400</v>
      </c>
      <c r="C6" t="s">
        <v>60</v>
      </c>
      <c r="D6">
        <v>-10</v>
      </c>
      <c r="E6">
        <v>11</v>
      </c>
      <c r="F6">
        <v>400</v>
      </c>
      <c r="G6">
        <v>19.75</v>
      </c>
      <c r="H6">
        <v>0.5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1.000213508969271E-10</v>
      </c>
      <c r="Q6">
        <v>9.6682755143370367E-10</v>
      </c>
      <c r="R6">
        <v>2.0640189812574721</v>
      </c>
      <c r="S6">
        <v>1.000071900926381E-6</v>
      </c>
      <c r="T6">
        <v>3.072342312642906E-5</v>
      </c>
      <c r="U6">
        <v>2.0621871103868461</v>
      </c>
      <c r="V6">
        <v>5.0000000019729388E-10</v>
      </c>
      <c r="W6">
        <v>5.0000000010241471E-6</v>
      </c>
      <c r="X6" s="426">
        <f t="shared" si="0"/>
        <v>1.9336551021044106</v>
      </c>
      <c r="Y6" s="426">
        <f t="shared" si="1"/>
        <v>6.1446846240271995</v>
      </c>
      <c r="Z6" s="427" t="str">
        <f t="shared" si="2"/>
        <v>400_Short400</v>
      </c>
      <c r="AA6" s="428">
        <v>1000</v>
      </c>
      <c r="AB6" s="429">
        <f t="shared" si="3"/>
        <v>1.000071900926381E-3</v>
      </c>
      <c r="AC6" s="430">
        <f t="shared" si="4"/>
        <v>3.0723423126429061E-2</v>
      </c>
      <c r="AD6" s="431">
        <f t="shared" si="5"/>
        <v>2.0621871103868461</v>
      </c>
      <c r="AE6" s="428">
        <v>1000000</v>
      </c>
      <c r="AF6" s="428">
        <f t="shared" si="6"/>
        <v>1.000213508969271E-4</v>
      </c>
      <c r="AG6" s="431">
        <f t="shared" si="7"/>
        <v>9.6682755143370368E-4</v>
      </c>
      <c r="AH6" s="432">
        <f t="shared" si="8"/>
        <v>2.0640189812574721</v>
      </c>
      <c r="AI6" s="432">
        <f t="shared" si="9"/>
        <v>400</v>
      </c>
    </row>
    <row r="7" spans="1:35">
      <c r="A7" t="s">
        <v>298</v>
      </c>
      <c r="B7">
        <v>1000</v>
      </c>
      <c r="C7" t="s">
        <v>60</v>
      </c>
      <c r="D7">
        <v>-15</v>
      </c>
      <c r="E7">
        <v>-50</v>
      </c>
      <c r="F7">
        <v>1000</v>
      </c>
      <c r="G7">
        <v>19.73</v>
      </c>
      <c r="H7">
        <v>0.5</v>
      </c>
      <c r="I7">
        <v>10</v>
      </c>
      <c r="J7">
        <v>0</v>
      </c>
      <c r="K7">
        <v>0</v>
      </c>
      <c r="L7">
        <v>10</v>
      </c>
      <c r="M7">
        <v>0</v>
      </c>
      <c r="N7">
        <v>0</v>
      </c>
      <c r="O7">
        <v>10</v>
      </c>
      <c r="P7">
        <v>-2.0004270179385399E-10</v>
      </c>
      <c r="Q7">
        <v>5.529157028416099E-10</v>
      </c>
      <c r="R7">
        <v>2.0343801270800039</v>
      </c>
      <c r="S7">
        <v>-5.0003595046319019E-6</v>
      </c>
      <c r="T7">
        <v>2.9909078475143109E-5</v>
      </c>
      <c r="U7">
        <v>2.0767518297916681</v>
      </c>
      <c r="V7">
        <v>2.0000000116547981E-10</v>
      </c>
      <c r="W7">
        <v>2.000000006852579E-6</v>
      </c>
      <c r="X7" s="426">
        <f t="shared" si="0"/>
        <v>2.7645784980977473</v>
      </c>
      <c r="Y7" s="426">
        <f t="shared" si="1"/>
        <v>14.954539186332974</v>
      </c>
      <c r="Z7" s="427" t="str">
        <f t="shared" si="2"/>
        <v>1000_Short1000</v>
      </c>
      <c r="AA7" s="428">
        <v>1000</v>
      </c>
      <c r="AB7" s="429">
        <f t="shared" si="3"/>
        <v>-5.0003595046319016E-3</v>
      </c>
      <c r="AC7" s="430">
        <f t="shared" si="4"/>
        <v>2.9909078475143108E-2</v>
      </c>
      <c r="AD7" s="431">
        <f t="shared" si="5"/>
        <v>2.0767518297916681</v>
      </c>
      <c r="AE7" s="428">
        <v>1000000</v>
      </c>
      <c r="AF7" s="428">
        <f t="shared" si="6"/>
        <v>-2.0004270179385398E-4</v>
      </c>
      <c r="AG7" s="431">
        <f t="shared" si="7"/>
        <v>5.5291570284160985E-4</v>
      </c>
      <c r="AH7" s="432">
        <f t="shared" si="8"/>
        <v>2.0343801270800039</v>
      </c>
      <c r="AI7" s="432">
        <f t="shared" si="9"/>
        <v>1000</v>
      </c>
    </row>
    <row r="8" spans="1:35">
      <c r="A8" t="s">
        <v>492</v>
      </c>
      <c r="B8">
        <v>53</v>
      </c>
      <c r="C8" t="s">
        <v>60</v>
      </c>
      <c r="D8">
        <v>80</v>
      </c>
      <c r="E8">
        <v>-20</v>
      </c>
      <c r="F8">
        <v>53</v>
      </c>
      <c r="G8">
        <v>19.670000000000002</v>
      </c>
      <c r="H8">
        <v>0.5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3.7735849073236971E-9</v>
      </c>
      <c r="W8">
        <v>3.7735849065097788E-5</v>
      </c>
      <c r="X8" s="426">
        <f t="shared" si="0"/>
        <v>0</v>
      </c>
      <c r="Y8" s="426">
        <f t="shared" si="1"/>
        <v>0</v>
      </c>
      <c r="Z8" s="427" t="str">
        <f t="shared" si="2"/>
        <v>coax zero53</v>
      </c>
      <c r="AA8" s="428">
        <v>1</v>
      </c>
      <c r="AB8" s="429">
        <f t="shared" si="3"/>
        <v>0</v>
      </c>
      <c r="AC8" s="430">
        <f t="shared" si="4"/>
        <v>0</v>
      </c>
      <c r="AD8" s="431">
        <f t="shared" si="5"/>
        <v>0</v>
      </c>
      <c r="AE8" s="428">
        <v>1000000</v>
      </c>
      <c r="AF8" s="428">
        <f t="shared" si="6"/>
        <v>0</v>
      </c>
      <c r="AG8" s="431">
        <f t="shared" si="7"/>
        <v>0</v>
      </c>
      <c r="AH8" s="432">
        <f t="shared" si="8"/>
        <v>0</v>
      </c>
      <c r="AI8" s="432">
        <f t="shared" si="9"/>
        <v>53</v>
      </c>
    </row>
    <row r="9" spans="1:35">
      <c r="A9" t="s">
        <v>492</v>
      </c>
      <c r="B9">
        <v>400</v>
      </c>
      <c r="C9" t="s">
        <v>60</v>
      </c>
      <c r="D9">
        <v>-11</v>
      </c>
      <c r="E9">
        <v>1</v>
      </c>
      <c r="F9">
        <v>400</v>
      </c>
      <c r="G9">
        <v>19.760000000000002</v>
      </c>
      <c r="H9">
        <v>0.5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5.0000000023727121E-10</v>
      </c>
      <c r="W9">
        <v>5.0000000012107137E-6</v>
      </c>
      <c r="X9" s="426">
        <f t="shared" si="0"/>
        <v>0</v>
      </c>
      <c r="Y9" s="426">
        <f t="shared" si="1"/>
        <v>0</v>
      </c>
      <c r="Z9" s="427" t="str">
        <f t="shared" si="2"/>
        <v>coax zero400</v>
      </c>
      <c r="AA9" s="428">
        <v>1</v>
      </c>
      <c r="AB9" s="429">
        <f t="shared" si="3"/>
        <v>0</v>
      </c>
      <c r="AC9" s="430">
        <f t="shared" si="4"/>
        <v>0</v>
      </c>
      <c r="AD9" s="431">
        <f t="shared" si="5"/>
        <v>0</v>
      </c>
      <c r="AE9" s="428">
        <v>1000000</v>
      </c>
      <c r="AF9" s="428">
        <f t="shared" si="6"/>
        <v>0</v>
      </c>
      <c r="AG9" s="431">
        <f t="shared" si="7"/>
        <v>0</v>
      </c>
      <c r="AH9" s="432">
        <f t="shared" si="8"/>
        <v>0</v>
      </c>
      <c r="AI9" s="432">
        <f t="shared" si="9"/>
        <v>400</v>
      </c>
    </row>
    <row r="10" spans="1:35">
      <c r="A10" t="s">
        <v>492</v>
      </c>
      <c r="B10">
        <v>1000</v>
      </c>
      <c r="C10" t="s">
        <v>60</v>
      </c>
      <c r="D10">
        <v>-13</v>
      </c>
      <c r="E10">
        <v>0</v>
      </c>
      <c r="F10">
        <v>1000</v>
      </c>
      <c r="G10">
        <v>19.760000000000002</v>
      </c>
      <c r="H10">
        <v>0.5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2.000000008284536E-10</v>
      </c>
      <c r="W10">
        <v>2.000000004226804E-6</v>
      </c>
      <c r="X10" s="426">
        <f t="shared" si="0"/>
        <v>0</v>
      </c>
      <c r="Y10" s="426">
        <f t="shared" si="1"/>
        <v>0</v>
      </c>
      <c r="Z10" s="427" t="str">
        <f t="shared" si="2"/>
        <v>coax zero1000</v>
      </c>
      <c r="AA10" s="428">
        <v>1</v>
      </c>
      <c r="AB10" s="429">
        <f t="shared" si="3"/>
        <v>0</v>
      </c>
      <c r="AC10" s="430">
        <f t="shared" si="4"/>
        <v>0</v>
      </c>
      <c r="AD10" s="431">
        <f t="shared" si="5"/>
        <v>0</v>
      </c>
      <c r="AE10" s="428">
        <v>1000000</v>
      </c>
      <c r="AF10" s="428">
        <f t="shared" si="6"/>
        <v>0</v>
      </c>
      <c r="AG10" s="431">
        <f t="shared" si="7"/>
        <v>0</v>
      </c>
      <c r="AH10" s="432">
        <f t="shared" si="8"/>
        <v>0</v>
      </c>
      <c r="AI10" s="432">
        <f t="shared" si="9"/>
        <v>1000</v>
      </c>
    </row>
    <row r="11" spans="1:35">
      <c r="A11" t="s">
        <v>302</v>
      </c>
      <c r="B11">
        <v>53</v>
      </c>
      <c r="C11" t="s">
        <v>60</v>
      </c>
      <c r="D11">
        <v>180</v>
      </c>
      <c r="E11">
        <v>1050700</v>
      </c>
      <c r="F11">
        <v>53</v>
      </c>
      <c r="G11">
        <v>19.72</v>
      </c>
      <c r="H11">
        <v>0.5</v>
      </c>
      <c r="I11">
        <v>10</v>
      </c>
      <c r="J11">
        <v>0</v>
      </c>
      <c r="K11">
        <v>0</v>
      </c>
      <c r="L11">
        <v>10</v>
      </c>
      <c r="M11">
        <v>0</v>
      </c>
      <c r="N11">
        <v>5.0000000000000002E-5</v>
      </c>
      <c r="O11">
        <v>10</v>
      </c>
      <c r="P11">
        <v>1.00021350896927E-8</v>
      </c>
      <c r="Q11">
        <v>3.9673001960759633E-9</v>
      </c>
      <c r="R11">
        <v>2.0822208194299621</v>
      </c>
      <c r="S11">
        <v>0.10507955477413659</v>
      </c>
      <c r="T11">
        <v>4.8598534414224507E-5</v>
      </c>
      <c r="U11">
        <v>2.0215359732532669</v>
      </c>
      <c r="V11">
        <v>3.7750476018516696E-9</v>
      </c>
      <c r="W11">
        <v>3.7764512450071932E-5</v>
      </c>
      <c r="X11" s="426">
        <f t="shared" si="0"/>
        <v>1.0509271973497747</v>
      </c>
      <c r="Y11" s="426">
        <f t="shared" si="1"/>
        <v>1.2868836709722156</v>
      </c>
      <c r="Z11" s="427" t="str">
        <f t="shared" si="2"/>
        <v>53_0.1 ohm53</v>
      </c>
      <c r="AA11" s="428">
        <v>1</v>
      </c>
      <c r="AB11" s="429">
        <f t="shared" si="3"/>
        <v>0.10507955477413659</v>
      </c>
      <c r="AC11" s="430">
        <f t="shared" si="4"/>
        <v>4.8598534414224507E-5</v>
      </c>
      <c r="AD11" s="431">
        <f t="shared" si="5"/>
        <v>2.0215359732532669</v>
      </c>
      <c r="AE11" s="428">
        <v>1000000</v>
      </c>
      <c r="AF11" s="428">
        <f t="shared" si="6"/>
        <v>1.00021350896927E-2</v>
      </c>
      <c r="AG11" s="431">
        <f t="shared" si="7"/>
        <v>3.9673001960759636E-3</v>
      </c>
      <c r="AH11" s="432">
        <f t="shared" si="8"/>
        <v>2.0822208194299621</v>
      </c>
      <c r="AI11" s="432">
        <f t="shared" si="9"/>
        <v>53</v>
      </c>
    </row>
    <row r="12" spans="1:35">
      <c r="A12" t="s">
        <v>343</v>
      </c>
      <c r="B12">
        <v>400</v>
      </c>
      <c r="C12" t="s">
        <v>60</v>
      </c>
      <c r="D12">
        <v>62</v>
      </c>
      <c r="E12">
        <v>1051191</v>
      </c>
      <c r="F12">
        <v>400</v>
      </c>
      <c r="G12">
        <v>19.739999999999998</v>
      </c>
      <c r="H12">
        <v>0.5</v>
      </c>
      <c r="I12">
        <v>10</v>
      </c>
      <c r="J12">
        <v>0</v>
      </c>
      <c r="K12">
        <v>0</v>
      </c>
      <c r="L12">
        <v>10</v>
      </c>
      <c r="M12">
        <v>0</v>
      </c>
      <c r="N12">
        <v>5.0000000000000002E-5</v>
      </c>
      <c r="O12">
        <v>10</v>
      </c>
      <c r="P12">
        <v>7.3015586154756722E-9</v>
      </c>
      <c r="Q12">
        <v>1.023374502499383E-9</v>
      </c>
      <c r="R12">
        <v>2.0425870768945469</v>
      </c>
      <c r="S12">
        <v>0.1051265581534802</v>
      </c>
      <c r="T12">
        <v>3.1706362178969173E-5</v>
      </c>
      <c r="U12">
        <v>2.0473657398634031</v>
      </c>
      <c r="V12">
        <v>5.1093211074807971E-10</v>
      </c>
      <c r="W12">
        <v>5.2121125063400277E-6</v>
      </c>
      <c r="X12" s="426">
        <f t="shared" si="0"/>
        <v>2.0029559328361888</v>
      </c>
      <c r="Y12" s="426">
        <f t="shared" si="1"/>
        <v>6.0832075555547718</v>
      </c>
      <c r="Z12" s="427" t="str">
        <f t="shared" si="2"/>
        <v>400_0.1 ohm400</v>
      </c>
      <c r="AA12" s="428">
        <v>1</v>
      </c>
      <c r="AB12" s="429">
        <f t="shared" si="3"/>
        <v>0.1051265581534802</v>
      </c>
      <c r="AC12" s="430">
        <f t="shared" si="4"/>
        <v>3.1706362178969173E-5</v>
      </c>
      <c r="AD12" s="431">
        <f t="shared" si="5"/>
        <v>2.0473657398634031</v>
      </c>
      <c r="AE12" s="428">
        <v>1000000</v>
      </c>
      <c r="AF12" s="428">
        <f t="shared" si="6"/>
        <v>7.3015586154756718E-3</v>
      </c>
      <c r="AG12" s="431">
        <f t="shared" si="7"/>
        <v>1.0233745024993831E-3</v>
      </c>
      <c r="AH12" s="432">
        <f t="shared" si="8"/>
        <v>2.0425870768945469</v>
      </c>
      <c r="AI12" s="432">
        <f t="shared" si="9"/>
        <v>400</v>
      </c>
    </row>
    <row r="13" spans="1:35">
      <c r="A13" t="s">
        <v>303</v>
      </c>
      <c r="B13">
        <v>1000</v>
      </c>
      <c r="C13" t="s">
        <v>60</v>
      </c>
      <c r="D13">
        <v>67</v>
      </c>
      <c r="E13">
        <v>1051120</v>
      </c>
      <c r="F13">
        <v>1000</v>
      </c>
      <c r="G13">
        <v>19.75</v>
      </c>
      <c r="H13">
        <v>0.5</v>
      </c>
      <c r="I13">
        <v>10</v>
      </c>
      <c r="J13">
        <v>0</v>
      </c>
      <c r="K13">
        <v>0</v>
      </c>
      <c r="L13">
        <v>10</v>
      </c>
      <c r="M13">
        <v>0</v>
      </c>
      <c r="N13">
        <v>5.0000000000000002E-5</v>
      </c>
      <c r="O13">
        <v>10</v>
      </c>
      <c r="P13">
        <v>8.0017080717541601E-9</v>
      </c>
      <c r="Q13">
        <v>6.5538755773740495E-10</v>
      </c>
      <c r="R13">
        <v>2.0180969625552398</v>
      </c>
      <c r="S13">
        <v>0.1051195576501737</v>
      </c>
      <c r="T13">
        <v>3.0890696770894959E-5</v>
      </c>
      <c r="U13">
        <v>2.0587622103459942</v>
      </c>
      <c r="V13">
        <v>2.259427586862781E-10</v>
      </c>
      <c r="W13">
        <v>2.4831077792965559E-6</v>
      </c>
      <c r="X13" s="426">
        <f t="shared" si="0"/>
        <v>2.9006796303103108</v>
      </c>
      <c r="Y13" s="426">
        <f t="shared" si="1"/>
        <v>12.440336673443165</v>
      </c>
      <c r="Z13" s="427" t="str">
        <f t="shared" si="2"/>
        <v>1000_0.1 ohm1000</v>
      </c>
      <c r="AA13" s="428">
        <v>1</v>
      </c>
      <c r="AB13" s="429">
        <f t="shared" si="3"/>
        <v>0.1051195576501737</v>
      </c>
      <c r="AC13" s="430">
        <f t="shared" si="4"/>
        <v>3.0890696770894959E-5</v>
      </c>
      <c r="AD13" s="431">
        <f t="shared" si="5"/>
        <v>2.0587622103459942</v>
      </c>
      <c r="AE13" s="428">
        <v>1000000</v>
      </c>
      <c r="AF13" s="428">
        <f t="shared" si="6"/>
        <v>8.0017080717541596E-3</v>
      </c>
      <c r="AG13" s="431">
        <f t="shared" si="7"/>
        <v>6.5538755773740499E-4</v>
      </c>
      <c r="AH13" s="432">
        <f t="shared" si="8"/>
        <v>2.0180969625552398</v>
      </c>
      <c r="AI13" s="432">
        <f t="shared" si="9"/>
        <v>1000</v>
      </c>
    </row>
    <row r="14" spans="1:35">
      <c r="A14" t="s">
        <v>304</v>
      </c>
      <c r="B14">
        <v>53</v>
      </c>
      <c r="C14" t="s">
        <v>60</v>
      </c>
      <c r="D14">
        <v>100</v>
      </c>
      <c r="E14">
        <v>9879850</v>
      </c>
      <c r="F14">
        <v>53</v>
      </c>
      <c r="G14">
        <v>19.73</v>
      </c>
      <c r="H14">
        <v>0.5</v>
      </c>
      <c r="I14">
        <v>10</v>
      </c>
      <c r="J14">
        <v>0</v>
      </c>
      <c r="K14">
        <v>0</v>
      </c>
      <c r="L14">
        <v>10</v>
      </c>
      <c r="M14">
        <v>0</v>
      </c>
      <c r="N14">
        <v>3.0000000000000001E-5</v>
      </c>
      <c r="O14">
        <v>10</v>
      </c>
      <c r="P14">
        <v>2.0004270179385421E-9</v>
      </c>
      <c r="Q14">
        <v>5.1720030127201436E-9</v>
      </c>
      <c r="R14">
        <v>2.045958467657047</v>
      </c>
      <c r="S14">
        <v>0.98805803718055185</v>
      </c>
      <c r="T14">
        <v>7.0921298016408881E-5</v>
      </c>
      <c r="U14">
        <v>1.993453151214019</v>
      </c>
      <c r="V14">
        <v>3.9007945078100403E-9</v>
      </c>
      <c r="W14">
        <v>4.0191295482465673E-5</v>
      </c>
      <c r="X14" s="426">
        <f t="shared" si="0"/>
        <v>1.3258845095184921</v>
      </c>
      <c r="Y14" s="426">
        <f t="shared" si="1"/>
        <v>1.7645934813758328</v>
      </c>
      <c r="Z14" s="427" t="str">
        <f t="shared" si="2"/>
        <v>53_1 ohm53</v>
      </c>
      <c r="AA14" s="428">
        <v>1</v>
      </c>
      <c r="AB14" s="429">
        <f t="shared" si="3"/>
        <v>0.98805803718055185</v>
      </c>
      <c r="AC14" s="430">
        <f t="shared" si="4"/>
        <v>7.0921298016408881E-5</v>
      </c>
      <c r="AD14" s="431">
        <f t="shared" si="5"/>
        <v>1.993453151214019</v>
      </c>
      <c r="AE14" s="428">
        <v>1000000</v>
      </c>
      <c r="AF14" s="428">
        <f t="shared" si="6"/>
        <v>2.0004270179385421E-3</v>
      </c>
      <c r="AG14" s="431">
        <f t="shared" si="7"/>
        <v>5.1720030127201441E-3</v>
      </c>
      <c r="AH14" s="432">
        <f t="shared" si="8"/>
        <v>2.045958467657047</v>
      </c>
      <c r="AI14" s="432">
        <f t="shared" si="9"/>
        <v>53</v>
      </c>
    </row>
    <row r="15" spans="1:35">
      <c r="A15" t="s">
        <v>305</v>
      </c>
      <c r="B15">
        <v>400</v>
      </c>
      <c r="C15" t="s">
        <v>60</v>
      </c>
      <c r="D15">
        <v>43</v>
      </c>
      <c r="E15">
        <v>9879941</v>
      </c>
      <c r="F15">
        <v>400</v>
      </c>
      <c r="G15">
        <v>19.73</v>
      </c>
      <c r="H15">
        <v>0.5</v>
      </c>
      <c r="I15">
        <v>10</v>
      </c>
      <c r="J15">
        <v>0</v>
      </c>
      <c r="K15">
        <v>0</v>
      </c>
      <c r="L15">
        <v>10</v>
      </c>
      <c r="M15">
        <v>0</v>
      </c>
      <c r="N15">
        <v>3.0000000000000001E-5</v>
      </c>
      <c r="O15">
        <v>10</v>
      </c>
      <c r="P15">
        <v>5.4011529484340584E-9</v>
      </c>
      <c r="Q15">
        <v>3.7951695919450216E-9</v>
      </c>
      <c r="R15">
        <v>2.1870924680175068</v>
      </c>
      <c r="S15">
        <v>0.98806503768385834</v>
      </c>
      <c r="T15">
        <v>6.1064921363025842E-5</v>
      </c>
      <c r="U15">
        <v>2.004648714743015</v>
      </c>
      <c r="V15">
        <v>1.1073719880627371E-9</v>
      </c>
      <c r="W15">
        <v>1.4708822270453309E-5</v>
      </c>
      <c r="X15" s="426">
        <f t="shared" si="0"/>
        <v>3.4271858353437148</v>
      </c>
      <c r="Y15" s="426">
        <f t="shared" si="1"/>
        <v>4.1515846911612648</v>
      </c>
      <c r="Z15" s="427" t="str">
        <f t="shared" si="2"/>
        <v>400_1 ohm400</v>
      </c>
      <c r="AA15" s="428">
        <v>1</v>
      </c>
      <c r="AB15" s="429">
        <f t="shared" si="3"/>
        <v>0.98806503768385834</v>
      </c>
      <c r="AC15" s="430">
        <f t="shared" si="4"/>
        <v>6.1064921363025842E-5</v>
      </c>
      <c r="AD15" s="431">
        <f t="shared" si="5"/>
        <v>2.004648714743015</v>
      </c>
      <c r="AE15" s="428">
        <v>1000000</v>
      </c>
      <c r="AF15" s="428">
        <f t="shared" si="6"/>
        <v>5.4011529484340581E-3</v>
      </c>
      <c r="AG15" s="431">
        <f t="shared" si="7"/>
        <v>3.7951695919450218E-3</v>
      </c>
      <c r="AH15" s="432">
        <f t="shared" si="8"/>
        <v>2.1870924680175068</v>
      </c>
      <c r="AI15" s="432">
        <f t="shared" si="9"/>
        <v>400</v>
      </c>
    </row>
    <row r="16" spans="1:35">
      <c r="A16" t="s">
        <v>306</v>
      </c>
      <c r="B16">
        <v>1000</v>
      </c>
      <c r="C16" t="s">
        <v>60</v>
      </c>
      <c r="D16">
        <v>43</v>
      </c>
      <c r="E16">
        <v>9879760</v>
      </c>
      <c r="F16">
        <v>1000</v>
      </c>
      <c r="G16">
        <v>19.760000000000002</v>
      </c>
      <c r="H16">
        <v>0.5</v>
      </c>
      <c r="I16">
        <v>10</v>
      </c>
      <c r="J16">
        <v>0</v>
      </c>
      <c r="K16">
        <v>0</v>
      </c>
      <c r="L16">
        <v>10</v>
      </c>
      <c r="M16">
        <v>0</v>
      </c>
      <c r="N16">
        <v>3.0000000000000001E-5</v>
      </c>
      <c r="O16">
        <v>10</v>
      </c>
      <c r="P16">
        <v>5.6011956502279134E-9</v>
      </c>
      <c r="Q16">
        <v>3.7459694206176574E-9</v>
      </c>
      <c r="R16">
        <v>2.2129234331020888</v>
      </c>
      <c r="S16">
        <v>0.98804703638964164</v>
      </c>
      <c r="T16">
        <v>6.0152379601170541E-5</v>
      </c>
      <c r="U16">
        <v>2.0051984200796289</v>
      </c>
      <c r="V16">
        <v>1.00808578491314E-9</v>
      </c>
      <c r="W16">
        <v>1.3976496042434109E-5</v>
      </c>
      <c r="X16" s="426">
        <f t="shared" si="0"/>
        <v>3.7159232643484033</v>
      </c>
      <c r="Y16" s="426">
        <f t="shared" si="1"/>
        <v>4.3038240356196287</v>
      </c>
      <c r="Z16" s="427" t="str">
        <f t="shared" si="2"/>
        <v>1000_1 ohm1000</v>
      </c>
      <c r="AA16" s="428">
        <v>1</v>
      </c>
      <c r="AB16" s="429">
        <f t="shared" si="3"/>
        <v>0.98804703638964164</v>
      </c>
      <c r="AC16" s="430">
        <f t="shared" si="4"/>
        <v>6.0152379601170541E-5</v>
      </c>
      <c r="AD16" s="431">
        <f t="shared" si="5"/>
        <v>2.0051984200796289</v>
      </c>
      <c r="AE16" s="428">
        <v>1000000</v>
      </c>
      <c r="AF16" s="428">
        <f t="shared" si="6"/>
        <v>5.601195650227913E-3</v>
      </c>
      <c r="AG16" s="431">
        <f t="shared" si="7"/>
        <v>3.7459694206176575E-3</v>
      </c>
      <c r="AH16" s="432">
        <f t="shared" si="8"/>
        <v>2.2129234331020888</v>
      </c>
      <c r="AI16" s="432">
        <f t="shared" si="9"/>
        <v>1000</v>
      </c>
    </row>
    <row r="17" spans="1:36">
      <c r="A17" t="s">
        <v>492</v>
      </c>
      <c r="B17">
        <v>53</v>
      </c>
      <c r="C17" t="s">
        <v>61</v>
      </c>
      <c r="D17">
        <v>100</v>
      </c>
      <c r="E17">
        <v>10</v>
      </c>
      <c r="F17">
        <v>53</v>
      </c>
      <c r="G17">
        <v>19.77</v>
      </c>
      <c r="H17">
        <v>0.5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3.7735849082586178E-8</v>
      </c>
      <c r="W17">
        <v>3.7735849069862019E-4</v>
      </c>
      <c r="X17" s="426">
        <f t="shared" si="0"/>
        <v>0</v>
      </c>
      <c r="Y17" s="426">
        <f t="shared" si="1"/>
        <v>0</v>
      </c>
      <c r="Z17" s="427" t="str">
        <f t="shared" si="2"/>
        <v>coax zero53</v>
      </c>
      <c r="AA17" s="428">
        <v>1</v>
      </c>
      <c r="AB17" s="429">
        <f t="shared" si="3"/>
        <v>0</v>
      </c>
      <c r="AC17" s="430">
        <f t="shared" si="4"/>
        <v>0</v>
      </c>
      <c r="AD17" s="431">
        <f t="shared" si="5"/>
        <v>0</v>
      </c>
      <c r="AE17" s="428">
        <v>1000000</v>
      </c>
      <c r="AF17" s="428">
        <f t="shared" si="6"/>
        <v>0</v>
      </c>
      <c r="AG17" s="431">
        <f t="shared" si="7"/>
        <v>0</v>
      </c>
      <c r="AH17" s="432">
        <f t="shared" si="8"/>
        <v>0</v>
      </c>
      <c r="AI17" s="432">
        <f t="shared" si="9"/>
        <v>53</v>
      </c>
    </row>
    <row r="18" spans="1:36">
      <c r="A18" t="s">
        <v>492</v>
      </c>
      <c r="B18">
        <v>400</v>
      </c>
      <c r="C18" t="s">
        <v>61</v>
      </c>
      <c r="D18">
        <v>1</v>
      </c>
      <c r="E18">
        <v>-4</v>
      </c>
      <c r="F18">
        <v>400</v>
      </c>
      <c r="G18">
        <v>19.77</v>
      </c>
      <c r="H18">
        <v>0.5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5.000000000021209E-9</v>
      </c>
      <c r="W18">
        <v>5.0000000000131408E-5</v>
      </c>
      <c r="X18" s="426">
        <f t="shared" si="0"/>
        <v>0</v>
      </c>
      <c r="Y18" s="426">
        <f t="shared" si="1"/>
        <v>0</v>
      </c>
      <c r="Z18" s="427" t="str">
        <f t="shared" si="2"/>
        <v>coax zero400</v>
      </c>
      <c r="AA18" s="428">
        <v>1</v>
      </c>
      <c r="AB18" s="429">
        <f t="shared" si="3"/>
        <v>0</v>
      </c>
      <c r="AC18" s="430">
        <f t="shared" si="4"/>
        <v>0</v>
      </c>
      <c r="AD18" s="431">
        <f t="shared" si="5"/>
        <v>0</v>
      </c>
      <c r="AE18" s="428">
        <v>1000000</v>
      </c>
      <c r="AF18" s="428">
        <f t="shared" si="6"/>
        <v>0</v>
      </c>
      <c r="AG18" s="431">
        <f t="shared" si="7"/>
        <v>0</v>
      </c>
      <c r="AH18" s="432">
        <f t="shared" si="8"/>
        <v>0</v>
      </c>
      <c r="AI18" s="432">
        <f t="shared" si="9"/>
        <v>400</v>
      </c>
    </row>
    <row r="19" spans="1:36">
      <c r="A19" t="s">
        <v>492</v>
      </c>
      <c r="B19">
        <v>1000</v>
      </c>
      <c r="C19" t="s">
        <v>61</v>
      </c>
      <c r="D19">
        <v>-2</v>
      </c>
      <c r="E19">
        <v>-8</v>
      </c>
      <c r="F19">
        <v>1000</v>
      </c>
      <c r="G19">
        <v>19.78</v>
      </c>
      <c r="H19">
        <v>0.5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2.0000000002120859E-9</v>
      </c>
      <c r="W19">
        <v>2.0000000001314072E-5</v>
      </c>
      <c r="X19" s="426">
        <f t="shared" si="0"/>
        <v>0</v>
      </c>
      <c r="Y19" s="426">
        <f t="shared" si="1"/>
        <v>0</v>
      </c>
      <c r="Z19" s="427" t="str">
        <f t="shared" si="2"/>
        <v>coax zero1000</v>
      </c>
      <c r="AA19" s="428">
        <v>1</v>
      </c>
      <c r="AB19" s="429">
        <f t="shared" si="3"/>
        <v>0</v>
      </c>
      <c r="AC19" s="430">
        <f t="shared" si="4"/>
        <v>0</v>
      </c>
      <c r="AD19" s="431">
        <f t="shared" si="5"/>
        <v>0</v>
      </c>
      <c r="AE19" s="428">
        <v>1000000</v>
      </c>
      <c r="AF19" s="428">
        <f t="shared" si="6"/>
        <v>0</v>
      </c>
      <c r="AG19" s="431">
        <f t="shared" si="7"/>
        <v>0</v>
      </c>
      <c r="AH19" s="432">
        <f t="shared" si="8"/>
        <v>0</v>
      </c>
      <c r="AI19" s="432">
        <f t="shared" si="9"/>
        <v>1000</v>
      </c>
    </row>
    <row r="20" spans="1:36">
      <c r="A20" t="s">
        <v>307</v>
      </c>
      <c r="B20">
        <v>53</v>
      </c>
      <c r="C20" t="s">
        <v>61</v>
      </c>
      <c r="D20">
        <v>120</v>
      </c>
      <c r="E20">
        <v>9913100</v>
      </c>
      <c r="F20">
        <v>53</v>
      </c>
      <c r="G20">
        <v>19.78</v>
      </c>
      <c r="H20">
        <v>0.5</v>
      </c>
      <c r="I20">
        <v>10</v>
      </c>
      <c r="J20">
        <v>0</v>
      </c>
      <c r="K20">
        <v>0</v>
      </c>
      <c r="L20">
        <v>10</v>
      </c>
      <c r="M20">
        <v>0</v>
      </c>
      <c r="N20">
        <v>3.0000000000000001E-5</v>
      </c>
      <c r="O20">
        <v>10</v>
      </c>
      <c r="P20">
        <v>2.00042701793854E-8</v>
      </c>
      <c r="Q20">
        <v>5.1799515900553017E-8</v>
      </c>
      <c r="R20">
        <v>2.046094475831179</v>
      </c>
      <c r="S20">
        <v>9.9138027603542938</v>
      </c>
      <c r="T20">
        <v>7.0422908281554035E-4</v>
      </c>
      <c r="U20">
        <v>1.992803587103235</v>
      </c>
      <c r="V20">
        <v>3.9016381050886943E-8</v>
      </c>
      <c r="W20">
        <v>4.0207341680943958E-4</v>
      </c>
      <c r="X20" s="426">
        <f t="shared" si="0"/>
        <v>1.3276350728939654</v>
      </c>
      <c r="Y20" s="426">
        <f t="shared" si="1"/>
        <v>1.7514937655013032</v>
      </c>
      <c r="Z20" s="427" t="str">
        <f t="shared" si="2"/>
        <v>53_10 ohm53</v>
      </c>
      <c r="AA20" s="428">
        <v>1</v>
      </c>
      <c r="AB20" s="429">
        <f t="shared" si="3"/>
        <v>9.9138027603542938</v>
      </c>
      <c r="AC20" s="430">
        <f t="shared" si="4"/>
        <v>7.0422908281554035E-4</v>
      </c>
      <c r="AD20" s="431">
        <f t="shared" si="5"/>
        <v>1.992803587103235</v>
      </c>
      <c r="AE20" s="428">
        <v>1000000</v>
      </c>
      <c r="AF20" s="428">
        <f t="shared" si="6"/>
        <v>2.00042701793854E-2</v>
      </c>
      <c r="AG20" s="431">
        <f t="shared" si="7"/>
        <v>5.1799515900553018E-2</v>
      </c>
      <c r="AH20" s="432">
        <f t="shared" si="8"/>
        <v>2.046094475831179</v>
      </c>
      <c r="AI20" s="432">
        <f t="shared" si="9"/>
        <v>53</v>
      </c>
    </row>
    <row r="21" spans="1:36">
      <c r="A21" t="s">
        <v>308</v>
      </c>
      <c r="B21">
        <v>400</v>
      </c>
      <c r="C21" t="s">
        <v>61</v>
      </c>
      <c r="D21">
        <v>5</v>
      </c>
      <c r="E21">
        <v>9913067</v>
      </c>
      <c r="F21">
        <v>400</v>
      </c>
      <c r="G21">
        <v>19.77</v>
      </c>
      <c r="H21">
        <v>0.5</v>
      </c>
      <c r="I21">
        <v>10</v>
      </c>
      <c r="J21">
        <v>0</v>
      </c>
      <c r="K21">
        <v>0</v>
      </c>
      <c r="L21">
        <v>10</v>
      </c>
      <c r="M21">
        <v>0</v>
      </c>
      <c r="N21">
        <v>3.0000000000000001E-5</v>
      </c>
      <c r="O21">
        <v>10</v>
      </c>
      <c r="P21">
        <v>4.0008540358770809E-9</v>
      </c>
      <c r="Q21">
        <v>3.8073815743382192E-8</v>
      </c>
      <c r="R21">
        <v>2.1873287875755829</v>
      </c>
      <c r="S21">
        <v>9.9137837589881759</v>
      </c>
      <c r="T21">
        <v>6.0605747636071933E-4</v>
      </c>
      <c r="U21">
        <v>2.003604036186049</v>
      </c>
      <c r="V21">
        <v>1.1103289112192079E-8</v>
      </c>
      <c r="W21">
        <v>1.47524485102095E-4</v>
      </c>
      <c r="X21" s="426">
        <f t="shared" si="0"/>
        <v>3.4290574044023452</v>
      </c>
      <c r="Y21" s="426">
        <f t="shared" si="1"/>
        <v>4.1081822854104146</v>
      </c>
      <c r="Z21" s="427" t="str">
        <f t="shared" si="2"/>
        <v>400_10 ohm400</v>
      </c>
      <c r="AA21" s="428">
        <v>1</v>
      </c>
      <c r="AB21" s="429">
        <f t="shared" si="3"/>
        <v>9.9137837589881759</v>
      </c>
      <c r="AC21" s="430">
        <f t="shared" si="4"/>
        <v>6.0605747636071933E-4</v>
      </c>
      <c r="AD21" s="431">
        <f t="shared" si="5"/>
        <v>2.003604036186049</v>
      </c>
      <c r="AE21" s="428">
        <v>1000000</v>
      </c>
      <c r="AF21" s="428">
        <f t="shared" si="6"/>
        <v>4.0008540358770807E-3</v>
      </c>
      <c r="AG21" s="431">
        <f t="shared" si="7"/>
        <v>3.8073815743382193E-2</v>
      </c>
      <c r="AH21" s="432">
        <f t="shared" si="8"/>
        <v>2.1873287875755829</v>
      </c>
      <c r="AI21" s="432">
        <f t="shared" si="9"/>
        <v>400</v>
      </c>
    </row>
    <row r="22" spans="1:36">
      <c r="A22" t="s">
        <v>309</v>
      </c>
      <c r="B22">
        <v>1000</v>
      </c>
      <c r="C22" t="s">
        <v>61</v>
      </c>
      <c r="D22">
        <v>5</v>
      </c>
      <c r="E22">
        <v>9912930</v>
      </c>
      <c r="F22">
        <v>1000</v>
      </c>
      <c r="G22">
        <v>19.760000000000002</v>
      </c>
      <c r="H22">
        <v>0.5</v>
      </c>
      <c r="I22">
        <v>10</v>
      </c>
      <c r="J22">
        <v>0</v>
      </c>
      <c r="K22">
        <v>0</v>
      </c>
      <c r="L22">
        <v>10</v>
      </c>
      <c r="M22">
        <v>0</v>
      </c>
      <c r="N22">
        <v>3.0000000000000001E-5</v>
      </c>
      <c r="O22">
        <v>10</v>
      </c>
      <c r="P22">
        <v>7.0014945627848934E-9</v>
      </c>
      <c r="Q22">
        <v>3.7583896880536641E-8</v>
      </c>
      <c r="R22">
        <v>2.2130202314715142</v>
      </c>
      <c r="S22">
        <v>9.9136507494253525</v>
      </c>
      <c r="T22">
        <v>6.0309687196591724E-4</v>
      </c>
      <c r="U22">
        <v>2.0052592724166631</v>
      </c>
      <c r="V22">
        <v>1.011337295647358E-8</v>
      </c>
      <c r="W22">
        <v>1.4022461003835459E-4</v>
      </c>
      <c r="X22" s="426">
        <f t="shared" si="0"/>
        <v>3.7162573794412626</v>
      </c>
      <c r="Y22" s="426">
        <f t="shared" si="1"/>
        <v>4.3009345634903644</v>
      </c>
      <c r="Z22" s="427" t="str">
        <f t="shared" si="2"/>
        <v>1000_10 ohm1000</v>
      </c>
      <c r="AA22" s="428">
        <v>1</v>
      </c>
      <c r="AB22" s="429">
        <f t="shared" si="3"/>
        <v>9.9136507494253525</v>
      </c>
      <c r="AC22" s="430">
        <f t="shared" si="4"/>
        <v>6.0309687196591724E-4</v>
      </c>
      <c r="AD22" s="431">
        <f t="shared" si="5"/>
        <v>2.0052592724166631</v>
      </c>
      <c r="AE22" s="428">
        <v>1000000</v>
      </c>
      <c r="AF22" s="428">
        <f t="shared" si="6"/>
        <v>7.0014945627848938E-3</v>
      </c>
      <c r="AG22" s="431">
        <f t="shared" si="7"/>
        <v>3.7583896880536642E-2</v>
      </c>
      <c r="AH22" s="432">
        <f t="shared" si="8"/>
        <v>2.2130202314715142</v>
      </c>
      <c r="AI22" s="432">
        <f t="shared" si="9"/>
        <v>1000</v>
      </c>
    </row>
    <row r="23" spans="1:36">
      <c r="A23" t="s">
        <v>492</v>
      </c>
      <c r="B23">
        <v>53</v>
      </c>
      <c r="C23" t="s">
        <v>62</v>
      </c>
      <c r="D23">
        <v>30</v>
      </c>
      <c r="E23">
        <v>-13</v>
      </c>
      <c r="F23">
        <v>53</v>
      </c>
      <c r="G23">
        <v>19.66</v>
      </c>
      <c r="H23">
        <v>0.5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3.7735849058944309E-7</v>
      </c>
      <c r="W23">
        <v>3.773584905780118E-3</v>
      </c>
      <c r="X23" s="426">
        <f t="shared" si="0"/>
        <v>0</v>
      </c>
      <c r="Y23" s="426">
        <f t="shared" si="1"/>
        <v>0</v>
      </c>
      <c r="Z23" s="427" t="str">
        <f t="shared" si="2"/>
        <v>coax zero53</v>
      </c>
      <c r="AA23" s="428">
        <v>1</v>
      </c>
      <c r="AB23" s="429">
        <f t="shared" si="3"/>
        <v>0</v>
      </c>
      <c r="AC23" s="430">
        <f t="shared" si="4"/>
        <v>0</v>
      </c>
      <c r="AD23" s="431">
        <f t="shared" si="5"/>
        <v>0</v>
      </c>
      <c r="AE23" s="428">
        <v>1000000</v>
      </c>
      <c r="AF23" s="428">
        <f t="shared" si="6"/>
        <v>0</v>
      </c>
      <c r="AG23" s="431">
        <f t="shared" si="7"/>
        <v>0</v>
      </c>
      <c r="AH23" s="432">
        <f t="shared" si="8"/>
        <v>0</v>
      </c>
      <c r="AI23" s="432">
        <f t="shared" si="9"/>
        <v>53</v>
      </c>
    </row>
    <row r="24" spans="1:36">
      <c r="A24" t="s">
        <v>492</v>
      </c>
      <c r="B24">
        <v>400</v>
      </c>
      <c r="C24" t="s">
        <v>62</v>
      </c>
      <c r="D24">
        <v>-1</v>
      </c>
      <c r="E24">
        <v>-9</v>
      </c>
      <c r="F24">
        <v>400</v>
      </c>
      <c r="G24">
        <v>19.66</v>
      </c>
      <c r="H24">
        <v>0.5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5.0000000000277103E-8</v>
      </c>
      <c r="W24">
        <v>5.0000000000258822E-4</v>
      </c>
      <c r="X24" s="426">
        <f t="shared" ref="X24:X56" si="10">Q24/V24</f>
        <v>0</v>
      </c>
      <c r="Y24" s="426">
        <f t="shared" ref="Y24:Y56" si="11">T24/W24</f>
        <v>0</v>
      </c>
      <c r="Z24" s="427" t="str">
        <f t="shared" ref="Z24:Z56" si="12">A24&amp;B24</f>
        <v>coax zero400</v>
      </c>
      <c r="AA24" s="428">
        <v>1</v>
      </c>
      <c r="AB24" s="429">
        <f t="shared" ref="AB24:AB56" si="13">AA24*S24</f>
        <v>0</v>
      </c>
      <c r="AC24" s="430">
        <f t="shared" ref="AC24:AC56" si="14">AA24*T24</f>
        <v>0</v>
      </c>
      <c r="AD24" s="431">
        <f t="shared" ref="AD24:AD56" si="15">U24</f>
        <v>0</v>
      </c>
      <c r="AE24" s="428">
        <v>1000001</v>
      </c>
      <c r="AF24" s="428">
        <f t="shared" ref="AF24:AF56" si="16">AE24*P24</f>
        <v>0</v>
      </c>
      <c r="AG24" s="431">
        <f t="shared" ref="AG24:AG56" si="17">AE24*Q24</f>
        <v>0</v>
      </c>
      <c r="AH24" s="432">
        <f t="shared" ref="AH24:AH56" si="18">R24</f>
        <v>0</v>
      </c>
      <c r="AI24" s="432">
        <f t="shared" ref="AI24:AI56" si="19">B24</f>
        <v>400</v>
      </c>
    </row>
    <row r="25" spans="1:36">
      <c r="A25" t="s">
        <v>492</v>
      </c>
      <c r="B25">
        <v>1000</v>
      </c>
      <c r="C25" t="s">
        <v>62</v>
      </c>
      <c r="D25">
        <v>-1</v>
      </c>
      <c r="E25">
        <v>-7</v>
      </c>
      <c r="F25">
        <v>1000</v>
      </c>
      <c r="G25">
        <v>19.66</v>
      </c>
      <c r="H25">
        <v>0.5</v>
      </c>
      <c r="I25">
        <v>10</v>
      </c>
      <c r="J25">
        <v>0</v>
      </c>
      <c r="K25">
        <v>0</v>
      </c>
      <c r="L25">
        <v>10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2.0000000000612729E-8</v>
      </c>
      <c r="W25">
        <v>2.0000000000490239E-4</v>
      </c>
      <c r="X25" s="426">
        <f t="shared" si="10"/>
        <v>0</v>
      </c>
      <c r="Y25" s="426">
        <f t="shared" si="11"/>
        <v>0</v>
      </c>
      <c r="Z25" s="427" t="str">
        <f t="shared" si="12"/>
        <v>coax zero1000</v>
      </c>
      <c r="AA25" s="428">
        <v>1</v>
      </c>
      <c r="AB25" s="429">
        <f t="shared" si="13"/>
        <v>0</v>
      </c>
      <c r="AC25" s="430">
        <f t="shared" si="14"/>
        <v>0</v>
      </c>
      <c r="AD25" s="431">
        <f t="shared" si="15"/>
        <v>0</v>
      </c>
      <c r="AE25" s="428">
        <v>1000002</v>
      </c>
      <c r="AF25" s="428">
        <f t="shared" si="16"/>
        <v>0</v>
      </c>
      <c r="AG25" s="431">
        <f t="shared" si="17"/>
        <v>0</v>
      </c>
      <c r="AH25" s="432">
        <f t="shared" si="18"/>
        <v>0</v>
      </c>
      <c r="AI25" s="432">
        <f t="shared" si="19"/>
        <v>1000</v>
      </c>
    </row>
    <row r="26" spans="1:36">
      <c r="A26" t="s">
        <v>316</v>
      </c>
      <c r="B26">
        <v>53</v>
      </c>
      <c r="C26" t="s">
        <v>62</v>
      </c>
      <c r="D26">
        <v>50</v>
      </c>
      <c r="E26">
        <v>10002950</v>
      </c>
      <c r="F26">
        <v>53</v>
      </c>
      <c r="G26">
        <v>19.670000000000002</v>
      </c>
      <c r="H26">
        <v>0.5</v>
      </c>
      <c r="I26">
        <v>10</v>
      </c>
      <c r="J26">
        <v>0</v>
      </c>
      <c r="K26">
        <v>0</v>
      </c>
      <c r="L26">
        <v>10</v>
      </c>
      <c r="M26">
        <v>0</v>
      </c>
      <c r="N26">
        <v>5.0000000000000004E-6</v>
      </c>
      <c r="O26">
        <v>10</v>
      </c>
      <c r="P26">
        <v>2.0004270179385401E-7</v>
      </c>
      <c r="Q26">
        <v>5.2015547041949418E-7</v>
      </c>
      <c r="R26">
        <v>2.0464712575619139</v>
      </c>
      <c r="S26">
        <v>100.0368222230625</v>
      </c>
      <c r="T26">
        <v>5.6597611188794819E-3</v>
      </c>
      <c r="U26">
        <v>2.0070758610870851</v>
      </c>
      <c r="V26">
        <v>3.9039309707058209E-7</v>
      </c>
      <c r="W26">
        <v>4.0250939916211866E-3</v>
      </c>
      <c r="X26" s="426">
        <f t="shared" si="10"/>
        <v>1.3323890056525547</v>
      </c>
      <c r="Y26" s="426">
        <f t="shared" si="11"/>
        <v>1.4061189951492041</v>
      </c>
      <c r="Z26" s="427" t="str">
        <f t="shared" si="12"/>
        <v>53_100 ohm53</v>
      </c>
      <c r="AA26" s="428">
        <v>1</v>
      </c>
      <c r="AB26" s="429">
        <f t="shared" si="13"/>
        <v>100.0368222230625</v>
      </c>
      <c r="AC26" s="430">
        <f t="shared" si="14"/>
        <v>5.6597611188794819E-3</v>
      </c>
      <c r="AD26" s="431">
        <f t="shared" si="15"/>
        <v>2.0070758610870851</v>
      </c>
      <c r="AE26" s="428">
        <v>1000003</v>
      </c>
      <c r="AF26" s="428">
        <f t="shared" si="16"/>
        <v>0.2000433019219594</v>
      </c>
      <c r="AG26" s="431">
        <f t="shared" si="17"/>
        <v>0.52015703088590548</v>
      </c>
      <c r="AH26" s="432">
        <f t="shared" si="18"/>
        <v>2.0464712575619139</v>
      </c>
      <c r="AI26" s="432">
        <f t="shared" si="19"/>
        <v>53</v>
      </c>
    </row>
    <row r="27" spans="1:36">
      <c r="A27" t="s">
        <v>317</v>
      </c>
      <c r="B27">
        <v>400</v>
      </c>
      <c r="C27" t="s">
        <v>62</v>
      </c>
      <c r="D27">
        <v>5</v>
      </c>
      <c r="E27">
        <v>10002950</v>
      </c>
      <c r="F27">
        <v>400</v>
      </c>
      <c r="G27">
        <v>19.66</v>
      </c>
      <c r="H27">
        <v>0.5</v>
      </c>
      <c r="I27">
        <v>10</v>
      </c>
      <c r="J27">
        <v>0</v>
      </c>
      <c r="K27">
        <v>0</v>
      </c>
      <c r="L27">
        <v>10</v>
      </c>
      <c r="M27">
        <v>0</v>
      </c>
      <c r="N27">
        <v>5.0000000000000004E-6</v>
      </c>
      <c r="O27">
        <v>10</v>
      </c>
      <c r="P27">
        <v>6.0012810538156211E-8</v>
      </c>
      <c r="Q27">
        <v>3.8405243104283322E-7</v>
      </c>
      <c r="R27">
        <v>2.1879603347937491</v>
      </c>
      <c r="S27">
        <v>100.0367822201865</v>
      </c>
      <c r="T27">
        <v>4.3399923193981477E-3</v>
      </c>
      <c r="U27">
        <v>2.0290019097839558</v>
      </c>
      <c r="V27">
        <v>1.1183621859465669E-7</v>
      </c>
      <c r="W27">
        <v>1.487090649113594E-3</v>
      </c>
      <c r="X27" s="426">
        <f t="shared" si="10"/>
        <v>3.4340613074088902</v>
      </c>
      <c r="Y27" s="426">
        <f t="shared" si="11"/>
        <v>2.9184450335862677</v>
      </c>
      <c r="Z27" s="427" t="str">
        <f t="shared" si="12"/>
        <v>400_100 ohm400</v>
      </c>
      <c r="AA27" s="428">
        <v>1</v>
      </c>
      <c r="AB27" s="429">
        <f t="shared" si="13"/>
        <v>100.0367822201865</v>
      </c>
      <c r="AC27" s="430">
        <f t="shared" si="14"/>
        <v>4.3399923193981477E-3</v>
      </c>
      <c r="AD27" s="431">
        <f t="shared" si="15"/>
        <v>2.0290019097839558</v>
      </c>
      <c r="AE27" s="428">
        <v>1000004</v>
      </c>
      <c r="AF27" s="428">
        <f t="shared" si="16"/>
        <v>6.0013050589398362E-2</v>
      </c>
      <c r="AG27" s="431">
        <f t="shared" si="17"/>
        <v>0.38405396725255742</v>
      </c>
      <c r="AH27" s="432">
        <f t="shared" si="18"/>
        <v>2.1879603347937491</v>
      </c>
      <c r="AI27" s="432">
        <f t="shared" si="19"/>
        <v>400</v>
      </c>
    </row>
    <row r="28" spans="1:36">
      <c r="A28" t="s">
        <v>318</v>
      </c>
      <c r="B28">
        <v>1000</v>
      </c>
      <c r="C28" t="s">
        <v>62</v>
      </c>
      <c r="D28">
        <v>5</v>
      </c>
      <c r="E28">
        <v>10002954</v>
      </c>
      <c r="F28">
        <v>1000</v>
      </c>
      <c r="G28">
        <v>19.649999999999999</v>
      </c>
      <c r="H28">
        <v>0.5</v>
      </c>
      <c r="I28">
        <v>10</v>
      </c>
      <c r="J28">
        <v>0</v>
      </c>
      <c r="K28">
        <v>0</v>
      </c>
      <c r="L28">
        <v>10</v>
      </c>
      <c r="M28">
        <v>0</v>
      </c>
      <c r="N28">
        <v>5.0000000000000004E-6</v>
      </c>
      <c r="O28">
        <v>10</v>
      </c>
      <c r="P28">
        <v>6.0012810538156211E-8</v>
      </c>
      <c r="Q28">
        <v>3.7920929386406418E-7</v>
      </c>
      <c r="R28">
        <v>2.2132783457566081</v>
      </c>
      <c r="S28">
        <v>100.0368022216245</v>
      </c>
      <c r="T28">
        <v>4.2806915130460411E-3</v>
      </c>
      <c r="U28">
        <v>2.033485228172661</v>
      </c>
      <c r="V28">
        <v>1.0201640943036681E-7</v>
      </c>
      <c r="W28">
        <v>1.4147226468002551E-3</v>
      </c>
      <c r="X28" s="426">
        <f t="shared" si="10"/>
        <v>3.7171401736394234</v>
      </c>
      <c r="Y28" s="426">
        <f t="shared" si="11"/>
        <v>3.0258167724450322</v>
      </c>
      <c r="Z28" s="427" t="str">
        <f t="shared" si="12"/>
        <v>1000_100 ohm1000</v>
      </c>
      <c r="AA28" s="428">
        <v>1</v>
      </c>
      <c r="AB28" s="429">
        <f t="shared" si="13"/>
        <v>100.0368022216245</v>
      </c>
      <c r="AC28" s="430">
        <f t="shared" si="14"/>
        <v>4.2806915130460411E-3</v>
      </c>
      <c r="AD28" s="431">
        <f t="shared" si="15"/>
        <v>2.033485228172661</v>
      </c>
      <c r="AE28" s="428">
        <v>1000005</v>
      </c>
      <c r="AF28" s="428">
        <f t="shared" si="16"/>
        <v>6.0013110602208902E-2</v>
      </c>
      <c r="AG28" s="431">
        <f t="shared" si="17"/>
        <v>0.37921118991053349</v>
      </c>
      <c r="AH28" s="432">
        <f t="shared" si="18"/>
        <v>2.2132783457566081</v>
      </c>
      <c r="AI28" s="432">
        <f t="shared" si="19"/>
        <v>1000</v>
      </c>
    </row>
    <row r="29" spans="1:36">
      <c r="A29" t="s">
        <v>492</v>
      </c>
      <c r="B29">
        <v>53</v>
      </c>
      <c r="C29" t="s">
        <v>10</v>
      </c>
      <c r="D29">
        <v>35</v>
      </c>
      <c r="E29">
        <v>-10</v>
      </c>
      <c r="F29">
        <v>53</v>
      </c>
      <c r="G29">
        <v>19.63</v>
      </c>
      <c r="H29">
        <v>0.5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3.7735849059787779E-6</v>
      </c>
      <c r="W29">
        <v>3.7735849058230193E-2</v>
      </c>
      <c r="X29" s="426">
        <f t="shared" si="10"/>
        <v>0</v>
      </c>
      <c r="Y29" s="426">
        <f t="shared" si="11"/>
        <v>0</v>
      </c>
      <c r="Z29" s="427" t="str">
        <f t="shared" si="12"/>
        <v>coax zero53</v>
      </c>
      <c r="AA29" s="428">
        <v>1E-3</v>
      </c>
      <c r="AB29" s="429">
        <f t="shared" si="13"/>
        <v>0</v>
      </c>
      <c r="AC29" s="430">
        <f t="shared" si="14"/>
        <v>0</v>
      </c>
      <c r="AD29" s="431">
        <f t="shared" si="15"/>
        <v>0</v>
      </c>
      <c r="AE29" s="428">
        <v>1000006</v>
      </c>
      <c r="AF29" s="428">
        <f t="shared" si="16"/>
        <v>0</v>
      </c>
      <c r="AG29" s="431">
        <f t="shared" si="17"/>
        <v>0</v>
      </c>
      <c r="AH29" s="432">
        <f t="shared" si="18"/>
        <v>0</v>
      </c>
      <c r="AI29" s="432">
        <f t="shared" si="19"/>
        <v>53</v>
      </c>
    </row>
    <row r="30" spans="1:36">
      <c r="A30" t="s">
        <v>492</v>
      </c>
      <c r="B30">
        <v>400</v>
      </c>
      <c r="C30" t="s">
        <v>10</v>
      </c>
      <c r="D30">
        <v>0</v>
      </c>
      <c r="E30">
        <v>-11</v>
      </c>
      <c r="F30">
        <v>400</v>
      </c>
      <c r="G30">
        <v>19.64</v>
      </c>
      <c r="H30">
        <v>0.5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5.0000000000121007E-7</v>
      </c>
      <c r="W30">
        <v>5.0000000000237198E-3</v>
      </c>
      <c r="X30" s="426">
        <f t="shared" si="10"/>
        <v>0</v>
      </c>
      <c r="Y30" s="426">
        <f t="shared" si="11"/>
        <v>0</v>
      </c>
      <c r="Z30" s="427" t="str">
        <f t="shared" si="12"/>
        <v>coax zero400</v>
      </c>
      <c r="AA30" s="428">
        <v>1E-3</v>
      </c>
      <c r="AB30" s="429">
        <f t="shared" si="13"/>
        <v>0</v>
      </c>
      <c r="AC30" s="430">
        <f t="shared" si="14"/>
        <v>0</v>
      </c>
      <c r="AD30" s="431">
        <f t="shared" si="15"/>
        <v>0</v>
      </c>
      <c r="AE30" s="428">
        <v>1000007</v>
      </c>
      <c r="AF30" s="428">
        <f t="shared" si="16"/>
        <v>0</v>
      </c>
      <c r="AG30" s="431">
        <f t="shared" si="17"/>
        <v>0</v>
      </c>
      <c r="AH30" s="432">
        <f t="shared" si="18"/>
        <v>0</v>
      </c>
      <c r="AI30" s="432">
        <f t="shared" si="19"/>
        <v>400</v>
      </c>
    </row>
    <row r="31" spans="1:36">
      <c r="A31" t="s">
        <v>492</v>
      </c>
      <c r="B31">
        <v>1000</v>
      </c>
      <c r="C31" t="s">
        <v>10</v>
      </c>
      <c r="D31">
        <v>-1</v>
      </c>
      <c r="E31">
        <v>-11</v>
      </c>
      <c r="F31">
        <v>1000</v>
      </c>
      <c r="G31">
        <v>19.649999999999999</v>
      </c>
      <c r="H31">
        <v>0.5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2.0000000000792761E-7</v>
      </c>
      <c r="W31">
        <v>2.0000000000843089E-3</v>
      </c>
      <c r="X31" s="426">
        <f t="shared" si="10"/>
        <v>0</v>
      </c>
      <c r="Y31" s="426">
        <f t="shared" si="11"/>
        <v>0</v>
      </c>
      <c r="Z31" s="427" t="str">
        <f t="shared" si="12"/>
        <v>coax zero1000</v>
      </c>
      <c r="AA31" s="428">
        <v>1E-3</v>
      </c>
      <c r="AB31" s="429">
        <f t="shared" si="13"/>
        <v>0</v>
      </c>
      <c r="AC31" s="430">
        <f t="shared" si="14"/>
        <v>0</v>
      </c>
      <c r="AD31" s="431">
        <f t="shared" si="15"/>
        <v>0</v>
      </c>
      <c r="AE31" s="428">
        <v>1000008</v>
      </c>
      <c r="AF31" s="428">
        <f t="shared" si="16"/>
        <v>0</v>
      </c>
      <c r="AG31" s="431">
        <f t="shared" si="17"/>
        <v>0</v>
      </c>
      <c r="AH31" s="432">
        <f t="shared" si="18"/>
        <v>0</v>
      </c>
      <c r="AI31" s="432">
        <f t="shared" si="19"/>
        <v>1000</v>
      </c>
    </row>
    <row r="32" spans="1:36">
      <c r="A32" t="s">
        <v>319</v>
      </c>
      <c r="B32">
        <v>53</v>
      </c>
      <c r="C32" t="s">
        <v>10</v>
      </c>
      <c r="D32">
        <v>10</v>
      </c>
      <c r="E32">
        <v>10001710</v>
      </c>
      <c r="F32">
        <v>53</v>
      </c>
      <c r="G32">
        <v>19.63</v>
      </c>
      <c r="H32">
        <v>0.5</v>
      </c>
      <c r="I32">
        <v>10</v>
      </c>
      <c r="J32">
        <v>0</v>
      </c>
      <c r="K32">
        <v>0</v>
      </c>
      <c r="L32">
        <v>10</v>
      </c>
      <c r="M32">
        <v>0</v>
      </c>
      <c r="N32">
        <v>5.0000000000000004E-6</v>
      </c>
      <c r="O32">
        <v>10</v>
      </c>
      <c r="P32">
        <v>-2.5005337724231748E-6</v>
      </c>
      <c r="Q32">
        <v>5.2012549375993181E-6</v>
      </c>
      <c r="R32">
        <v>2.046465959506599</v>
      </c>
      <c r="S32">
        <v>1000.24391329334</v>
      </c>
      <c r="T32">
        <v>4.9574878014252192E-2</v>
      </c>
      <c r="U32">
        <v>2.0310087854330829</v>
      </c>
      <c r="V32">
        <v>3.9038991951475427E-6</v>
      </c>
      <c r="W32">
        <v>4.0250335869169228E-2</v>
      </c>
      <c r="X32" s="426">
        <f t="shared" si="10"/>
        <v>1.3323230640955994</v>
      </c>
      <c r="Y32" s="426">
        <f t="shared" si="11"/>
        <v>1.2316637102207471</v>
      </c>
      <c r="Z32" s="427" t="str">
        <f t="shared" si="12"/>
        <v>53_1000 ohm53</v>
      </c>
      <c r="AA32" s="428">
        <v>1E-3</v>
      </c>
      <c r="AB32" s="429">
        <f t="shared" si="13"/>
        <v>1.0002439132933401</v>
      </c>
      <c r="AC32" s="430">
        <f t="shared" si="14"/>
        <v>4.9574878014252195E-5</v>
      </c>
      <c r="AD32" s="431">
        <f t="shared" si="15"/>
        <v>2.0310087854330829</v>
      </c>
      <c r="AE32" s="445">
        <v>1000000000000</v>
      </c>
      <c r="AF32" s="445">
        <f>-AE32*P32/S32^2</f>
        <v>2.4993143917209739</v>
      </c>
      <c r="AG32" s="446">
        <f>ABS(Q32/P32*AF32)</f>
        <v>5.1987185551804602</v>
      </c>
      <c r="AH32" s="432">
        <f t="shared" si="18"/>
        <v>2.046465959506599</v>
      </c>
      <c r="AI32" s="432">
        <f t="shared" si="19"/>
        <v>53</v>
      </c>
      <c r="AJ32" s="451" t="s">
        <v>534</v>
      </c>
    </row>
    <row r="33" spans="1:36">
      <c r="A33" t="s">
        <v>320</v>
      </c>
      <c r="B33">
        <v>400</v>
      </c>
      <c r="C33" t="s">
        <v>10</v>
      </c>
      <c r="D33">
        <v>5</v>
      </c>
      <c r="E33">
        <v>10001713</v>
      </c>
      <c r="F33">
        <v>400</v>
      </c>
      <c r="G33">
        <v>19.64</v>
      </c>
      <c r="H33">
        <v>0.5</v>
      </c>
      <c r="I33">
        <v>10</v>
      </c>
      <c r="J33">
        <v>0</v>
      </c>
      <c r="K33">
        <v>0</v>
      </c>
      <c r="L33">
        <v>10</v>
      </c>
      <c r="M33">
        <v>0</v>
      </c>
      <c r="N33">
        <v>5.0000000000000004E-6</v>
      </c>
      <c r="O33">
        <v>10</v>
      </c>
      <c r="P33">
        <v>5.0010675448463512E-7</v>
      </c>
      <c r="Q33">
        <v>3.8400688512137806E-6</v>
      </c>
      <c r="R33">
        <v>2.1879517517516169</v>
      </c>
      <c r="S33">
        <v>1000.2443133221</v>
      </c>
      <c r="T33">
        <v>3.3860567665825091E-2</v>
      </c>
      <c r="U33">
        <v>2.1089403575630592</v>
      </c>
      <c r="V33">
        <v>1.11825153059932E-6</v>
      </c>
      <c r="W33">
        <v>1.486927540896618E-2</v>
      </c>
      <c r="X33" s="426">
        <f t="shared" si="10"/>
        <v>3.433993825303078</v>
      </c>
      <c r="Y33" s="426">
        <f t="shared" si="11"/>
        <v>2.27721706233292</v>
      </c>
      <c r="Z33" s="427" t="str">
        <f t="shared" si="12"/>
        <v>400_1000 ohm400</v>
      </c>
      <c r="AA33" s="428">
        <v>1E-3</v>
      </c>
      <c r="AB33" s="429">
        <f t="shared" si="13"/>
        <v>1.0002443133221</v>
      </c>
      <c r="AC33" s="430">
        <f t="shared" si="14"/>
        <v>3.386056766582509E-5</v>
      </c>
      <c r="AD33" s="431">
        <f t="shared" si="15"/>
        <v>2.1089403575630592</v>
      </c>
      <c r="AE33" s="445">
        <v>1000000000000</v>
      </c>
      <c r="AF33" s="445">
        <f t="shared" ref="AF33:AF34" si="20">-AE33*P33/S33^2</f>
        <v>-0.49986247852290189</v>
      </c>
      <c r="AG33" s="446">
        <f t="shared" ref="AG33:AG34" si="21">ABS(Q33/P33*AF33)</f>
        <v>3.8381931786631895</v>
      </c>
      <c r="AH33" s="432">
        <f t="shared" si="18"/>
        <v>2.1879517517516169</v>
      </c>
      <c r="AI33" s="432">
        <f t="shared" si="19"/>
        <v>400</v>
      </c>
      <c r="AJ33" s="451" t="s">
        <v>535</v>
      </c>
    </row>
    <row r="34" spans="1:36">
      <c r="A34" t="s">
        <v>321</v>
      </c>
      <c r="B34">
        <v>1000</v>
      </c>
      <c r="C34" t="s">
        <v>10</v>
      </c>
      <c r="D34">
        <v>5</v>
      </c>
      <c r="E34">
        <v>10001670</v>
      </c>
      <c r="F34">
        <v>1000</v>
      </c>
      <c r="G34">
        <v>19.649999999999999</v>
      </c>
      <c r="H34">
        <v>0.5</v>
      </c>
      <c r="I34">
        <v>10</v>
      </c>
      <c r="J34">
        <v>0</v>
      </c>
      <c r="K34">
        <v>0</v>
      </c>
      <c r="L34">
        <v>10</v>
      </c>
      <c r="M34">
        <v>0</v>
      </c>
      <c r="N34">
        <v>5.0000000000000004E-6</v>
      </c>
      <c r="O34">
        <v>10</v>
      </c>
      <c r="P34">
        <v>6.0012810538156216E-7</v>
      </c>
      <c r="Q34">
        <v>3.791613696593851E-6</v>
      </c>
      <c r="R34">
        <v>2.2132747214164068</v>
      </c>
      <c r="S34">
        <v>1000.2400130129261</v>
      </c>
      <c r="T34">
        <v>3.3178842428532473E-2</v>
      </c>
      <c r="U34">
        <v>2.1281791091192011</v>
      </c>
      <c r="V34">
        <v>1.020038177224795E-6</v>
      </c>
      <c r="W34">
        <v>1.414544679605861E-2</v>
      </c>
      <c r="X34" s="426">
        <f t="shared" si="10"/>
        <v>3.7171292028594913</v>
      </c>
      <c r="Y34" s="426">
        <f t="shared" si="11"/>
        <v>2.3455492715703543</v>
      </c>
      <c r="Z34" s="427" t="str">
        <f t="shared" si="12"/>
        <v>1000_1000 ohm1000</v>
      </c>
      <c r="AA34" s="428">
        <v>1E-3</v>
      </c>
      <c r="AB34" s="429">
        <f t="shared" si="13"/>
        <v>1.0002400130129261</v>
      </c>
      <c r="AC34" s="430">
        <f t="shared" si="14"/>
        <v>3.3178842428532477E-5</v>
      </c>
      <c r="AD34" s="431">
        <f t="shared" si="15"/>
        <v>2.1281791091192011</v>
      </c>
      <c r="AE34" s="445">
        <v>1000000000000</v>
      </c>
      <c r="AF34" s="445">
        <f t="shared" si="20"/>
        <v>-0.59984013195233599</v>
      </c>
      <c r="AG34" s="446">
        <f t="shared" si="21"/>
        <v>3.7897942783917737</v>
      </c>
      <c r="AH34" s="432">
        <f t="shared" si="18"/>
        <v>2.2132747214164068</v>
      </c>
      <c r="AI34" s="432">
        <f t="shared" si="19"/>
        <v>1000</v>
      </c>
    </row>
    <row r="35" spans="1:36">
      <c r="A35" t="s">
        <v>492</v>
      </c>
      <c r="B35">
        <v>53</v>
      </c>
      <c r="C35" t="s">
        <v>11</v>
      </c>
      <c r="D35">
        <v>10</v>
      </c>
      <c r="E35">
        <v>-28</v>
      </c>
      <c r="F35">
        <v>53</v>
      </c>
      <c r="G35">
        <v>19.489999999999998</v>
      </c>
      <c r="H35">
        <v>0.5</v>
      </c>
      <c r="I35">
        <v>10</v>
      </c>
      <c r="J35">
        <v>0</v>
      </c>
      <c r="K35">
        <v>0</v>
      </c>
      <c r="L35">
        <v>10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3.7735849056873973E-5</v>
      </c>
      <c r="W35">
        <v>0.37735849056756687</v>
      </c>
      <c r="X35" s="426">
        <f t="shared" si="10"/>
        <v>0</v>
      </c>
      <c r="Y35" s="426">
        <f t="shared" si="11"/>
        <v>0</v>
      </c>
      <c r="Z35" s="427" t="str">
        <f t="shared" si="12"/>
        <v>coax zero53</v>
      </c>
      <c r="AA35" s="428">
        <v>1E-3</v>
      </c>
      <c r="AB35" s="429">
        <f t="shared" si="13"/>
        <v>0</v>
      </c>
      <c r="AC35" s="430">
        <f t="shared" si="14"/>
        <v>0</v>
      </c>
      <c r="AD35" s="431">
        <f t="shared" si="15"/>
        <v>0</v>
      </c>
      <c r="AE35" s="445">
        <v>1000000000000</v>
      </c>
      <c r="AF35" s="445" t="e">
        <f t="shared" ref="AF35:AF46" si="22">-AE35*P35/S35^2</f>
        <v>#DIV/0!</v>
      </c>
      <c r="AG35" s="446" t="e">
        <f t="shared" ref="AG35:AG46" si="23">ABS(Q35/P35*AF35)</f>
        <v>#DIV/0!</v>
      </c>
      <c r="AH35" s="432">
        <f t="shared" si="18"/>
        <v>0</v>
      </c>
      <c r="AI35" s="432">
        <f t="shared" si="19"/>
        <v>53</v>
      </c>
    </row>
    <row r="36" spans="1:36">
      <c r="A36" t="s">
        <v>492</v>
      </c>
      <c r="B36">
        <v>400</v>
      </c>
      <c r="C36" t="s">
        <v>11</v>
      </c>
      <c r="D36">
        <v>0</v>
      </c>
      <c r="E36">
        <v>-26</v>
      </c>
      <c r="F36">
        <v>400</v>
      </c>
      <c r="G36">
        <v>19.52</v>
      </c>
      <c r="H36">
        <v>0.5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5.0000000000676097E-6</v>
      </c>
      <c r="W36">
        <v>5.0000000001325158E-2</v>
      </c>
      <c r="X36" s="426">
        <f t="shared" si="10"/>
        <v>0</v>
      </c>
      <c r="Y36" s="426">
        <f t="shared" si="11"/>
        <v>0</v>
      </c>
      <c r="Z36" s="427" t="str">
        <f t="shared" si="12"/>
        <v>coax zero400</v>
      </c>
      <c r="AA36" s="428">
        <v>1E-3</v>
      </c>
      <c r="AB36" s="429">
        <f t="shared" si="13"/>
        <v>0</v>
      </c>
      <c r="AC36" s="430">
        <f t="shared" si="14"/>
        <v>0</v>
      </c>
      <c r="AD36" s="431">
        <f t="shared" si="15"/>
        <v>0</v>
      </c>
      <c r="AE36" s="445">
        <v>1000000000000</v>
      </c>
      <c r="AF36" s="445" t="e">
        <f t="shared" si="22"/>
        <v>#DIV/0!</v>
      </c>
      <c r="AG36" s="446" t="e">
        <f t="shared" si="23"/>
        <v>#DIV/0!</v>
      </c>
      <c r="AH36" s="432">
        <f t="shared" si="18"/>
        <v>0</v>
      </c>
      <c r="AI36" s="432">
        <f t="shared" si="19"/>
        <v>400</v>
      </c>
    </row>
    <row r="37" spans="1:36">
      <c r="A37" t="s">
        <v>492</v>
      </c>
      <c r="B37">
        <v>1000</v>
      </c>
      <c r="C37" t="s">
        <v>11</v>
      </c>
      <c r="D37">
        <v>0</v>
      </c>
      <c r="E37">
        <v>-22</v>
      </c>
      <c r="F37">
        <v>1000</v>
      </c>
      <c r="G37">
        <v>19.52</v>
      </c>
      <c r="H37">
        <v>0.5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2.0000000001210172E-6</v>
      </c>
      <c r="W37">
        <v>2.000000000237194E-2</v>
      </c>
      <c r="X37" s="426">
        <f t="shared" si="10"/>
        <v>0</v>
      </c>
      <c r="Y37" s="426">
        <f t="shared" si="11"/>
        <v>0</v>
      </c>
      <c r="Z37" s="427" t="str">
        <f t="shared" si="12"/>
        <v>coax zero1000</v>
      </c>
      <c r="AA37" s="428">
        <v>1E-3</v>
      </c>
      <c r="AB37" s="429">
        <f t="shared" si="13"/>
        <v>0</v>
      </c>
      <c r="AC37" s="430">
        <f t="shared" si="14"/>
        <v>0</v>
      </c>
      <c r="AD37" s="431">
        <f t="shared" si="15"/>
        <v>0</v>
      </c>
      <c r="AE37" s="445">
        <v>1000000000000</v>
      </c>
      <c r="AF37" s="445" t="e">
        <f t="shared" si="22"/>
        <v>#DIV/0!</v>
      </c>
      <c r="AG37" s="446" t="e">
        <f t="shared" si="23"/>
        <v>#DIV/0!</v>
      </c>
      <c r="AH37" s="432">
        <f t="shared" si="18"/>
        <v>0</v>
      </c>
      <c r="AI37" s="432">
        <f t="shared" si="19"/>
        <v>1000</v>
      </c>
    </row>
    <row r="38" spans="1:36">
      <c r="A38" t="s">
        <v>322</v>
      </c>
      <c r="B38">
        <v>53</v>
      </c>
      <c r="C38" t="s">
        <v>11</v>
      </c>
      <c r="D38">
        <v>-67</v>
      </c>
      <c r="E38">
        <v>10001342</v>
      </c>
      <c r="F38">
        <v>53</v>
      </c>
      <c r="G38">
        <v>19.5</v>
      </c>
      <c r="H38">
        <v>0.5</v>
      </c>
      <c r="I38">
        <v>10</v>
      </c>
      <c r="J38">
        <v>0</v>
      </c>
      <c r="K38">
        <v>0</v>
      </c>
      <c r="L38">
        <v>10</v>
      </c>
      <c r="M38">
        <v>0</v>
      </c>
      <c r="N38">
        <v>5.0000000000000004E-6</v>
      </c>
      <c r="O38">
        <v>10</v>
      </c>
      <c r="P38">
        <v>-7.7016440190633804E-5</v>
      </c>
      <c r="Q38">
        <v>5.2011705397334261E-5</v>
      </c>
      <c r="R38">
        <v>2.0464644677535531</v>
      </c>
      <c r="S38">
        <v>10002.089107768081</v>
      </c>
      <c r="T38">
        <v>0.49675870086354829</v>
      </c>
      <c r="U38">
        <v>2.0303604014925232</v>
      </c>
      <c r="V38">
        <v>3.9038897669712158E-5</v>
      </c>
      <c r="W38">
        <v>0.4025015662260028</v>
      </c>
      <c r="X38" s="426">
        <f t="shared" si="10"/>
        <v>1.332304662835982</v>
      </c>
      <c r="Y38" s="426">
        <f t="shared" si="11"/>
        <v>1.2341783052457007</v>
      </c>
      <c r="Z38" s="427" t="str">
        <f t="shared" si="12"/>
        <v>53_10 k ohm53</v>
      </c>
      <c r="AA38" s="428">
        <v>1E-3</v>
      </c>
      <c r="AB38" s="429">
        <f t="shared" si="13"/>
        <v>10.00208910776808</v>
      </c>
      <c r="AC38" s="430">
        <f t="shared" si="14"/>
        <v>4.9675870086354833E-4</v>
      </c>
      <c r="AD38" s="431">
        <f t="shared" si="15"/>
        <v>2.0303604014925232</v>
      </c>
      <c r="AE38" s="445">
        <v>1000000000000</v>
      </c>
      <c r="AF38" s="445">
        <f t="shared" si="22"/>
        <v>0.76984271142981431</v>
      </c>
      <c r="AG38" s="446">
        <f t="shared" si="23"/>
        <v>0.51989980593834306</v>
      </c>
      <c r="AH38" s="432">
        <f t="shared" si="18"/>
        <v>2.0464644677535531</v>
      </c>
      <c r="AI38" s="432">
        <f t="shared" si="19"/>
        <v>53</v>
      </c>
    </row>
    <row r="39" spans="1:36">
      <c r="A39" t="s">
        <v>323</v>
      </c>
      <c r="B39">
        <v>400</v>
      </c>
      <c r="C39" t="s">
        <v>11</v>
      </c>
      <c r="D39">
        <v>-63</v>
      </c>
      <c r="E39">
        <v>10001340</v>
      </c>
      <c r="F39">
        <v>400</v>
      </c>
      <c r="G39">
        <v>19.510000000000002</v>
      </c>
      <c r="H39">
        <v>0.5</v>
      </c>
      <c r="I39">
        <v>10</v>
      </c>
      <c r="J39">
        <v>0</v>
      </c>
      <c r="K39">
        <v>0</v>
      </c>
      <c r="L39">
        <v>10</v>
      </c>
      <c r="M39">
        <v>0</v>
      </c>
      <c r="N39">
        <v>5.0000000000000004E-6</v>
      </c>
      <c r="O39">
        <v>10</v>
      </c>
      <c r="P39">
        <v>-6.3013451065064031E-5</v>
      </c>
      <c r="Q39">
        <v>3.8399368273138997E-5</v>
      </c>
      <c r="R39">
        <v>2.1879492615464189</v>
      </c>
      <c r="S39">
        <v>10002.08510748047</v>
      </c>
      <c r="T39">
        <v>0.33990023044971718</v>
      </c>
      <c r="U39">
        <v>2.1058142482360469</v>
      </c>
      <c r="V39">
        <v>1.1182181680262269E-5</v>
      </c>
      <c r="W39">
        <v>0.14868783596759269</v>
      </c>
      <c r="X39" s="426">
        <f t="shared" si="10"/>
        <v>3.4339782138326309</v>
      </c>
      <c r="Y39" s="426">
        <f t="shared" si="11"/>
        <v>2.2859989066207156</v>
      </c>
      <c r="Z39" s="427" t="str">
        <f t="shared" si="12"/>
        <v>400_10 k ohm400</v>
      </c>
      <c r="AA39" s="428">
        <v>1E-3</v>
      </c>
      <c r="AB39" s="429">
        <f t="shared" si="13"/>
        <v>10.00208510748047</v>
      </c>
      <c r="AC39" s="430">
        <f t="shared" si="14"/>
        <v>3.3990023044971717E-4</v>
      </c>
      <c r="AD39" s="431">
        <f t="shared" si="15"/>
        <v>2.1058142482360469</v>
      </c>
      <c r="AE39" s="445">
        <v>1000000000000</v>
      </c>
      <c r="AF39" s="445">
        <f t="shared" si="22"/>
        <v>0.62987181317999241</v>
      </c>
      <c r="AG39" s="446">
        <f t="shared" si="23"/>
        <v>0.38383359918177745</v>
      </c>
      <c r="AH39" s="432">
        <f t="shared" si="18"/>
        <v>2.1879492615464189</v>
      </c>
      <c r="AI39" s="432">
        <f t="shared" si="19"/>
        <v>400</v>
      </c>
    </row>
    <row r="40" spans="1:36">
      <c r="A40" t="s">
        <v>324</v>
      </c>
      <c r="B40">
        <v>1000</v>
      </c>
      <c r="C40" t="s">
        <v>11</v>
      </c>
      <c r="D40">
        <v>-61</v>
      </c>
      <c r="E40">
        <v>10001312</v>
      </c>
      <c r="F40">
        <v>1000</v>
      </c>
      <c r="G40">
        <v>19.52</v>
      </c>
      <c r="H40">
        <v>0.5</v>
      </c>
      <c r="I40">
        <v>10</v>
      </c>
      <c r="J40">
        <v>0</v>
      </c>
      <c r="K40">
        <v>0</v>
      </c>
      <c r="L40">
        <v>10</v>
      </c>
      <c r="M40">
        <v>0</v>
      </c>
      <c r="N40">
        <v>5.0000000000000004E-6</v>
      </c>
      <c r="O40">
        <v>10</v>
      </c>
      <c r="P40">
        <v>-6.1013024047125477E-5</v>
      </c>
      <c r="Q40">
        <v>3.7914837802255377E-5</v>
      </c>
      <c r="R40">
        <v>2.2132737368077922</v>
      </c>
      <c r="S40">
        <v>10002.053105179641</v>
      </c>
      <c r="T40">
        <v>0.3330337722700818</v>
      </c>
      <c r="U40">
        <v>2.1244770666502371</v>
      </c>
      <c r="V40">
        <v>1.020003073166771E-5</v>
      </c>
      <c r="W40">
        <v>0.14144950608575549</v>
      </c>
      <c r="X40" s="426">
        <f t="shared" si="10"/>
        <v>3.7171297616332066</v>
      </c>
      <c r="Y40" s="426">
        <f t="shared" si="11"/>
        <v>2.3544357381366607</v>
      </c>
      <c r="Z40" s="427" t="str">
        <f t="shared" si="12"/>
        <v>1000_10 k ohm1000</v>
      </c>
      <c r="AA40" s="428">
        <v>1E-3</v>
      </c>
      <c r="AB40" s="429">
        <f t="shared" si="13"/>
        <v>10.002053105179641</v>
      </c>
      <c r="AC40" s="430">
        <f t="shared" si="14"/>
        <v>3.3303377227008181E-4</v>
      </c>
      <c r="AD40" s="431">
        <f t="shared" si="15"/>
        <v>2.1244770666502371</v>
      </c>
      <c r="AE40" s="445">
        <v>1000000000000</v>
      </c>
      <c r="AF40" s="445">
        <f t="shared" si="22"/>
        <v>0.60987978529412357</v>
      </c>
      <c r="AG40" s="446">
        <f t="shared" si="23"/>
        <v>0.37899273965573016</v>
      </c>
      <c r="AH40" s="432">
        <f t="shared" si="18"/>
        <v>2.2132737368077922</v>
      </c>
      <c r="AI40" s="432">
        <f t="shared" si="19"/>
        <v>1000</v>
      </c>
    </row>
    <row r="41" spans="1:36">
      <c r="A41" t="s">
        <v>492</v>
      </c>
      <c r="B41">
        <v>53</v>
      </c>
      <c r="C41" t="s">
        <v>63</v>
      </c>
      <c r="D41">
        <v>10</v>
      </c>
      <c r="E41">
        <v>-7</v>
      </c>
      <c r="F41">
        <v>53</v>
      </c>
      <c r="G41">
        <v>19.55</v>
      </c>
      <c r="H41">
        <v>0.5</v>
      </c>
      <c r="I41">
        <v>10</v>
      </c>
      <c r="J41">
        <v>0</v>
      </c>
      <c r="K41">
        <v>0</v>
      </c>
      <c r="L41">
        <v>10</v>
      </c>
      <c r="M41">
        <v>0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3.7735849056864202E-4</v>
      </c>
      <c r="W41">
        <v>3.7735849056737591</v>
      </c>
      <c r="X41" s="426">
        <f t="shared" si="10"/>
        <v>0</v>
      </c>
      <c r="Y41" s="426">
        <f t="shared" si="11"/>
        <v>0</v>
      </c>
      <c r="Z41" s="427" t="str">
        <f t="shared" si="12"/>
        <v>coax zero53</v>
      </c>
      <c r="AA41" s="428">
        <v>1E-3</v>
      </c>
      <c r="AB41" s="429">
        <f t="shared" si="13"/>
        <v>0</v>
      </c>
      <c r="AC41" s="430">
        <f t="shared" si="14"/>
        <v>0</v>
      </c>
      <c r="AD41" s="431">
        <f t="shared" si="15"/>
        <v>0</v>
      </c>
      <c r="AE41" s="445">
        <v>1000000000000</v>
      </c>
      <c r="AF41" s="445" t="e">
        <f t="shared" si="22"/>
        <v>#DIV/0!</v>
      </c>
      <c r="AG41" s="446" t="e">
        <f t="shared" si="23"/>
        <v>#DIV/0!</v>
      </c>
      <c r="AH41" s="432">
        <f t="shared" si="18"/>
        <v>0</v>
      </c>
      <c r="AI41" s="432">
        <f t="shared" si="19"/>
        <v>53</v>
      </c>
    </row>
    <row r="42" spans="1:36">
      <c r="A42" t="s">
        <v>492</v>
      </c>
      <c r="B42">
        <v>400</v>
      </c>
      <c r="C42" t="s">
        <v>63</v>
      </c>
      <c r="D42">
        <v>0</v>
      </c>
      <c r="E42">
        <v>-10</v>
      </c>
      <c r="F42">
        <v>400</v>
      </c>
      <c r="G42">
        <v>19.53</v>
      </c>
      <c r="H42">
        <v>0.5</v>
      </c>
      <c r="I42">
        <v>10</v>
      </c>
      <c r="J42">
        <v>0</v>
      </c>
      <c r="K42">
        <v>0</v>
      </c>
      <c r="L42">
        <v>10</v>
      </c>
      <c r="M42">
        <v>0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5.00000000001E-5</v>
      </c>
      <c r="W42">
        <v>0.50000000000195999</v>
      </c>
      <c r="X42" s="426">
        <f t="shared" si="10"/>
        <v>0</v>
      </c>
      <c r="Y42" s="426">
        <f t="shared" si="11"/>
        <v>0</v>
      </c>
      <c r="Z42" s="427" t="str">
        <f t="shared" si="12"/>
        <v>coax zero400</v>
      </c>
      <c r="AA42" s="428">
        <v>1E-3</v>
      </c>
      <c r="AB42" s="429">
        <f t="shared" si="13"/>
        <v>0</v>
      </c>
      <c r="AC42" s="430">
        <f t="shared" si="14"/>
        <v>0</v>
      </c>
      <c r="AD42" s="431">
        <f t="shared" si="15"/>
        <v>0</v>
      </c>
      <c r="AE42" s="445">
        <v>1000000000000</v>
      </c>
      <c r="AF42" s="445" t="e">
        <f t="shared" si="22"/>
        <v>#DIV/0!</v>
      </c>
      <c r="AG42" s="446" t="e">
        <f t="shared" si="23"/>
        <v>#DIV/0!</v>
      </c>
      <c r="AH42" s="432">
        <f t="shared" si="18"/>
        <v>0</v>
      </c>
      <c r="AI42" s="432">
        <f t="shared" si="19"/>
        <v>400</v>
      </c>
    </row>
    <row r="43" spans="1:36">
      <c r="A43" t="s">
        <v>492</v>
      </c>
      <c r="B43">
        <v>1000</v>
      </c>
      <c r="C43" t="s">
        <v>63</v>
      </c>
      <c r="D43">
        <v>-1</v>
      </c>
      <c r="E43">
        <v>-10</v>
      </c>
      <c r="F43">
        <v>1000</v>
      </c>
      <c r="G43">
        <v>19.53</v>
      </c>
      <c r="H43">
        <v>0.5</v>
      </c>
      <c r="I43">
        <v>10</v>
      </c>
      <c r="J43">
        <v>0</v>
      </c>
      <c r="K43">
        <v>0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2.0000000000740149E-5</v>
      </c>
      <c r="W43">
        <v>0.20000000000740081</v>
      </c>
      <c r="X43" s="426">
        <f t="shared" si="10"/>
        <v>0</v>
      </c>
      <c r="Y43" s="426">
        <f t="shared" si="11"/>
        <v>0</v>
      </c>
      <c r="Z43" s="427" t="str">
        <f t="shared" si="12"/>
        <v>coax zero1000</v>
      </c>
      <c r="AA43" s="428">
        <v>1E-3</v>
      </c>
      <c r="AB43" s="429">
        <f t="shared" si="13"/>
        <v>0</v>
      </c>
      <c r="AC43" s="430">
        <f t="shared" si="14"/>
        <v>0</v>
      </c>
      <c r="AD43" s="431">
        <f t="shared" si="15"/>
        <v>0</v>
      </c>
      <c r="AE43" s="445">
        <v>1000000000000</v>
      </c>
      <c r="AF43" s="445" t="e">
        <f t="shared" si="22"/>
        <v>#DIV/0!</v>
      </c>
      <c r="AG43" s="446" t="e">
        <f t="shared" si="23"/>
        <v>#DIV/0!</v>
      </c>
      <c r="AH43" s="432">
        <f t="shared" si="18"/>
        <v>0</v>
      </c>
      <c r="AI43" s="432">
        <f t="shared" si="19"/>
        <v>1000</v>
      </c>
    </row>
    <row r="44" spans="1:36">
      <c r="A44" t="s">
        <v>325</v>
      </c>
      <c r="B44">
        <v>53</v>
      </c>
      <c r="C44" t="s">
        <v>63</v>
      </c>
      <c r="D44">
        <v>-800</v>
      </c>
      <c r="E44">
        <v>10002700</v>
      </c>
      <c r="F44">
        <v>53</v>
      </c>
      <c r="G44">
        <v>19.54</v>
      </c>
      <c r="H44">
        <v>0.5</v>
      </c>
      <c r="I44">
        <v>10</v>
      </c>
      <c r="J44">
        <v>0</v>
      </c>
      <c r="K44">
        <v>0</v>
      </c>
      <c r="L44">
        <v>10</v>
      </c>
      <c r="M44">
        <v>0</v>
      </c>
      <c r="N44">
        <v>5.0000000000000004E-6</v>
      </c>
      <c r="O44">
        <v>10</v>
      </c>
      <c r="P44">
        <v>-8.1012190419215147E-3</v>
      </c>
      <c r="Q44">
        <v>5.2011658521835473E-4</v>
      </c>
      <c r="R44">
        <v>2.0464701187166319</v>
      </c>
      <c r="S44">
        <v>100027.9602289778</v>
      </c>
      <c r="T44">
        <v>4.9640828920608406</v>
      </c>
      <c r="U44">
        <v>2.0305774373443271</v>
      </c>
      <c r="V44">
        <v>3.9039085769724451E-4</v>
      </c>
      <c r="W44">
        <v>4.0250511959270163</v>
      </c>
      <c r="X44" s="426">
        <f t="shared" si="10"/>
        <v>1.3322970427286875</v>
      </c>
      <c r="Y44" s="426">
        <f t="shared" si="11"/>
        <v>1.2332968328661356</v>
      </c>
      <c r="Z44" s="427" t="str">
        <f t="shared" si="12"/>
        <v>53_100 k ohm53</v>
      </c>
      <c r="AA44" s="428">
        <v>1E-3</v>
      </c>
      <c r="AB44" s="429">
        <f t="shared" si="13"/>
        <v>100.0279602289778</v>
      </c>
      <c r="AC44" s="430">
        <f t="shared" si="14"/>
        <v>4.9640828920608409E-3</v>
      </c>
      <c r="AD44" s="431">
        <f t="shared" si="15"/>
        <v>2.0305774373443271</v>
      </c>
      <c r="AE44" s="445">
        <v>1000000000000</v>
      </c>
      <c r="AF44" s="445">
        <f t="shared" si="22"/>
        <v>0.80966907024229162</v>
      </c>
      <c r="AG44" s="446">
        <f t="shared" si="23"/>
        <v>5.1982585558068756E-2</v>
      </c>
      <c r="AH44" s="432">
        <f t="shared" si="18"/>
        <v>2.0464701187166319</v>
      </c>
      <c r="AI44" s="432">
        <f t="shared" si="19"/>
        <v>53</v>
      </c>
    </row>
    <row r="45" spans="1:36">
      <c r="A45" t="s">
        <v>326</v>
      </c>
      <c r="B45">
        <v>400</v>
      </c>
      <c r="C45" t="s">
        <v>63</v>
      </c>
      <c r="D45">
        <v>-777</v>
      </c>
      <c r="E45">
        <v>10002664</v>
      </c>
      <c r="F45">
        <v>400</v>
      </c>
      <c r="G45">
        <v>19.53</v>
      </c>
      <c r="H45">
        <v>0.5</v>
      </c>
      <c r="I45">
        <v>10</v>
      </c>
      <c r="J45">
        <v>0</v>
      </c>
      <c r="K45">
        <v>0</v>
      </c>
      <c r="L45">
        <v>10</v>
      </c>
      <c r="M45">
        <v>0</v>
      </c>
      <c r="N45">
        <v>5.0000000000000004E-6</v>
      </c>
      <c r="O45">
        <v>10</v>
      </c>
      <c r="P45">
        <v>-7.7711693772506384E-3</v>
      </c>
      <c r="Q45">
        <v>3.8401777964020668E-4</v>
      </c>
      <c r="R45">
        <v>2.1879580973860611</v>
      </c>
      <c r="S45">
        <v>100027.6302260408</v>
      </c>
      <c r="T45">
        <v>3.3969281842749521</v>
      </c>
      <c r="U45">
        <v>2.1063515240015169</v>
      </c>
      <c r="V45">
        <v>1.118280762581288E-4</v>
      </c>
      <c r="W45">
        <v>1.4869700525860139</v>
      </c>
      <c r="X45" s="426">
        <f t="shared" si="10"/>
        <v>3.4340014823629086</v>
      </c>
      <c r="Y45" s="426">
        <f t="shared" si="11"/>
        <v>2.2844630787064601</v>
      </c>
      <c r="Z45" s="427" t="str">
        <f t="shared" si="12"/>
        <v>400_100 k ohm400</v>
      </c>
      <c r="AA45" s="428">
        <v>1E-3</v>
      </c>
      <c r="AB45" s="429">
        <f t="shared" si="13"/>
        <v>100.0276302260408</v>
      </c>
      <c r="AC45" s="430">
        <f t="shared" si="14"/>
        <v>3.3969281842749521E-3</v>
      </c>
      <c r="AD45" s="431">
        <f t="shared" si="15"/>
        <v>2.1063515240015169</v>
      </c>
      <c r="AE45" s="445">
        <v>1000000000000</v>
      </c>
      <c r="AF45" s="445">
        <f t="shared" si="22"/>
        <v>0.77668767730870092</v>
      </c>
      <c r="AG45" s="446">
        <f t="shared" si="23"/>
        <v>3.8380565759785143E-2</v>
      </c>
      <c r="AH45" s="432">
        <f t="shared" si="18"/>
        <v>2.1879580973860611</v>
      </c>
      <c r="AI45" s="432">
        <f t="shared" si="19"/>
        <v>400</v>
      </c>
    </row>
    <row r="46" spans="1:36">
      <c r="A46" t="s">
        <v>327</v>
      </c>
      <c r="B46">
        <v>1000</v>
      </c>
      <c r="C46" t="s">
        <v>63</v>
      </c>
      <c r="D46">
        <v>-769</v>
      </c>
      <c r="E46">
        <v>10002551</v>
      </c>
      <c r="F46">
        <v>1000</v>
      </c>
      <c r="G46">
        <v>19.52</v>
      </c>
      <c r="H46">
        <v>0.5</v>
      </c>
      <c r="I46">
        <v>10</v>
      </c>
      <c r="J46">
        <v>0</v>
      </c>
      <c r="K46">
        <v>0</v>
      </c>
      <c r="L46">
        <v>10</v>
      </c>
      <c r="M46">
        <v>0</v>
      </c>
      <c r="N46">
        <v>5.0000000000000004E-6</v>
      </c>
      <c r="O46">
        <v>10</v>
      </c>
      <c r="P46">
        <v>-7.6811558323403983E-3</v>
      </c>
      <c r="Q46">
        <v>3.7917047779591347E-4</v>
      </c>
      <c r="R46">
        <v>2.2132769175734559</v>
      </c>
      <c r="S46">
        <v>100026.50021598391</v>
      </c>
      <c r="T46">
        <v>3.330528694514967</v>
      </c>
      <c r="U46">
        <v>2.124479508846326</v>
      </c>
      <c r="V46">
        <v>1.020063347746343E-4</v>
      </c>
      <c r="W46">
        <v>1.4145796607392169</v>
      </c>
      <c r="X46" s="426">
        <f t="shared" si="10"/>
        <v>3.7171267709365932</v>
      </c>
      <c r="Y46" s="426">
        <f t="shared" si="11"/>
        <v>2.354429932051004</v>
      </c>
      <c r="Z46" s="427" t="str">
        <f t="shared" si="12"/>
        <v>1000_100 k ohm1000</v>
      </c>
      <c r="AA46" s="428">
        <v>1E-3</v>
      </c>
      <c r="AB46" s="429">
        <f t="shared" si="13"/>
        <v>100.0265002159839</v>
      </c>
      <c r="AC46" s="430">
        <f t="shared" si="14"/>
        <v>3.3305286945149669E-3</v>
      </c>
      <c r="AD46" s="431">
        <f t="shared" si="15"/>
        <v>2.124479508846326</v>
      </c>
      <c r="AE46" s="445">
        <v>1000000000000</v>
      </c>
      <c r="AF46" s="445">
        <f t="shared" si="22"/>
        <v>0.76770864042514209</v>
      </c>
      <c r="AG46" s="446">
        <f t="shared" si="23"/>
        <v>3.7896959565961348E-2</v>
      </c>
      <c r="AH46" s="432">
        <f t="shared" si="18"/>
        <v>2.2132769175734559</v>
      </c>
      <c r="AI46" s="432">
        <f t="shared" si="19"/>
        <v>1000</v>
      </c>
    </row>
    <row r="47" spans="1:36">
      <c r="A47" t="s">
        <v>492</v>
      </c>
      <c r="B47">
        <v>1600</v>
      </c>
      <c r="C47" t="s">
        <v>10</v>
      </c>
      <c r="D47">
        <v>-1</v>
      </c>
      <c r="E47">
        <v>-8</v>
      </c>
      <c r="F47">
        <v>1600</v>
      </c>
      <c r="G47">
        <v>19.559999999999999</v>
      </c>
      <c r="H47">
        <v>0.5</v>
      </c>
      <c r="I47">
        <v>10</v>
      </c>
      <c r="J47">
        <v>0</v>
      </c>
      <c r="K47">
        <v>0</v>
      </c>
      <c r="L47">
        <v>10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1.250000000104037E-7</v>
      </c>
      <c r="W47">
        <v>1.2500000000902E-3</v>
      </c>
      <c r="X47" s="426">
        <f t="shared" si="10"/>
        <v>0</v>
      </c>
      <c r="Y47" s="426">
        <f t="shared" si="11"/>
        <v>0</v>
      </c>
      <c r="Z47" s="427" t="str">
        <f t="shared" si="12"/>
        <v>coax zero1600</v>
      </c>
      <c r="AA47" s="428">
        <v>1</v>
      </c>
      <c r="AB47" s="429">
        <f t="shared" si="13"/>
        <v>0</v>
      </c>
      <c r="AC47" s="430">
        <f t="shared" si="14"/>
        <v>0</v>
      </c>
      <c r="AD47" s="431">
        <f t="shared" si="15"/>
        <v>0</v>
      </c>
      <c r="AE47" s="428">
        <v>1000024</v>
      </c>
      <c r="AF47" s="428">
        <f t="shared" si="16"/>
        <v>0</v>
      </c>
      <c r="AG47" s="431">
        <f t="shared" si="17"/>
        <v>0</v>
      </c>
      <c r="AH47" s="432">
        <f t="shared" si="18"/>
        <v>0</v>
      </c>
      <c r="AI47" s="432">
        <f t="shared" si="19"/>
        <v>1600</v>
      </c>
    </row>
    <row r="48" spans="1:36">
      <c r="A48" t="s">
        <v>329</v>
      </c>
      <c r="B48">
        <v>1600</v>
      </c>
      <c r="C48" t="s">
        <v>10</v>
      </c>
      <c r="D48">
        <v>1001</v>
      </c>
      <c r="E48">
        <v>6324510</v>
      </c>
      <c r="F48">
        <v>1600</v>
      </c>
      <c r="G48">
        <v>19.559999999999999</v>
      </c>
      <c r="H48">
        <v>0.5</v>
      </c>
      <c r="I48">
        <v>10</v>
      </c>
      <c r="J48">
        <v>0</v>
      </c>
      <c r="K48">
        <v>1.5750000000000001E-4</v>
      </c>
      <c r="L48">
        <v>10</v>
      </c>
      <c r="M48">
        <v>0</v>
      </c>
      <c r="N48">
        <v>5.0000000000000004E-6</v>
      </c>
      <c r="O48">
        <v>10</v>
      </c>
      <c r="P48">
        <v>1.0022139359872091E-4</v>
      </c>
      <c r="Q48">
        <v>2.406833814254818E-6</v>
      </c>
      <c r="R48">
        <v>2.2047892227960419</v>
      </c>
      <c r="S48">
        <v>632.49727387031101</v>
      </c>
      <c r="T48">
        <v>2.116225349506998E-2</v>
      </c>
      <c r="U48">
        <v>2.1194213140360652</v>
      </c>
      <c r="V48">
        <v>6.4473153649119186E-7</v>
      </c>
      <c r="W48">
        <v>8.9427485127600501E-3</v>
      </c>
      <c r="X48" s="426">
        <f t="shared" si="10"/>
        <v>3.7330790849063726</v>
      </c>
      <c r="Y48" s="426">
        <f t="shared" si="11"/>
        <v>2.3664149187326924</v>
      </c>
      <c r="Z48" s="427" t="str">
        <f t="shared" si="12"/>
        <v>1600_100 micro1600</v>
      </c>
      <c r="AA48" s="428">
        <v>1</v>
      </c>
      <c r="AB48" s="429">
        <f t="shared" si="13"/>
        <v>632.49727387031101</v>
      </c>
      <c r="AC48" s="430">
        <f t="shared" si="14"/>
        <v>2.116225349506998E-2</v>
      </c>
      <c r="AD48" s="431">
        <f t="shared" si="15"/>
        <v>2.1194213140360652</v>
      </c>
      <c r="AE48" s="428">
        <v>1000025</v>
      </c>
      <c r="AF48" s="428">
        <f t="shared" si="16"/>
        <v>100.22389913356088</v>
      </c>
      <c r="AG48" s="431">
        <f t="shared" si="17"/>
        <v>2.4068939851001745</v>
      </c>
      <c r="AH48" s="432">
        <f t="shared" si="18"/>
        <v>2.2047892227960419</v>
      </c>
      <c r="AI48" s="432">
        <f t="shared" si="19"/>
        <v>1600</v>
      </c>
    </row>
    <row r="49" spans="1:36">
      <c r="A49" t="s">
        <v>492</v>
      </c>
      <c r="B49">
        <v>1600</v>
      </c>
      <c r="C49" t="s">
        <v>11</v>
      </c>
      <c r="D49">
        <v>-1</v>
      </c>
      <c r="E49">
        <v>-20</v>
      </c>
      <c r="F49">
        <v>1600</v>
      </c>
      <c r="G49">
        <v>19.559999999999999</v>
      </c>
      <c r="H49">
        <v>0.5</v>
      </c>
      <c r="I49">
        <v>10</v>
      </c>
      <c r="J49">
        <v>0</v>
      </c>
      <c r="K49">
        <v>0</v>
      </c>
      <c r="L49">
        <v>10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1.250000000238456E-6</v>
      </c>
      <c r="W49">
        <v>1.250000000353662E-2</v>
      </c>
      <c r="X49" s="426">
        <f t="shared" si="10"/>
        <v>0</v>
      </c>
      <c r="Y49" s="426">
        <f t="shared" si="11"/>
        <v>0</v>
      </c>
      <c r="Z49" s="427" t="str">
        <f t="shared" si="12"/>
        <v>coax zero1600</v>
      </c>
      <c r="AA49" s="428">
        <v>1</v>
      </c>
      <c r="AB49" s="429">
        <f t="shared" si="13"/>
        <v>0</v>
      </c>
      <c r="AC49" s="430">
        <f t="shared" si="14"/>
        <v>0</v>
      </c>
      <c r="AD49" s="431">
        <f t="shared" si="15"/>
        <v>0</v>
      </c>
      <c r="AE49" s="428">
        <v>1000026</v>
      </c>
      <c r="AF49" s="428">
        <f t="shared" si="16"/>
        <v>0</v>
      </c>
      <c r="AG49" s="431">
        <f t="shared" si="17"/>
        <v>0</v>
      </c>
      <c r="AH49" s="432">
        <f t="shared" si="18"/>
        <v>0</v>
      </c>
      <c r="AI49" s="432">
        <f t="shared" si="19"/>
        <v>1600</v>
      </c>
    </row>
    <row r="50" spans="1:36">
      <c r="A50" t="s">
        <v>330</v>
      </c>
      <c r="B50">
        <v>1600</v>
      </c>
      <c r="C50" t="s">
        <v>11</v>
      </c>
      <c r="D50">
        <v>99862</v>
      </c>
      <c r="E50">
        <v>2000313</v>
      </c>
      <c r="F50">
        <v>1600</v>
      </c>
      <c r="G50">
        <v>19.559999999999999</v>
      </c>
      <c r="H50">
        <v>0.5</v>
      </c>
      <c r="I50">
        <v>10</v>
      </c>
      <c r="J50">
        <v>0</v>
      </c>
      <c r="K50">
        <v>1.5750000000000001E-4</v>
      </c>
      <c r="L50">
        <v>10</v>
      </c>
      <c r="M50">
        <v>0</v>
      </c>
      <c r="N50">
        <v>5.0000000000000004E-6</v>
      </c>
      <c r="O50">
        <v>10</v>
      </c>
      <c r="P50">
        <v>9.9884321646198246E-2</v>
      </c>
      <c r="Q50">
        <v>2.8330133947153619E-5</v>
      </c>
      <c r="R50">
        <v>2.0571617349725262</v>
      </c>
      <c r="S50">
        <v>2000.4768257957689</v>
      </c>
      <c r="T50">
        <v>8.3821821521174567E-2</v>
      </c>
      <c r="U50">
        <v>2.0232698027949092</v>
      </c>
      <c r="V50">
        <v>2.742217419280057E-6</v>
      </c>
      <c r="W50">
        <v>3.2254844135473373E-2</v>
      </c>
      <c r="X50" s="426">
        <f t="shared" si="10"/>
        <v>10.331104218057016</v>
      </c>
      <c r="Y50" s="426">
        <f t="shared" si="11"/>
        <v>2.5987359036402422</v>
      </c>
      <c r="Z50" s="427" t="str">
        <f t="shared" si="12"/>
        <v>1600_100 milli1600</v>
      </c>
      <c r="AA50" s="428">
        <v>1</v>
      </c>
      <c r="AB50" s="429">
        <f t="shared" si="13"/>
        <v>2000.4768257957689</v>
      </c>
      <c r="AC50" s="430">
        <f t="shared" si="14"/>
        <v>8.3821821521174567E-2</v>
      </c>
      <c r="AD50" s="431">
        <f t="shared" si="15"/>
        <v>2.0232698027949092</v>
      </c>
      <c r="AE50" s="428">
        <v>1000027</v>
      </c>
      <c r="AF50" s="428">
        <f t="shared" si="16"/>
        <v>99887.018522882689</v>
      </c>
      <c r="AG50" s="431">
        <f t="shared" si="17"/>
        <v>28.330898860770191</v>
      </c>
      <c r="AH50" s="432">
        <f t="shared" si="18"/>
        <v>2.0571617349725262</v>
      </c>
      <c r="AI50" s="432">
        <f t="shared" si="19"/>
        <v>1600</v>
      </c>
    </row>
    <row r="51" spans="1:36">
      <c r="A51" t="s">
        <v>492</v>
      </c>
      <c r="B51">
        <v>53</v>
      </c>
      <c r="C51" t="s">
        <v>71</v>
      </c>
      <c r="D51">
        <v>30</v>
      </c>
      <c r="E51">
        <v>10</v>
      </c>
      <c r="F51">
        <v>53</v>
      </c>
      <c r="G51">
        <v>19.55</v>
      </c>
      <c r="H51">
        <v>0.5</v>
      </c>
      <c r="I51">
        <v>10</v>
      </c>
      <c r="J51">
        <v>0</v>
      </c>
      <c r="K51">
        <v>0</v>
      </c>
      <c r="L51">
        <v>10</v>
      </c>
      <c r="M51">
        <v>0</v>
      </c>
      <c r="N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3.773650911692389E-15</v>
      </c>
      <c r="W51">
        <v>8.9939357925502395E-14</v>
      </c>
      <c r="X51" s="426">
        <f t="shared" si="10"/>
        <v>0</v>
      </c>
      <c r="Y51" s="426">
        <f t="shared" si="11"/>
        <v>0</v>
      </c>
      <c r="Z51" s="427" t="str">
        <f t="shared" si="12"/>
        <v>coax zero53</v>
      </c>
      <c r="AA51" s="445">
        <v>1000000000</v>
      </c>
      <c r="AB51" s="447">
        <f t="shared" si="13"/>
        <v>0</v>
      </c>
      <c r="AC51" s="448">
        <f t="shared" si="14"/>
        <v>0</v>
      </c>
      <c r="AD51" s="446">
        <f t="shared" si="15"/>
        <v>0</v>
      </c>
      <c r="AE51" s="445">
        <v>1000000000000</v>
      </c>
      <c r="AF51" s="445">
        <f t="shared" si="16"/>
        <v>0</v>
      </c>
      <c r="AG51" s="450">
        <f t="shared" si="17"/>
        <v>0</v>
      </c>
      <c r="AH51" s="449">
        <f t="shared" si="18"/>
        <v>0</v>
      </c>
      <c r="AI51" s="432">
        <f t="shared" si="19"/>
        <v>53</v>
      </c>
      <c r="AJ51" s="451" t="s">
        <v>536</v>
      </c>
    </row>
    <row r="52" spans="1:36">
      <c r="A52" t="s">
        <v>492</v>
      </c>
      <c r="B52">
        <v>400</v>
      </c>
      <c r="C52" t="s">
        <v>71</v>
      </c>
      <c r="D52">
        <v>6</v>
      </c>
      <c r="E52">
        <v>15</v>
      </c>
      <c r="F52">
        <v>400</v>
      </c>
      <c r="G52">
        <v>19.55</v>
      </c>
      <c r="H52">
        <v>0.5</v>
      </c>
      <c r="I52">
        <v>10</v>
      </c>
      <c r="J52">
        <v>0</v>
      </c>
      <c r="K52">
        <v>0</v>
      </c>
      <c r="L52">
        <v>10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5.0001320120640235E-16</v>
      </c>
      <c r="W52">
        <v>6.7862473193730105E-13</v>
      </c>
      <c r="X52" s="426">
        <f t="shared" si="10"/>
        <v>0</v>
      </c>
      <c r="Y52" s="426">
        <f t="shared" si="11"/>
        <v>0</v>
      </c>
      <c r="Z52" s="427" t="str">
        <f t="shared" si="12"/>
        <v>coax zero400</v>
      </c>
      <c r="AA52" s="445">
        <v>1000000000</v>
      </c>
      <c r="AB52" s="447">
        <f t="shared" si="13"/>
        <v>0</v>
      </c>
      <c r="AC52" s="448">
        <f t="shared" si="14"/>
        <v>0</v>
      </c>
      <c r="AD52" s="446">
        <f t="shared" si="15"/>
        <v>0</v>
      </c>
      <c r="AE52" s="445">
        <v>1000000000000</v>
      </c>
      <c r="AF52" s="445">
        <f t="shared" si="16"/>
        <v>0</v>
      </c>
      <c r="AG52" s="450">
        <f t="shared" si="17"/>
        <v>0</v>
      </c>
      <c r="AH52" s="449">
        <f t="shared" si="18"/>
        <v>0</v>
      </c>
      <c r="AI52" s="432">
        <f t="shared" si="19"/>
        <v>400</v>
      </c>
    </row>
    <row r="53" spans="1:36">
      <c r="A53" t="s">
        <v>492</v>
      </c>
      <c r="B53">
        <v>1000</v>
      </c>
      <c r="C53" t="s">
        <v>71</v>
      </c>
      <c r="D53">
        <v>6</v>
      </c>
      <c r="E53">
        <v>16</v>
      </c>
      <c r="F53">
        <v>1000</v>
      </c>
      <c r="G53">
        <v>19.53</v>
      </c>
      <c r="H53">
        <v>0.5</v>
      </c>
      <c r="I53">
        <v>10</v>
      </c>
      <c r="J53">
        <v>0</v>
      </c>
      <c r="K53">
        <v>0</v>
      </c>
      <c r="L53">
        <v>10</v>
      </c>
      <c r="M53">
        <v>0</v>
      </c>
      <c r="N53">
        <v>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2.0001320120640231E-16</v>
      </c>
      <c r="W53">
        <v>1.696561829843252E-12</v>
      </c>
      <c r="X53" s="426">
        <f t="shared" si="10"/>
        <v>0</v>
      </c>
      <c r="Y53" s="426">
        <f t="shared" si="11"/>
        <v>0</v>
      </c>
      <c r="Z53" s="427" t="str">
        <f t="shared" si="12"/>
        <v>coax zero1000</v>
      </c>
      <c r="AA53" s="445">
        <v>1000000000</v>
      </c>
      <c r="AB53" s="447">
        <f t="shared" si="13"/>
        <v>0</v>
      </c>
      <c r="AC53" s="448">
        <f t="shared" si="14"/>
        <v>0</v>
      </c>
      <c r="AD53" s="446">
        <f t="shared" si="15"/>
        <v>0</v>
      </c>
      <c r="AE53" s="445">
        <v>1000000000000</v>
      </c>
      <c r="AF53" s="445">
        <f t="shared" si="16"/>
        <v>0</v>
      </c>
      <c r="AG53" s="450">
        <f t="shared" si="17"/>
        <v>0</v>
      </c>
      <c r="AH53" s="449">
        <f t="shared" si="18"/>
        <v>0</v>
      </c>
      <c r="AI53" s="432">
        <f t="shared" si="19"/>
        <v>1000</v>
      </c>
    </row>
    <row r="54" spans="1:36">
      <c r="A54" t="s">
        <v>334</v>
      </c>
      <c r="B54">
        <v>53</v>
      </c>
      <c r="C54" t="s">
        <v>71</v>
      </c>
      <c r="D54">
        <v>30</v>
      </c>
      <c r="E54">
        <v>10</v>
      </c>
      <c r="F54">
        <v>53</v>
      </c>
      <c r="G54">
        <v>19.55</v>
      </c>
      <c r="H54">
        <v>0.5</v>
      </c>
      <c r="I54">
        <v>10</v>
      </c>
      <c r="J54">
        <v>0</v>
      </c>
      <c r="K54">
        <v>0</v>
      </c>
      <c r="L54">
        <v>10</v>
      </c>
      <c r="M54">
        <v>0</v>
      </c>
      <c r="N54">
        <v>0</v>
      </c>
      <c r="O54">
        <v>10</v>
      </c>
      <c r="P54">
        <v>0</v>
      </c>
      <c r="Q54">
        <v>3.9538232722958237E-15</v>
      </c>
      <c r="R54">
        <v>2.0844856824591131</v>
      </c>
      <c r="S54">
        <v>0</v>
      </c>
      <c r="T54">
        <v>3.9532634986370003E-11</v>
      </c>
      <c r="U54">
        <v>2.0844856824591131</v>
      </c>
      <c r="V54">
        <v>3.773650911692389E-15</v>
      </c>
      <c r="W54">
        <v>8.9939357925502395E-14</v>
      </c>
      <c r="X54" s="426">
        <f t="shared" si="10"/>
        <v>1.0477448404263319</v>
      </c>
      <c r="Y54" s="426">
        <f t="shared" si="11"/>
        <v>439.5476674307065</v>
      </c>
      <c r="Z54" s="427" t="str">
        <f t="shared" si="12"/>
        <v>53_Open53</v>
      </c>
      <c r="AA54" s="445">
        <v>1000000000</v>
      </c>
      <c r="AB54" s="447">
        <f t="shared" si="13"/>
        <v>0</v>
      </c>
      <c r="AC54" s="448">
        <f t="shared" si="14"/>
        <v>3.9532634986370004E-2</v>
      </c>
      <c r="AD54" s="446">
        <f t="shared" si="15"/>
        <v>2.0844856824591131</v>
      </c>
      <c r="AE54" s="445">
        <v>1000000000000</v>
      </c>
      <c r="AF54" s="445">
        <f t="shared" si="16"/>
        <v>0</v>
      </c>
      <c r="AG54" s="450">
        <f t="shared" si="17"/>
        <v>3.9538232722958234E-3</v>
      </c>
      <c r="AH54" s="449">
        <f t="shared" si="18"/>
        <v>2.0844856824591131</v>
      </c>
      <c r="AI54" s="432">
        <f t="shared" si="19"/>
        <v>53</v>
      </c>
    </row>
    <row r="55" spans="1:36">
      <c r="A55" t="s">
        <v>335</v>
      </c>
      <c r="B55">
        <v>400</v>
      </c>
      <c r="C55" t="s">
        <v>71</v>
      </c>
      <c r="D55">
        <v>7</v>
      </c>
      <c r="E55">
        <v>15</v>
      </c>
      <c r="F55">
        <v>400</v>
      </c>
      <c r="G55">
        <v>19.54</v>
      </c>
      <c r="H55">
        <v>0.5</v>
      </c>
      <c r="I55">
        <v>10</v>
      </c>
      <c r="J55">
        <v>0</v>
      </c>
      <c r="K55">
        <v>0</v>
      </c>
      <c r="L55">
        <v>10</v>
      </c>
      <c r="M55">
        <v>0</v>
      </c>
      <c r="N55">
        <v>0</v>
      </c>
      <c r="O55">
        <v>10</v>
      </c>
      <c r="P55">
        <v>1.00009139411567E-16</v>
      </c>
      <c r="Q55">
        <v>9.6670951262618281E-16</v>
      </c>
      <c r="R55">
        <v>2.0640189812603231</v>
      </c>
      <c r="S55">
        <v>0</v>
      </c>
      <c r="T55">
        <v>9.6657264800139729E-12</v>
      </c>
      <c r="U55">
        <v>2.064018981262898</v>
      </c>
      <c r="V55">
        <v>5.0001540140746938E-16</v>
      </c>
      <c r="W55">
        <v>6.7863151839761861E-13</v>
      </c>
      <c r="X55" s="426">
        <f t="shared" si="10"/>
        <v>1.9333594723383292</v>
      </c>
      <c r="Y55" s="426">
        <f t="shared" si="11"/>
        <v>14.242967233288308</v>
      </c>
      <c r="Z55" s="427" t="str">
        <f t="shared" si="12"/>
        <v>400_Open400</v>
      </c>
      <c r="AA55" s="445">
        <v>1000000000</v>
      </c>
      <c r="AB55" s="447">
        <f t="shared" si="13"/>
        <v>0</v>
      </c>
      <c r="AC55" s="448">
        <f t="shared" si="14"/>
        <v>9.6657264800139725E-3</v>
      </c>
      <c r="AD55" s="446">
        <f t="shared" si="15"/>
        <v>2.064018981262898</v>
      </c>
      <c r="AE55" s="445">
        <v>1000000000000</v>
      </c>
      <c r="AF55" s="445">
        <f t="shared" si="16"/>
        <v>1.00009139411567E-4</v>
      </c>
      <c r="AG55" s="450">
        <f t="shared" si="17"/>
        <v>9.6670951262618277E-4</v>
      </c>
      <c r="AH55" s="449">
        <f t="shared" si="18"/>
        <v>2.0640189812603231</v>
      </c>
      <c r="AI55" s="432">
        <f t="shared" si="19"/>
        <v>400</v>
      </c>
    </row>
    <row r="56" spans="1:36">
      <c r="A56" t="s">
        <v>336</v>
      </c>
      <c r="B56">
        <v>1000</v>
      </c>
      <c r="C56" t="s">
        <v>71</v>
      </c>
      <c r="D56">
        <v>6</v>
      </c>
      <c r="E56">
        <v>16</v>
      </c>
      <c r="F56">
        <v>1000</v>
      </c>
      <c r="G56">
        <v>19.53</v>
      </c>
      <c r="H56">
        <v>0.5</v>
      </c>
      <c r="I56">
        <v>10</v>
      </c>
      <c r="J56">
        <v>0</v>
      </c>
      <c r="K56">
        <v>0</v>
      </c>
      <c r="L56">
        <v>10</v>
      </c>
      <c r="M56">
        <v>0</v>
      </c>
      <c r="N56">
        <v>0</v>
      </c>
      <c r="O56">
        <v>10</v>
      </c>
      <c r="P56">
        <v>0</v>
      </c>
      <c r="Q56">
        <v>5.5284819777446288E-16</v>
      </c>
      <c r="R56">
        <v>2.034380127251024</v>
      </c>
      <c r="S56">
        <v>0</v>
      </c>
      <c r="T56">
        <v>5.5276992673473014E-12</v>
      </c>
      <c r="U56">
        <v>2.034380127251024</v>
      </c>
      <c r="V56">
        <v>2.0001320120640231E-16</v>
      </c>
      <c r="W56">
        <v>1.696561829843252E-12</v>
      </c>
      <c r="X56" s="426">
        <f t="shared" si="10"/>
        <v>2.7640585443355552</v>
      </c>
      <c r="Y56" s="426">
        <f t="shared" si="11"/>
        <v>3.2581773149157871</v>
      </c>
      <c r="Z56" s="427" t="str">
        <f t="shared" si="12"/>
        <v>1000_Open1000</v>
      </c>
      <c r="AA56" s="445">
        <v>1000000000</v>
      </c>
      <c r="AB56" s="447">
        <f t="shared" si="13"/>
        <v>0</v>
      </c>
      <c r="AC56" s="448">
        <f t="shared" si="14"/>
        <v>5.527699267347301E-3</v>
      </c>
      <c r="AD56" s="446">
        <f t="shared" si="15"/>
        <v>2.034380127251024</v>
      </c>
      <c r="AE56" s="445">
        <v>1000000000000</v>
      </c>
      <c r="AF56" s="445">
        <f t="shared" si="16"/>
        <v>0</v>
      </c>
      <c r="AG56" s="450">
        <f t="shared" si="17"/>
        <v>5.5284819777446292E-4</v>
      </c>
      <c r="AH56" s="449">
        <f t="shared" si="18"/>
        <v>2.034380127251024</v>
      </c>
      <c r="AI56" s="432">
        <f t="shared" si="19"/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8AB2-FB85-4D38-B73B-4B114EE21517}">
  <sheetPr>
    <pageSetUpPr fitToPage="1"/>
  </sheetPr>
  <dimension ref="A1:Y49"/>
  <sheetViews>
    <sheetView tabSelected="1" topLeftCell="A19" workbookViewId="0">
      <selection activeCell="H30" sqref="H30"/>
    </sheetView>
  </sheetViews>
  <sheetFormatPr defaultRowHeight="12.75"/>
  <cols>
    <col min="1" max="1" width="18.85546875" customWidth="1"/>
    <col min="2" max="2" width="6.7109375" customWidth="1"/>
    <col min="3" max="3" width="10.140625" customWidth="1"/>
    <col min="4" max="4" width="11.28515625" customWidth="1"/>
    <col min="5" max="5" width="10.7109375" customWidth="1"/>
    <col min="6" max="6" width="8.7109375" customWidth="1"/>
    <col min="7" max="8" width="10.7109375" customWidth="1"/>
    <col min="9" max="9" width="8.7109375" customWidth="1"/>
  </cols>
  <sheetData>
    <row r="1" spans="1:25">
      <c r="J1" s="231"/>
      <c r="N1">
        <v>41948</v>
      </c>
    </row>
    <row r="2" spans="1:25">
      <c r="N2" t="s">
        <v>337</v>
      </c>
      <c r="O2" t="s">
        <v>312</v>
      </c>
      <c r="P2" t="s">
        <v>7</v>
      </c>
      <c r="R2" t="s">
        <v>466</v>
      </c>
      <c r="T2" t="s">
        <v>467</v>
      </c>
      <c r="U2" t="s">
        <v>6</v>
      </c>
      <c r="W2" t="s">
        <v>466</v>
      </c>
      <c r="Y2" t="s">
        <v>467</v>
      </c>
    </row>
    <row r="3" spans="1:25" ht="38.25">
      <c r="B3" s="433" t="s">
        <v>337</v>
      </c>
      <c r="C3" s="433" t="s">
        <v>533</v>
      </c>
      <c r="D3" s="433" t="s">
        <v>537</v>
      </c>
      <c r="E3" s="433" t="s">
        <v>538</v>
      </c>
      <c r="F3" s="433" t="s">
        <v>522</v>
      </c>
      <c r="G3" s="433" t="s">
        <v>525</v>
      </c>
      <c r="H3" s="433" t="s">
        <v>526</v>
      </c>
      <c r="I3" s="433" t="s">
        <v>522</v>
      </c>
      <c r="O3" t="s">
        <v>339</v>
      </c>
      <c r="P3" t="s">
        <v>424</v>
      </c>
      <c r="R3" t="s">
        <v>424</v>
      </c>
      <c r="U3" t="s">
        <v>426</v>
      </c>
      <c r="W3" t="s">
        <v>426</v>
      </c>
    </row>
    <row r="4" spans="1:25">
      <c r="A4" t="s">
        <v>296</v>
      </c>
      <c r="B4" s="439" t="s">
        <v>340</v>
      </c>
      <c r="C4" s="440">
        <v>53</v>
      </c>
      <c r="D4" s="434">
        <f t="shared" ref="D4:D24" si="0">VLOOKUP($A4,answers,28,FALSE)</f>
        <v>3.000215702779141E-3</v>
      </c>
      <c r="E4" s="434">
        <f t="shared" ref="E4:E24" si="1">VLOOKUP($A4,answers,29,FALSE)</f>
        <v>4.7926508495513331E-2</v>
      </c>
      <c r="F4" s="435">
        <f t="shared" ref="F4:F24" si="2">VLOOKUP($A4,answers,30,FALSE)</f>
        <v>2.0256364182466209</v>
      </c>
      <c r="G4" s="444">
        <f t="shared" ref="G4:G24" si="3">VLOOKUP($A4,answers,32,FALSE)</f>
        <v>-4.0008540358770807E-3</v>
      </c>
      <c r="H4" s="444">
        <f t="shared" ref="H4:H24" si="4">VLOOKUP($A4,answers,33,FALSE)</f>
        <v>3.9543060504362831E-3</v>
      </c>
      <c r="I4" s="435">
        <f t="shared" ref="I4:I24" si="5">VLOOKUP($A4,answers,34,FALSE)</f>
        <v>2.0844856821525162</v>
      </c>
      <c r="N4" t="s">
        <v>340</v>
      </c>
      <c r="O4">
        <v>53</v>
      </c>
      <c r="P4">
        <v>3.0002116455665824E-3</v>
      </c>
      <c r="Q4" t="s">
        <v>341</v>
      </c>
      <c r="R4">
        <v>9.3189772102283255E-2</v>
      </c>
      <c r="S4" t="s">
        <v>341</v>
      </c>
      <c r="T4">
        <v>2.4549187194625501</v>
      </c>
      <c r="U4">
        <v>-4.0008028000755548E-3</v>
      </c>
      <c r="W4">
        <v>9.3197263503174213E-3</v>
      </c>
      <c r="Y4">
        <v>2.4474848513217937</v>
      </c>
    </row>
    <row r="5" spans="1:25">
      <c r="A5" t="s">
        <v>297</v>
      </c>
      <c r="B5" s="439"/>
      <c r="C5" s="440">
        <v>400</v>
      </c>
      <c r="D5" s="434">
        <f t="shared" si="0"/>
        <v>1.000071900926381E-3</v>
      </c>
      <c r="E5" s="434">
        <f t="shared" si="1"/>
        <v>3.0723423126429061E-2</v>
      </c>
      <c r="F5" s="435">
        <f t="shared" si="2"/>
        <v>2.0621871103868461</v>
      </c>
      <c r="G5" s="444">
        <f t="shared" si="3"/>
        <v>1.000213508969271E-4</v>
      </c>
      <c r="H5" s="444">
        <f t="shared" si="4"/>
        <v>9.6682755143370368E-4</v>
      </c>
      <c r="I5" s="435">
        <f t="shared" si="5"/>
        <v>2.0640189812574721</v>
      </c>
      <c r="O5">
        <v>400</v>
      </c>
      <c r="P5">
        <v>1.0000705485221941E-3</v>
      </c>
      <c r="Q5" t="s">
        <v>341</v>
      </c>
      <c r="R5">
        <v>1.4189409186091852E-2</v>
      </c>
      <c r="S5" t="s">
        <v>341</v>
      </c>
      <c r="T5">
        <v>2.1894733706755267</v>
      </c>
      <c r="U5">
        <v>1.0002007000188887E-4</v>
      </c>
      <c r="W5">
        <v>1.5564783469280469E-3</v>
      </c>
      <c r="Y5">
        <v>2.1795056297225797</v>
      </c>
    </row>
    <row r="6" spans="1:25">
      <c r="A6" t="s">
        <v>298</v>
      </c>
      <c r="B6" s="439"/>
      <c r="C6" s="440">
        <v>1000</v>
      </c>
      <c r="D6" s="434">
        <f t="shared" si="0"/>
        <v>-5.0003595046319016E-3</v>
      </c>
      <c r="E6" s="434">
        <f t="shared" si="1"/>
        <v>2.9909078475143108E-2</v>
      </c>
      <c r="F6" s="435">
        <f t="shared" si="2"/>
        <v>2.0767518297916681</v>
      </c>
      <c r="G6" s="444">
        <f t="shared" si="3"/>
        <v>-2.0004270179385398E-4</v>
      </c>
      <c r="H6" s="444">
        <f t="shared" si="4"/>
        <v>5.5291570284160985E-4</v>
      </c>
      <c r="I6" s="435">
        <f t="shared" si="5"/>
        <v>2.0343801270800039</v>
      </c>
      <c r="O6" t="s">
        <v>342</v>
      </c>
      <c r="P6">
        <v>-5.0003527426109706E-3</v>
      </c>
      <c r="Q6" t="s">
        <v>341</v>
      </c>
      <c r="R6">
        <v>1.0320244368272016E-2</v>
      </c>
      <c r="S6" t="s">
        <v>341</v>
      </c>
      <c r="T6">
        <v>2.2520619473780199</v>
      </c>
      <c r="U6">
        <v>-2.0004014000377774E-4</v>
      </c>
      <c r="W6">
        <v>1.2600825715636083E-3</v>
      </c>
      <c r="Y6">
        <v>2.3005854928302956</v>
      </c>
    </row>
    <row r="7" spans="1:25">
      <c r="A7" t="s">
        <v>293</v>
      </c>
      <c r="B7" s="439" t="s">
        <v>429</v>
      </c>
      <c r="C7" s="440">
        <v>53</v>
      </c>
      <c r="D7" s="434">
        <f t="shared" si="0"/>
        <v>3.8312754524489629</v>
      </c>
      <c r="E7" s="434">
        <f t="shared" si="1"/>
        <v>4.7926629583172745E-2</v>
      </c>
      <c r="F7" s="435">
        <f t="shared" si="2"/>
        <v>2.0256356271261859</v>
      </c>
      <c r="G7" s="444">
        <f t="shared" si="3"/>
        <v>1.000213508969271E-3</v>
      </c>
      <c r="H7" s="444">
        <f t="shared" si="4"/>
        <v>3.9543232656245588E-3</v>
      </c>
      <c r="I7" s="435">
        <f t="shared" si="5"/>
        <v>2.0844826016396061</v>
      </c>
      <c r="N7" t="s">
        <v>429</v>
      </c>
      <c r="O7">
        <v>53</v>
      </c>
      <c r="P7">
        <v>3.8312702713885258</v>
      </c>
      <c r="Q7" t="s">
        <v>341</v>
      </c>
      <c r="R7">
        <v>9.3189775214891274E-2</v>
      </c>
      <c r="S7" t="s">
        <v>341</v>
      </c>
      <c r="T7">
        <v>2.454897394771173</v>
      </c>
      <c r="U7">
        <v>1.0002007000188887E-3</v>
      </c>
      <c r="W7">
        <v>9.3197265801968562E-3</v>
      </c>
      <c r="Y7">
        <v>2.4474817422834705</v>
      </c>
    </row>
    <row r="8" spans="1:25">
      <c r="A8" t="s">
        <v>294</v>
      </c>
      <c r="B8" s="439"/>
      <c r="C8" s="440">
        <v>400</v>
      </c>
      <c r="D8" s="434">
        <f t="shared" si="0"/>
        <v>3.8262750929443321</v>
      </c>
      <c r="E8" s="434">
        <f t="shared" si="1"/>
        <v>3.0723601630379627E-2</v>
      </c>
      <c r="F8" s="435">
        <f t="shared" si="2"/>
        <v>2.0621839600554539</v>
      </c>
      <c r="G8" s="444">
        <f t="shared" si="3"/>
        <v>8.1017294226510897E-3</v>
      </c>
      <c r="H8" s="444">
        <f t="shared" si="4"/>
        <v>9.6690027422434313E-4</v>
      </c>
      <c r="I8" s="435">
        <f t="shared" si="5"/>
        <v>2.0639772577964379</v>
      </c>
      <c r="O8">
        <v>400</v>
      </c>
      <c r="P8">
        <v>3.8262699186459148</v>
      </c>
      <c r="Q8" t="s">
        <v>341</v>
      </c>
      <c r="R8">
        <v>1.4191711247338151E-2</v>
      </c>
      <c r="S8" t="s">
        <v>341</v>
      </c>
      <c r="T8">
        <v>2.18917473215605</v>
      </c>
      <c r="U8">
        <v>8.1016256701529985E-3</v>
      </c>
      <c r="W8">
        <v>1.5565105426545958E-3</v>
      </c>
      <c r="Y8">
        <v>2.1794706046797665</v>
      </c>
    </row>
    <row r="9" spans="1:25">
      <c r="A9" t="s">
        <v>295</v>
      </c>
      <c r="B9" s="439"/>
      <c r="C9" s="440">
        <v>1000</v>
      </c>
      <c r="D9" s="434">
        <f t="shared" si="0"/>
        <v>3.8472766028637859</v>
      </c>
      <c r="E9" s="434">
        <f t="shared" si="1"/>
        <v>2.9909259482197859E-2</v>
      </c>
      <c r="F9" s="435">
        <f t="shared" si="2"/>
        <v>2.0767479097054098</v>
      </c>
      <c r="G9" s="444">
        <f t="shared" si="3"/>
        <v>7.8016653699603056E-3</v>
      </c>
      <c r="H9" s="444">
        <f t="shared" si="4"/>
        <v>5.5305014890525924E-4</v>
      </c>
      <c r="I9" s="435">
        <f t="shared" si="5"/>
        <v>2.0342918506699772</v>
      </c>
      <c r="O9" t="s">
        <v>342</v>
      </c>
      <c r="P9">
        <v>3.8472714001648805</v>
      </c>
      <c r="Q9" t="s">
        <v>341</v>
      </c>
      <c r="R9">
        <v>1.0322850112408074E-2</v>
      </c>
      <c r="S9" t="s">
        <v>341</v>
      </c>
      <c r="T9">
        <v>2.2512712544956233</v>
      </c>
      <c r="U9">
        <v>7.8015654601473316E-3</v>
      </c>
      <c r="W9">
        <v>1.2601079772146776E-3</v>
      </c>
      <c r="Y9">
        <v>2.3004865696857788</v>
      </c>
    </row>
    <row r="10" spans="1:25">
      <c r="B10" s="439"/>
      <c r="C10" s="440"/>
      <c r="D10" s="434"/>
      <c r="E10" s="434"/>
      <c r="F10" s="435"/>
      <c r="G10" s="444"/>
      <c r="H10" s="444"/>
      <c r="I10" s="435"/>
    </row>
    <row r="11" spans="1:25">
      <c r="B11" s="439"/>
      <c r="C11" s="440"/>
      <c r="D11" s="434"/>
      <c r="E11" s="434"/>
      <c r="F11" s="435"/>
      <c r="G11" s="444"/>
      <c r="H11" s="444"/>
      <c r="I11" s="435"/>
    </row>
    <row r="12" spans="1:25" ht="38.25">
      <c r="B12" s="433" t="s">
        <v>337</v>
      </c>
      <c r="C12" s="433" t="s">
        <v>533</v>
      </c>
      <c r="D12" s="433" t="s">
        <v>523</v>
      </c>
      <c r="E12" s="433" t="s">
        <v>524</v>
      </c>
      <c r="F12" s="433" t="s">
        <v>522</v>
      </c>
      <c r="G12" s="433" t="s">
        <v>525</v>
      </c>
      <c r="H12" s="433" t="s">
        <v>526</v>
      </c>
      <c r="I12" s="433" t="s">
        <v>522</v>
      </c>
    </row>
    <row r="13" spans="1:25">
      <c r="A13" t="s">
        <v>302</v>
      </c>
      <c r="B13" s="439" t="s">
        <v>430</v>
      </c>
      <c r="C13" s="440">
        <v>53</v>
      </c>
      <c r="D13" s="441">
        <f t="shared" si="0"/>
        <v>0.10507955477413659</v>
      </c>
      <c r="E13" s="441">
        <f t="shared" si="1"/>
        <v>4.8598534414224507E-5</v>
      </c>
      <c r="F13" s="435">
        <f t="shared" si="2"/>
        <v>2.0215359732532669</v>
      </c>
      <c r="G13" s="444">
        <f t="shared" si="3"/>
        <v>1.00021350896927E-2</v>
      </c>
      <c r="H13" s="444">
        <f t="shared" si="4"/>
        <v>3.9673001960759636E-3</v>
      </c>
      <c r="I13" s="435">
        <f t="shared" si="5"/>
        <v>2.0822208194299621</v>
      </c>
      <c r="N13" t="s">
        <v>430</v>
      </c>
      <c r="O13">
        <v>53</v>
      </c>
      <c r="P13">
        <v>0.105079412674324</v>
      </c>
      <c r="R13">
        <v>9.3212691792046379E-5</v>
      </c>
      <c r="T13">
        <v>2.4338129827551058</v>
      </c>
      <c r="U13">
        <v>1.0002007000188886E-2</v>
      </c>
      <c r="W13">
        <v>9.3187785480177976E-3</v>
      </c>
      <c r="Y13">
        <v>2.4607854110550367</v>
      </c>
    </row>
    <row r="14" spans="1:25">
      <c r="A14" t="s">
        <v>343</v>
      </c>
      <c r="B14" s="439"/>
      <c r="C14" s="440">
        <v>400</v>
      </c>
      <c r="D14" s="441">
        <f t="shared" si="0"/>
        <v>0.1051265581534802</v>
      </c>
      <c r="E14" s="441">
        <f t="shared" si="1"/>
        <v>3.1706362178969173E-5</v>
      </c>
      <c r="F14" s="435">
        <f t="shared" si="2"/>
        <v>2.0473657398634031</v>
      </c>
      <c r="G14" s="444">
        <f t="shared" si="3"/>
        <v>7.3015586154756718E-3</v>
      </c>
      <c r="H14" s="444">
        <f t="shared" si="4"/>
        <v>1.0233745024993831E-3</v>
      </c>
      <c r="I14" s="435">
        <f t="shared" si="5"/>
        <v>2.0425870768945469</v>
      </c>
      <c r="O14">
        <v>400</v>
      </c>
      <c r="P14">
        <v>0.10512641599010453</v>
      </c>
      <c r="R14">
        <v>1.6957431502343223E-5</v>
      </c>
      <c r="T14">
        <v>2.0587229967224885</v>
      </c>
      <c r="U14">
        <v>7.3014651101378876E-3</v>
      </c>
      <c r="W14">
        <v>1.3093751023697049E-3</v>
      </c>
      <c r="Y14">
        <v>2.2107603494644521</v>
      </c>
    </row>
    <row r="15" spans="1:25">
      <c r="A15" t="s">
        <v>303</v>
      </c>
      <c r="B15" s="439"/>
      <c r="C15" s="440">
        <v>1000</v>
      </c>
      <c r="D15" s="441">
        <f t="shared" si="0"/>
        <v>0.1051195576501737</v>
      </c>
      <c r="E15" s="441">
        <f t="shared" si="1"/>
        <v>3.0890696770894959E-5</v>
      </c>
      <c r="F15" s="435">
        <f t="shared" si="2"/>
        <v>2.0587622103459942</v>
      </c>
      <c r="G15" s="444">
        <f t="shared" si="3"/>
        <v>8.0017080717541596E-3</v>
      </c>
      <c r="H15" s="444">
        <f t="shared" si="4"/>
        <v>6.5538755773740499E-4</v>
      </c>
      <c r="I15" s="435">
        <f t="shared" si="5"/>
        <v>2.0180969625552398</v>
      </c>
      <c r="O15" t="s">
        <v>342</v>
      </c>
      <c r="P15">
        <v>0.10511941549626487</v>
      </c>
      <c r="R15">
        <v>1.3996884331464708E-5</v>
      </c>
      <c r="T15">
        <v>2.0450844848001313</v>
      </c>
      <c r="U15">
        <v>8.0016056001511095E-3</v>
      </c>
      <c r="W15">
        <v>7.8530722497293401E-4</v>
      </c>
      <c r="Y15">
        <v>2.0929677915213221</v>
      </c>
    </row>
    <row r="16" spans="1:25">
      <c r="A16" t="s">
        <v>304</v>
      </c>
      <c r="B16" s="439" t="s">
        <v>431</v>
      </c>
      <c r="C16" s="440">
        <v>53</v>
      </c>
      <c r="D16" s="441">
        <f t="shared" si="0"/>
        <v>0.98805803718055185</v>
      </c>
      <c r="E16" s="441">
        <f t="shared" si="1"/>
        <v>7.0921298016408881E-5</v>
      </c>
      <c r="F16" s="435">
        <f t="shared" si="2"/>
        <v>1.993453151214019</v>
      </c>
      <c r="G16" s="444">
        <f t="shared" si="3"/>
        <v>2.0004270179385421E-3</v>
      </c>
      <c r="H16" s="444">
        <f t="shared" si="4"/>
        <v>5.1720030127201441E-3</v>
      </c>
      <c r="I16" s="435">
        <f t="shared" si="5"/>
        <v>2.045958467657047</v>
      </c>
      <c r="N16" t="s">
        <v>431</v>
      </c>
      <c r="O16">
        <v>53</v>
      </c>
      <c r="P16">
        <v>0.98805670102279719</v>
      </c>
      <c r="R16">
        <v>1.3294809627579203E-4</v>
      </c>
      <c r="T16">
        <v>2.048464814482696</v>
      </c>
      <c r="U16">
        <v>2.0004014000377774E-3</v>
      </c>
      <c r="W16">
        <v>9.4590106603537755E-3</v>
      </c>
      <c r="Y16">
        <v>2.3105975570330854</v>
      </c>
    </row>
    <row r="17" spans="1:25">
      <c r="A17" t="s">
        <v>305</v>
      </c>
      <c r="B17" s="439"/>
      <c r="C17" s="440">
        <v>400</v>
      </c>
      <c r="D17" s="441">
        <f t="shared" si="0"/>
        <v>0.98806503768385834</v>
      </c>
      <c r="E17" s="441">
        <f t="shared" si="1"/>
        <v>6.1064921363025842E-5</v>
      </c>
      <c r="F17" s="435">
        <f t="shared" si="2"/>
        <v>2.004648714743015</v>
      </c>
      <c r="G17" s="444">
        <f t="shared" si="3"/>
        <v>5.4011529484340581E-3</v>
      </c>
      <c r="H17" s="444">
        <f t="shared" si="4"/>
        <v>3.7951695919450218E-3</v>
      </c>
      <c r="I17" s="435">
        <f t="shared" si="5"/>
        <v>2.1870924680175068</v>
      </c>
      <c r="O17">
        <v>400</v>
      </c>
      <c r="P17">
        <v>0.98806370151663669</v>
      </c>
      <c r="R17">
        <v>1.0853771429215519E-4</v>
      </c>
      <c r="T17">
        <v>2.0463376808009466</v>
      </c>
      <c r="U17">
        <v>5.4010837801019987E-3</v>
      </c>
      <c r="W17">
        <v>3.5263713914005851E-3</v>
      </c>
      <c r="Y17">
        <v>2.1192125048247124</v>
      </c>
    </row>
    <row r="18" spans="1:25">
      <c r="A18" t="s">
        <v>306</v>
      </c>
      <c r="B18" s="439"/>
      <c r="C18" s="440">
        <v>1000</v>
      </c>
      <c r="D18" s="441">
        <f t="shared" si="0"/>
        <v>0.98804703638964164</v>
      </c>
      <c r="E18" s="441">
        <f t="shared" si="1"/>
        <v>6.0152379601170541E-5</v>
      </c>
      <c r="F18" s="435">
        <f t="shared" si="2"/>
        <v>2.0051984200796289</v>
      </c>
      <c r="G18" s="444">
        <f t="shared" si="3"/>
        <v>5.601195650227913E-3</v>
      </c>
      <c r="H18" s="444">
        <f t="shared" si="4"/>
        <v>3.7459694206176575E-3</v>
      </c>
      <c r="I18" s="435">
        <f t="shared" si="5"/>
        <v>2.2129234331020888</v>
      </c>
      <c r="O18" t="s">
        <v>342</v>
      </c>
      <c r="P18">
        <v>0.9880457002467633</v>
      </c>
      <c r="R18">
        <v>1.0819874295228952E-4</v>
      </c>
      <c r="T18">
        <v>2.0476407387398754</v>
      </c>
      <c r="U18">
        <v>5.6011239201057767E-3</v>
      </c>
      <c r="W18">
        <v>3.42926948571836E-3</v>
      </c>
      <c r="Y18">
        <v>2.1437929059074747</v>
      </c>
    </row>
    <row r="19" spans="1:25">
      <c r="A19" t="s">
        <v>307</v>
      </c>
      <c r="B19" s="439" t="s">
        <v>463</v>
      </c>
      <c r="C19" s="440">
        <v>53</v>
      </c>
      <c r="D19" s="442">
        <f t="shared" si="0"/>
        <v>9.9138027603542938</v>
      </c>
      <c r="E19" s="442">
        <f t="shared" si="1"/>
        <v>7.0422908281554035E-4</v>
      </c>
      <c r="F19" s="435">
        <f t="shared" si="2"/>
        <v>1.992803587103235</v>
      </c>
      <c r="G19" s="436">
        <f t="shared" si="3"/>
        <v>2.00042701793854E-2</v>
      </c>
      <c r="H19" s="436">
        <f t="shared" si="4"/>
        <v>5.1799515900553018E-2</v>
      </c>
      <c r="I19" s="435">
        <f t="shared" si="5"/>
        <v>2.046094475831179</v>
      </c>
      <c r="N19" t="s">
        <v>463</v>
      </c>
      <c r="O19">
        <v>53</v>
      </c>
      <c r="P19">
        <v>9.9137893538498769</v>
      </c>
      <c r="R19">
        <v>1.3301721501168371E-3</v>
      </c>
      <c r="T19">
        <v>2.0488771523373699</v>
      </c>
      <c r="U19">
        <v>2.0004014000377771E-2</v>
      </c>
      <c r="W19">
        <v>9.459878912365248E-2</v>
      </c>
      <c r="Y19">
        <v>2.31033768638473</v>
      </c>
    </row>
    <row r="20" spans="1:25">
      <c r="A20" t="s">
        <v>308</v>
      </c>
      <c r="B20" s="439"/>
      <c r="C20" s="440">
        <v>400</v>
      </c>
      <c r="D20" s="442">
        <f t="shared" si="0"/>
        <v>9.9137837589881759</v>
      </c>
      <c r="E20" s="442">
        <f t="shared" si="1"/>
        <v>6.0605747636071933E-4</v>
      </c>
      <c r="F20" s="435">
        <f t="shared" si="2"/>
        <v>2.003604036186049</v>
      </c>
      <c r="G20" s="436">
        <f t="shared" si="3"/>
        <v>4.0008540358770807E-3</v>
      </c>
      <c r="H20" s="436">
        <f t="shared" si="4"/>
        <v>3.8073815743382193E-2</v>
      </c>
      <c r="I20" s="435">
        <f t="shared" si="5"/>
        <v>2.1873287875755829</v>
      </c>
      <c r="O20">
        <v>400</v>
      </c>
      <c r="P20">
        <v>9.9137703525094558</v>
      </c>
      <c r="R20">
        <v>1.0864186996645624E-3</v>
      </c>
      <c r="T20">
        <v>2.0473503445180388</v>
      </c>
      <c r="U20">
        <v>4.0008028000755548E-3</v>
      </c>
      <c r="W20">
        <v>3.5329843366005448E-2</v>
      </c>
      <c r="Y20">
        <v>2.1205900476010155</v>
      </c>
    </row>
    <row r="21" spans="1:25">
      <c r="A21" t="s">
        <v>309</v>
      </c>
      <c r="B21" s="439"/>
      <c r="C21" s="440">
        <v>1000</v>
      </c>
      <c r="D21" s="442">
        <f t="shared" si="0"/>
        <v>9.9136507494253525</v>
      </c>
      <c r="E21" s="442">
        <f t="shared" si="1"/>
        <v>6.0309687196591724E-4</v>
      </c>
      <c r="F21" s="435">
        <f t="shared" si="2"/>
        <v>2.0052592724166631</v>
      </c>
      <c r="G21" s="436">
        <f t="shared" si="3"/>
        <v>7.0014945627848938E-3</v>
      </c>
      <c r="H21" s="436">
        <f t="shared" si="4"/>
        <v>3.7583896880536642E-2</v>
      </c>
      <c r="I21" s="435">
        <f t="shared" si="5"/>
        <v>2.2130202314715142</v>
      </c>
      <c r="O21" t="s">
        <v>342</v>
      </c>
      <c r="P21">
        <v>9.913637343126501</v>
      </c>
      <c r="R21">
        <v>1.083041859335662E-3</v>
      </c>
      <c r="T21">
        <v>2.0486684116034093</v>
      </c>
      <c r="U21">
        <v>7.0014049001322206E-3</v>
      </c>
      <c r="W21">
        <v>3.4363695765442508E-2</v>
      </c>
      <c r="Y21">
        <v>2.1453797983810055</v>
      </c>
    </row>
    <row r="22" spans="1:25">
      <c r="A22" t="s">
        <v>316</v>
      </c>
      <c r="B22" s="439" t="s">
        <v>433</v>
      </c>
      <c r="C22" s="440">
        <v>53</v>
      </c>
      <c r="D22" s="434">
        <f t="shared" si="0"/>
        <v>100.0368222230625</v>
      </c>
      <c r="E22" s="434">
        <f t="shared" si="1"/>
        <v>5.6597611188794819E-3</v>
      </c>
      <c r="F22" s="435">
        <f t="shared" si="2"/>
        <v>2.0070758610870851</v>
      </c>
      <c r="G22" s="438">
        <f t="shared" si="3"/>
        <v>0.2000433019219594</v>
      </c>
      <c r="H22" s="438">
        <f t="shared" si="4"/>
        <v>0.52015703088590548</v>
      </c>
      <c r="I22" s="435">
        <f t="shared" si="5"/>
        <v>2.0464712575619139</v>
      </c>
      <c r="N22" t="s">
        <v>433</v>
      </c>
      <c r="O22">
        <v>53</v>
      </c>
      <c r="P22">
        <v>100.03668694257213</v>
      </c>
      <c r="R22">
        <v>1.1775777308650126E-2</v>
      </c>
      <c r="T22">
        <v>2.0993861171555226</v>
      </c>
      <c r="U22">
        <v>0.20004014000377773</v>
      </c>
      <c r="W22">
        <v>0.94645681054301356</v>
      </c>
      <c r="Y22">
        <v>2.308331439091805</v>
      </c>
    </row>
    <row r="23" spans="1:25">
      <c r="A23" t="s">
        <v>317</v>
      </c>
      <c r="B23" s="439"/>
      <c r="C23" s="440">
        <v>400</v>
      </c>
      <c r="D23" s="434">
        <f t="shared" si="0"/>
        <v>100.0367822201865</v>
      </c>
      <c r="E23" s="434">
        <f t="shared" si="1"/>
        <v>4.3399923193981477E-3</v>
      </c>
      <c r="F23" s="435">
        <f t="shared" si="2"/>
        <v>2.0290019097839558</v>
      </c>
      <c r="G23" s="438">
        <f t="shared" si="3"/>
        <v>6.0013050589398362E-2</v>
      </c>
      <c r="H23" s="438">
        <f t="shared" si="4"/>
        <v>0.38405396725255742</v>
      </c>
      <c r="I23" s="435">
        <f t="shared" si="5"/>
        <v>2.1879603347937491</v>
      </c>
      <c r="O23">
        <v>400</v>
      </c>
      <c r="P23">
        <v>100.03664693975018</v>
      </c>
      <c r="R23">
        <v>8.8537872689248478E-3</v>
      </c>
      <c r="T23">
        <v>2.1181157134150861</v>
      </c>
      <c r="U23">
        <v>6.0012042001133317E-2</v>
      </c>
      <c r="W23">
        <v>0.35627586085908713</v>
      </c>
      <c r="Y23">
        <v>2.1210238562243977</v>
      </c>
    </row>
    <row r="24" spans="1:25">
      <c r="A24" t="s">
        <v>318</v>
      </c>
      <c r="B24" s="439"/>
      <c r="C24" s="440">
        <v>1000</v>
      </c>
      <c r="D24" s="434">
        <f t="shared" si="0"/>
        <v>100.0368022216245</v>
      </c>
      <c r="E24" s="434">
        <f t="shared" si="1"/>
        <v>4.2806915130460411E-3</v>
      </c>
      <c r="F24" s="435">
        <f t="shared" si="2"/>
        <v>2.033485228172661</v>
      </c>
      <c r="G24" s="438">
        <f t="shared" si="3"/>
        <v>6.0013110602208902E-2</v>
      </c>
      <c r="H24" s="438">
        <f t="shared" si="4"/>
        <v>0.37921118991053349</v>
      </c>
      <c r="I24" s="435">
        <f t="shared" si="5"/>
        <v>2.2132783457566081</v>
      </c>
      <c r="O24" t="s">
        <v>342</v>
      </c>
      <c r="P24">
        <v>100.03666694116116</v>
      </c>
      <c r="R24">
        <v>8.8170285725435466E-3</v>
      </c>
      <c r="T24">
        <v>2.1221121413701569</v>
      </c>
      <c r="U24">
        <v>6.0012042001133317E-2</v>
      </c>
      <c r="W24">
        <v>0.3467187943589698</v>
      </c>
      <c r="Y24">
        <v>2.145513813926037</v>
      </c>
    </row>
    <row r="26" spans="1:25">
      <c r="N26" t="s">
        <v>337</v>
      </c>
      <c r="O26" t="s">
        <v>312</v>
      </c>
      <c r="P26" t="s">
        <v>7</v>
      </c>
      <c r="R26" t="s">
        <v>466</v>
      </c>
      <c r="T26" t="s">
        <v>467</v>
      </c>
      <c r="U26" t="s">
        <v>345</v>
      </c>
      <c r="W26" t="s">
        <v>466</v>
      </c>
      <c r="Y26" t="s">
        <v>467</v>
      </c>
    </row>
    <row r="27" spans="1:25" ht="38.25">
      <c r="B27" s="433" t="s">
        <v>337</v>
      </c>
      <c r="C27" s="433" t="s">
        <v>533</v>
      </c>
      <c r="D27" s="433" t="s">
        <v>527</v>
      </c>
      <c r="E27" s="433" t="s">
        <v>528</v>
      </c>
      <c r="F27" s="433" t="s">
        <v>522</v>
      </c>
      <c r="G27" s="433" t="s">
        <v>529</v>
      </c>
      <c r="H27" s="433" t="s">
        <v>530</v>
      </c>
      <c r="I27" s="433" t="s">
        <v>522</v>
      </c>
      <c r="O27" t="s">
        <v>339</v>
      </c>
      <c r="P27" t="s">
        <v>425</v>
      </c>
      <c r="R27" t="s">
        <v>425</v>
      </c>
      <c r="U27" t="s">
        <v>346</v>
      </c>
      <c r="W27" t="s">
        <v>346</v>
      </c>
    </row>
    <row r="28" spans="1:25">
      <c r="A28" t="s">
        <v>319</v>
      </c>
      <c r="B28" s="439" t="s">
        <v>434</v>
      </c>
      <c r="C28" s="440">
        <v>53</v>
      </c>
      <c r="D28" s="441">
        <f t="shared" ref="D28:D36" si="6">VLOOKUP($A28,answers,28,FALSE)</f>
        <v>1.0002439132933401</v>
      </c>
      <c r="E28" s="441">
        <f t="shared" ref="E28:E36" si="7">VLOOKUP($A28,answers,29,FALSE)</f>
        <v>4.9574878014252195E-5</v>
      </c>
      <c r="F28" s="435">
        <f t="shared" ref="F28:F36" si="8">VLOOKUP($A28,answers,30,FALSE)</f>
        <v>2.0310087854330829</v>
      </c>
      <c r="G28" s="438">
        <f t="shared" ref="G28:G36" si="9">VLOOKUP($A28,answers,32,FALSE)</f>
        <v>2.4993143917209739</v>
      </c>
      <c r="H28" s="438">
        <f t="shared" ref="H28:H36" si="10">VLOOKUP($A28,answers,33,FALSE)</f>
        <v>5.1987185551804602</v>
      </c>
      <c r="I28" s="435">
        <f t="shared" ref="I28:I36" si="11">VLOOKUP($A28,answers,34,FALSE)</f>
        <v>2.046465959506599</v>
      </c>
      <c r="N28" t="s">
        <v>434</v>
      </c>
      <c r="O28">
        <v>53</v>
      </c>
      <c r="P28">
        <v>1.0002425606565399</v>
      </c>
      <c r="R28">
        <v>1.1775059787903941E-4</v>
      </c>
      <c r="T28">
        <v>2.099400571484817</v>
      </c>
      <c r="U28">
        <v>2.4992891445682854</v>
      </c>
      <c r="W28">
        <v>9.4599129742506136</v>
      </c>
      <c r="Y28">
        <v>2.3083590944567671</v>
      </c>
    </row>
    <row r="29" spans="1:25">
      <c r="A29" t="s">
        <v>320</v>
      </c>
      <c r="B29" s="439"/>
      <c r="C29" s="440">
        <v>400</v>
      </c>
      <c r="D29" s="441">
        <f t="shared" si="6"/>
        <v>1.0002443133221</v>
      </c>
      <c r="E29" s="441">
        <f t="shared" si="7"/>
        <v>3.386056766582509E-5</v>
      </c>
      <c r="F29" s="435">
        <f t="shared" si="8"/>
        <v>2.1089403575630592</v>
      </c>
      <c r="G29" s="438">
        <f t="shared" si="9"/>
        <v>-0.49986247852290189</v>
      </c>
      <c r="H29" s="438">
        <f t="shared" si="10"/>
        <v>3.8381931786631895</v>
      </c>
      <c r="I29" s="435">
        <f t="shared" si="11"/>
        <v>2.1879517517516169</v>
      </c>
      <c r="O29">
        <v>400</v>
      </c>
      <c r="P29">
        <v>1.0002429606847594</v>
      </c>
      <c r="R29">
        <v>8.8527037353237461E-5</v>
      </c>
      <c r="T29">
        <v>2.1181145322970458</v>
      </c>
      <c r="U29">
        <v>-0.49985742909640252</v>
      </c>
      <c r="W29">
        <v>3.5606182907698942</v>
      </c>
      <c r="Y29">
        <v>2.1210179346639602</v>
      </c>
    </row>
    <row r="30" spans="1:25">
      <c r="A30" t="s">
        <v>321</v>
      </c>
      <c r="B30" s="439"/>
      <c r="C30" s="440">
        <v>1000</v>
      </c>
      <c r="D30" s="441">
        <f t="shared" si="6"/>
        <v>1.0002400130129261</v>
      </c>
      <c r="E30" s="441">
        <f t="shared" si="7"/>
        <v>3.3178842428532477E-5</v>
      </c>
      <c r="F30" s="435">
        <f t="shared" si="8"/>
        <v>2.1281791091192011</v>
      </c>
      <c r="G30" s="438">
        <f t="shared" si="9"/>
        <v>-0.59984013195233599</v>
      </c>
      <c r="H30" s="438">
        <f t="shared" si="10"/>
        <v>3.7897942783917737</v>
      </c>
      <c r="I30" s="435">
        <f t="shared" si="11"/>
        <v>2.2132747214164068</v>
      </c>
      <c r="O30" t="s">
        <v>342</v>
      </c>
      <c r="P30">
        <v>1.0002386603814009</v>
      </c>
      <c r="R30">
        <v>8.8158990254942531E-5</v>
      </c>
      <c r="T30">
        <v>2.1221118878480323</v>
      </c>
      <c r="U30">
        <v>-0.59983407258843535</v>
      </c>
      <c r="W30">
        <v>3.4650942008074561</v>
      </c>
      <c r="Y30">
        <v>2.1455119262647102</v>
      </c>
    </row>
    <row r="31" spans="1:25">
      <c r="A31" t="s">
        <v>322</v>
      </c>
      <c r="B31" s="439" t="s">
        <v>435</v>
      </c>
      <c r="C31" s="440">
        <v>53</v>
      </c>
      <c r="D31" s="442">
        <f t="shared" si="6"/>
        <v>10.00208910776808</v>
      </c>
      <c r="E31" s="442">
        <f t="shared" si="7"/>
        <v>4.9675870086354833E-4</v>
      </c>
      <c r="F31" s="435">
        <f t="shared" si="8"/>
        <v>2.0303604014925232</v>
      </c>
      <c r="G31" s="438">
        <f t="shared" si="9"/>
        <v>0.76984271142981431</v>
      </c>
      <c r="H31" s="438">
        <f t="shared" si="10"/>
        <v>0.51989980593834306</v>
      </c>
      <c r="I31" s="435">
        <f t="shared" si="11"/>
        <v>2.0464644677535531</v>
      </c>
      <c r="N31" t="s">
        <v>435</v>
      </c>
      <c r="O31">
        <v>53</v>
      </c>
      <c r="P31">
        <v>10.002075581873418</v>
      </c>
      <c r="R31">
        <v>1.1774846862171616E-3</v>
      </c>
      <c r="T31">
        <v>2.0994048623960708</v>
      </c>
      <c r="U31">
        <v>0.76983493476252307</v>
      </c>
      <c r="W31">
        <v>0.94605557021394571</v>
      </c>
      <c r="Y31">
        <v>2.308367301241768</v>
      </c>
    </row>
    <row r="32" spans="1:25">
      <c r="A32" t="s">
        <v>323</v>
      </c>
      <c r="B32" s="439"/>
      <c r="C32" s="440">
        <v>400</v>
      </c>
      <c r="D32" s="442">
        <f t="shared" si="6"/>
        <v>10.00208510748047</v>
      </c>
      <c r="E32" s="442">
        <f t="shared" si="7"/>
        <v>3.3990023044971717E-4</v>
      </c>
      <c r="F32" s="435">
        <f t="shared" si="8"/>
        <v>2.1058142482360469</v>
      </c>
      <c r="G32" s="438">
        <f t="shared" si="9"/>
        <v>0.62987181317999241</v>
      </c>
      <c r="H32" s="438">
        <f t="shared" si="10"/>
        <v>0.38383359918177745</v>
      </c>
      <c r="I32" s="435">
        <f t="shared" si="11"/>
        <v>2.1879492615464189</v>
      </c>
      <c r="O32">
        <v>400</v>
      </c>
      <c r="P32">
        <v>10.002071581591222</v>
      </c>
      <c r="R32">
        <v>8.852377013003047E-4</v>
      </c>
      <c r="T32">
        <v>2.1181141758735209</v>
      </c>
      <c r="U32">
        <v>0.6298654504471185</v>
      </c>
      <c r="W32">
        <v>0.35607496505887498</v>
      </c>
      <c r="Y32">
        <v>2.1210161472868072</v>
      </c>
    </row>
    <row r="33" spans="1:25">
      <c r="A33" t="s">
        <v>324</v>
      </c>
      <c r="B33" s="439"/>
      <c r="C33" s="440">
        <v>1000</v>
      </c>
      <c r="D33" s="442">
        <f t="shared" si="6"/>
        <v>10.002053105179641</v>
      </c>
      <c r="E33" s="442">
        <f t="shared" si="7"/>
        <v>3.3303377227008181E-4</v>
      </c>
      <c r="F33" s="435">
        <f t="shared" si="8"/>
        <v>2.1244770666502371</v>
      </c>
      <c r="G33" s="438">
        <f t="shared" si="9"/>
        <v>0.60987978529412357</v>
      </c>
      <c r="H33" s="438">
        <f t="shared" si="10"/>
        <v>0.37899273965573016</v>
      </c>
      <c r="I33" s="435">
        <f t="shared" si="11"/>
        <v>2.2132737368077922</v>
      </c>
      <c r="O33" t="s">
        <v>342</v>
      </c>
      <c r="P33">
        <v>10.002039579333671</v>
      </c>
      <c r="R33">
        <v>8.8155840911658962E-4</v>
      </c>
      <c r="T33">
        <v>2.1221118169566999</v>
      </c>
      <c r="U33">
        <v>0.60987362451334604</v>
      </c>
      <c r="W33">
        <v>0.34652121424398524</v>
      </c>
      <c r="Y33">
        <v>2.1455113980069549</v>
      </c>
    </row>
    <row r="34" spans="1:25">
      <c r="A34" t="s">
        <v>325</v>
      </c>
      <c r="B34" s="439" t="s">
        <v>436</v>
      </c>
      <c r="C34" s="440">
        <v>53</v>
      </c>
      <c r="D34" s="434">
        <f t="shared" si="6"/>
        <v>100.0279602289778</v>
      </c>
      <c r="E34" s="434">
        <f t="shared" si="7"/>
        <v>4.9640828920608409E-3</v>
      </c>
      <c r="F34" s="435">
        <f t="shared" si="8"/>
        <v>2.0305774373443271</v>
      </c>
      <c r="G34" s="438">
        <f t="shared" si="9"/>
        <v>0.80966907024229162</v>
      </c>
      <c r="H34" s="438">
        <f t="shared" si="10"/>
        <v>5.1982585558068756E-2</v>
      </c>
      <c r="I34" s="435">
        <f t="shared" si="11"/>
        <v>2.0464701187166319</v>
      </c>
      <c r="N34" t="s">
        <v>436</v>
      </c>
      <c r="O34">
        <v>53</v>
      </c>
      <c r="P34">
        <v>100.02772695045779</v>
      </c>
      <c r="R34">
        <v>1.1775632861907534E-2</v>
      </c>
      <c r="T34">
        <v>2.0993890156057242</v>
      </c>
      <c r="U34">
        <v>0.80966169133340371</v>
      </c>
      <c r="W34">
        <v>9.459308818911194E-2</v>
      </c>
      <c r="Y34">
        <v>2.3083369154489493</v>
      </c>
    </row>
    <row r="35" spans="1:25">
      <c r="A35" t="s">
        <v>326</v>
      </c>
      <c r="B35" s="439"/>
      <c r="C35" s="440">
        <v>400</v>
      </c>
      <c r="D35" s="434">
        <f t="shared" si="6"/>
        <v>100.0276302260408</v>
      </c>
      <c r="E35" s="434">
        <f t="shared" si="7"/>
        <v>3.3969281842749521E-3</v>
      </c>
      <c r="F35" s="435">
        <f t="shared" si="8"/>
        <v>2.1063515240015169</v>
      </c>
      <c r="G35" s="438">
        <f t="shared" si="9"/>
        <v>0.77668767730870092</v>
      </c>
      <c r="H35" s="438">
        <f t="shared" si="10"/>
        <v>3.8380565759785143E-2</v>
      </c>
      <c r="I35" s="435">
        <f t="shared" si="11"/>
        <v>2.1879580973860611</v>
      </c>
      <c r="O35">
        <v>400</v>
      </c>
      <c r="P35">
        <v>100.02739694829044</v>
      </c>
      <c r="R35">
        <v>8.8535370190378545E-3</v>
      </c>
      <c r="T35">
        <v>2.1181154108355384</v>
      </c>
      <c r="U35">
        <v>0.77668059897532171</v>
      </c>
      <c r="W35">
        <v>3.5607133520440634E-2</v>
      </c>
      <c r="Y35">
        <v>2.1210222502976253</v>
      </c>
    </row>
    <row r="36" spans="1:25">
      <c r="A36" t="s">
        <v>327</v>
      </c>
      <c r="B36" s="439"/>
      <c r="C36" s="440">
        <v>1000</v>
      </c>
      <c r="D36" s="434">
        <f t="shared" si="6"/>
        <v>100.0265002159839</v>
      </c>
      <c r="E36" s="434">
        <f t="shared" si="7"/>
        <v>3.3305286945149669E-3</v>
      </c>
      <c r="F36" s="435">
        <f t="shared" si="8"/>
        <v>2.124479508846326</v>
      </c>
      <c r="G36" s="438">
        <f t="shared" si="9"/>
        <v>0.76770864042514209</v>
      </c>
      <c r="H36" s="438">
        <f t="shared" si="10"/>
        <v>3.7896959565961348E-2</v>
      </c>
      <c r="I36" s="435">
        <f t="shared" si="11"/>
        <v>2.2132769175734559</v>
      </c>
      <c r="O36" t="s">
        <v>342</v>
      </c>
      <c r="P36">
        <v>100.02626694086891</v>
      </c>
      <c r="R36">
        <v>8.8166743112247491E-3</v>
      </c>
      <c r="T36">
        <v>2.1221120317333484</v>
      </c>
      <c r="U36">
        <v>0.76770164392210249</v>
      </c>
      <c r="W36">
        <v>3.4652301202699819E-2</v>
      </c>
      <c r="Y36">
        <v>2.1455129294813182</v>
      </c>
    </row>
    <row r="38" spans="1:25">
      <c r="N38" t="s">
        <v>337</v>
      </c>
      <c r="O38" t="s">
        <v>312</v>
      </c>
      <c r="P38" t="s">
        <v>347</v>
      </c>
      <c r="R38" t="s">
        <v>466</v>
      </c>
      <c r="T38" t="s">
        <v>467</v>
      </c>
      <c r="U38" t="s">
        <v>345</v>
      </c>
      <c r="W38" t="s">
        <v>466</v>
      </c>
      <c r="Y38" t="s">
        <v>467</v>
      </c>
    </row>
    <row r="39" spans="1:25" ht="38.25">
      <c r="B39" s="433" t="s">
        <v>337</v>
      </c>
      <c r="C39" s="433" t="s">
        <v>533</v>
      </c>
      <c r="D39" s="433" t="s">
        <v>531</v>
      </c>
      <c r="E39" s="433" t="s">
        <v>532</v>
      </c>
      <c r="F39" s="433" t="s">
        <v>522</v>
      </c>
      <c r="G39" s="433" t="s">
        <v>529</v>
      </c>
      <c r="H39" s="433" t="s">
        <v>530</v>
      </c>
      <c r="I39" s="433" t="s">
        <v>522</v>
      </c>
      <c r="O39" t="s">
        <v>339</v>
      </c>
      <c r="P39" t="s">
        <v>348</v>
      </c>
      <c r="R39" t="s">
        <v>348</v>
      </c>
      <c r="U39" t="s">
        <v>346</v>
      </c>
      <c r="W39" t="s">
        <v>346</v>
      </c>
    </row>
    <row r="40" spans="1:25">
      <c r="A40" t="s">
        <v>334</v>
      </c>
      <c r="B40" s="439" t="s">
        <v>349</v>
      </c>
      <c r="C40" s="440">
        <v>53</v>
      </c>
      <c r="D40" s="437">
        <f>VLOOKUP($A40,answers,28,FALSE)</f>
        <v>0</v>
      </c>
      <c r="E40" s="437">
        <f>VLOOKUP($A40,answers,29,FALSE)</f>
        <v>3.9532634986370004E-2</v>
      </c>
      <c r="F40" s="435">
        <f>VLOOKUP($A40,answers,30,FALSE)</f>
        <v>2.0844856824591131</v>
      </c>
      <c r="G40" s="436">
        <f>VLOOKUP($A40,answers,32,FALSE)</f>
        <v>0</v>
      </c>
      <c r="H40" s="436">
        <f>VLOOKUP($A40,answers,33,FALSE)</f>
        <v>3.9538232722958234E-3</v>
      </c>
      <c r="I40" s="435">
        <f>VLOOKUP($A40,answers,34,FALSE)</f>
        <v>2.0844856824591131</v>
      </c>
      <c r="N40" t="s">
        <v>349</v>
      </c>
      <c r="O40">
        <v>53</v>
      </c>
      <c r="P40">
        <v>0</v>
      </c>
      <c r="R40">
        <v>9.3192141999251271E-2</v>
      </c>
      <c r="T40">
        <v>2.4687250838135939</v>
      </c>
      <c r="U40">
        <v>0</v>
      </c>
      <c r="W40">
        <v>9.3192121073023496E-3</v>
      </c>
      <c r="Y40">
        <v>2.4687245294104456</v>
      </c>
    </row>
    <row r="41" spans="1:25">
      <c r="A41" t="s">
        <v>335</v>
      </c>
      <c r="C41" s="440">
        <v>400</v>
      </c>
      <c r="D41" s="437">
        <f>VLOOKUP($A41,answers,28,FALSE)</f>
        <v>0</v>
      </c>
      <c r="E41" s="437">
        <f>VLOOKUP($A41,answers,29,FALSE)</f>
        <v>9.6657264800139725E-3</v>
      </c>
      <c r="F41" s="435">
        <f>VLOOKUP($A41,answers,30,FALSE)</f>
        <v>2.064018981262898</v>
      </c>
      <c r="G41" s="436">
        <f>VLOOKUP($A41,answers,32,FALSE)</f>
        <v>1.00009139411567E-4</v>
      </c>
      <c r="H41" s="436">
        <f>VLOOKUP($A41,answers,33,FALSE)</f>
        <v>9.6670951262618277E-4</v>
      </c>
      <c r="I41" s="435">
        <f>VLOOKUP($A41,answers,34,FALSE)</f>
        <v>2.0640189812603231</v>
      </c>
      <c r="O41">
        <v>400</v>
      </c>
      <c r="P41">
        <v>0</v>
      </c>
      <c r="R41">
        <v>1.2366337979278063E-2</v>
      </c>
      <c r="T41">
        <v>2.4252384095436486</v>
      </c>
      <c r="U41">
        <v>1.0000574406645E-4</v>
      </c>
      <c r="W41">
        <v>1.2358154466490319E-3</v>
      </c>
      <c r="Y41">
        <v>2.423633490639113</v>
      </c>
    </row>
    <row r="42" spans="1:25">
      <c r="A42" t="s">
        <v>336</v>
      </c>
      <c r="C42" s="440">
        <v>1000</v>
      </c>
      <c r="D42" s="437">
        <f>VLOOKUP($A42,answers,28,FALSE)</f>
        <v>0</v>
      </c>
      <c r="E42" s="437">
        <f>VLOOKUP($A42,answers,29,FALSE)</f>
        <v>5.527699267347301E-3</v>
      </c>
      <c r="F42" s="435">
        <f>VLOOKUP($A42,answers,30,FALSE)</f>
        <v>2.034380127251024</v>
      </c>
      <c r="G42" s="436">
        <f>VLOOKUP($A42,answers,32,FALSE)</f>
        <v>0</v>
      </c>
      <c r="H42" s="436">
        <f>VLOOKUP($A42,answers,33,FALSE)</f>
        <v>5.5284819777446292E-4</v>
      </c>
      <c r="I42" s="435">
        <f>VLOOKUP($A42,answers,34,FALSE)</f>
        <v>2.034380127251024</v>
      </c>
      <c r="O42" t="s">
        <v>342</v>
      </c>
      <c r="P42">
        <v>0</v>
      </c>
      <c r="R42">
        <v>5.1910618606380056E-3</v>
      </c>
      <c r="T42">
        <v>2.3215134360004743</v>
      </c>
      <c r="U42">
        <v>0</v>
      </c>
      <c r="W42">
        <v>5.1036638243497719E-4</v>
      </c>
      <c r="Y42">
        <v>2.2824278462884511</v>
      </c>
    </row>
    <row r="46" spans="1:25">
      <c r="N46" t="s">
        <v>337</v>
      </c>
      <c r="O46" t="s">
        <v>312</v>
      </c>
      <c r="P46" t="s">
        <v>7</v>
      </c>
      <c r="R46" t="s">
        <v>466</v>
      </c>
      <c r="T46" t="s">
        <v>467</v>
      </c>
      <c r="U46" t="s">
        <v>6</v>
      </c>
      <c r="W46" t="s">
        <v>466</v>
      </c>
      <c r="Y46" t="s">
        <v>467</v>
      </c>
    </row>
    <row r="47" spans="1:25" ht="38.25">
      <c r="B47" s="433" t="s">
        <v>337</v>
      </c>
      <c r="C47" s="433" t="s">
        <v>533</v>
      </c>
      <c r="D47" s="433" t="s">
        <v>523</v>
      </c>
      <c r="E47" s="433" t="s">
        <v>524</v>
      </c>
      <c r="F47" s="433" t="s">
        <v>522</v>
      </c>
      <c r="G47" s="433" t="s">
        <v>525</v>
      </c>
      <c r="H47" s="433" t="s">
        <v>526</v>
      </c>
      <c r="I47" s="433" t="s">
        <v>522</v>
      </c>
      <c r="O47" t="s">
        <v>350</v>
      </c>
      <c r="P47" t="s">
        <v>424</v>
      </c>
      <c r="R47" t="s">
        <v>424</v>
      </c>
      <c r="U47" t="s">
        <v>351</v>
      </c>
      <c r="W47" t="s">
        <v>351</v>
      </c>
    </row>
    <row r="48" spans="1:25">
      <c r="A48" t="s">
        <v>329</v>
      </c>
      <c r="B48" s="439" t="s">
        <v>428</v>
      </c>
      <c r="C48" s="440">
        <v>1600</v>
      </c>
      <c r="D48" s="437">
        <f>VLOOKUP($A48,answers,28,FALSE)</f>
        <v>632.49727387031101</v>
      </c>
      <c r="E48" s="437">
        <f>VLOOKUP($A48,answers,29,FALSE)</f>
        <v>2.116225349506998E-2</v>
      </c>
      <c r="F48" s="435">
        <f>VLOOKUP($A48,answers,30,FALSE)</f>
        <v>2.1194213140360652</v>
      </c>
      <c r="G48" s="443">
        <f>VLOOKUP($A48,answers,32,FALSE)</f>
        <v>100.22389913356088</v>
      </c>
      <c r="H48" s="443">
        <f>VLOOKUP($A48,answers,33,FALSE)</f>
        <v>2.4068939851001745</v>
      </c>
      <c r="I48" s="435">
        <f>VLOOKUP($A48,answers,34,FALSE)</f>
        <v>2.2047892227960419</v>
      </c>
      <c r="N48" t="s">
        <v>428</v>
      </c>
      <c r="O48">
        <v>1.6</v>
      </c>
      <c r="P48">
        <v>632.49641853984906</v>
      </c>
      <c r="R48">
        <v>5.5762394524713502E-2</v>
      </c>
      <c r="T48">
        <v>2.1218344508292781</v>
      </c>
      <c r="U48">
        <v>100.22011014189265</v>
      </c>
      <c r="V48" t="s">
        <v>427</v>
      </c>
      <c r="W48">
        <v>2.1961169679918648</v>
      </c>
      <c r="X48" t="s">
        <v>427</v>
      </c>
      <c r="Y48">
        <v>2.143328365816437</v>
      </c>
    </row>
    <row r="49" spans="1:25">
      <c r="A49" t="s">
        <v>330</v>
      </c>
      <c r="B49" s="439" t="s">
        <v>352</v>
      </c>
      <c r="C49" s="440">
        <v>1600</v>
      </c>
      <c r="D49" s="437">
        <f>VLOOKUP($A49,answers,28,FALSE)</f>
        <v>2000.4768257957689</v>
      </c>
      <c r="E49" s="437">
        <f>VLOOKUP($A49,answers,29,FALSE)</f>
        <v>8.3821821521174567E-2</v>
      </c>
      <c r="F49" s="435">
        <f>VLOOKUP($A49,answers,30,FALSE)</f>
        <v>2.0232698027949092</v>
      </c>
      <c r="G49" s="443">
        <f>VLOOKUP($A49,answers,32,FALSE)</f>
        <v>99887.018522882689</v>
      </c>
      <c r="H49" s="443">
        <f>VLOOKUP($A49,answers,33,FALSE)</f>
        <v>28.330898860770191</v>
      </c>
      <c r="I49" s="435">
        <f>VLOOKUP($A49,answers,34,FALSE)</f>
        <v>2.0571617349725262</v>
      </c>
      <c r="N49" t="s">
        <v>352</v>
      </c>
      <c r="O49">
        <v>1.6</v>
      </c>
      <c r="P49">
        <v>2.0004741205370462</v>
      </c>
      <c r="Q49" t="s">
        <v>94</v>
      </c>
      <c r="R49">
        <v>1.8066452659985281E-4</v>
      </c>
      <c r="S49" t="s">
        <v>94</v>
      </c>
      <c r="T49">
        <v>2.1009352643614219</v>
      </c>
      <c r="U49">
        <v>99.883042505986282</v>
      </c>
      <c r="V49" t="s">
        <v>341</v>
      </c>
      <c r="W49">
        <v>3.9143538865520897E-2</v>
      </c>
      <c r="X49" t="s">
        <v>341</v>
      </c>
      <c r="Y49">
        <v>2.3982350656382971</v>
      </c>
    </row>
  </sheetData>
  <pageMargins left="0.7" right="0.7" top="0.75" bottom="0.75" header="0.3" footer="0.3"/>
  <pageSetup paperSize="9" scale="3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69"/>
  <sheetViews>
    <sheetView topLeftCell="A37" workbookViewId="0">
      <selection activeCell="K4" sqref="K4"/>
    </sheetView>
  </sheetViews>
  <sheetFormatPr defaultRowHeight="12.75"/>
  <cols>
    <col min="1" max="1" width="11.42578125" customWidth="1"/>
    <col min="2" max="2" width="16.140625" customWidth="1"/>
    <col min="3" max="3" width="12.28515625" customWidth="1"/>
    <col min="5" max="5" width="10" bestFit="1" customWidth="1"/>
    <col min="6" max="6" width="10.28515625" customWidth="1"/>
    <col min="7" max="7" width="9" customWidth="1"/>
    <col min="8" max="8" width="9.85546875" customWidth="1"/>
    <col min="9" max="9" width="9.7109375" customWidth="1"/>
    <col min="10" max="10" width="15.140625" customWidth="1"/>
    <col min="11" max="11" width="11.140625" customWidth="1"/>
    <col min="12" max="12" width="13.7109375" customWidth="1"/>
    <col min="13" max="13" width="4" customWidth="1"/>
    <col min="14" max="14" width="10.7109375" customWidth="1"/>
    <col min="15" max="15" width="11" customWidth="1"/>
    <col min="16" max="16" width="12.28515625" customWidth="1"/>
    <col min="17" max="17" width="10.28515625" customWidth="1"/>
    <col min="18" max="18" width="11" customWidth="1"/>
    <col min="19" max="19" width="10.28515625" customWidth="1"/>
    <col min="20" max="20" width="11.28515625" customWidth="1"/>
  </cols>
  <sheetData>
    <row r="1" spans="1:16" ht="15.75">
      <c r="A1" s="2" t="s">
        <v>1</v>
      </c>
    </row>
    <row r="2" spans="1:16" ht="15.75">
      <c r="A2" s="2" t="s">
        <v>276</v>
      </c>
    </row>
    <row r="3" spans="1:16" ht="15.75">
      <c r="A3" s="2" t="s">
        <v>277</v>
      </c>
    </row>
    <row r="4" spans="1:16" ht="13.5" thickBot="1">
      <c r="A4" s="132">
        <v>41948</v>
      </c>
      <c r="B4" t="s">
        <v>155</v>
      </c>
      <c r="C4">
        <v>96040220</v>
      </c>
      <c r="D4" t="s">
        <v>156</v>
      </c>
      <c r="E4">
        <v>21950</v>
      </c>
      <c r="K4" t="s">
        <v>423</v>
      </c>
    </row>
    <row r="5" spans="1:16" ht="29.25" customHeight="1" thickTop="1">
      <c r="A5" s="81" t="s">
        <v>278</v>
      </c>
      <c r="B5" s="77" t="s">
        <v>3</v>
      </c>
      <c r="C5" s="69" t="s">
        <v>0</v>
      </c>
      <c r="D5" s="84" t="s">
        <v>4</v>
      </c>
      <c r="E5" s="5" t="s">
        <v>5</v>
      </c>
      <c r="F5" s="171" t="s">
        <v>6</v>
      </c>
      <c r="G5" s="6"/>
      <c r="H5" s="74" t="s">
        <v>7</v>
      </c>
      <c r="I5" s="172"/>
      <c r="J5" s="292" t="s">
        <v>447</v>
      </c>
      <c r="K5" s="179" t="s">
        <v>366</v>
      </c>
      <c r="L5" s="276" t="s">
        <v>452</v>
      </c>
    </row>
    <row r="6" spans="1:16">
      <c r="A6" s="82"/>
      <c r="B6" s="78"/>
      <c r="C6" s="85"/>
      <c r="D6" s="75"/>
      <c r="E6" s="76"/>
      <c r="F6" s="26"/>
      <c r="G6" s="173"/>
      <c r="H6" s="26"/>
      <c r="I6" s="174"/>
      <c r="J6" s="161"/>
      <c r="K6" s="180" t="s">
        <v>310</v>
      </c>
      <c r="L6" s="276"/>
      <c r="N6" s="276" t="s">
        <v>465</v>
      </c>
      <c r="O6" s="276" t="s">
        <v>464</v>
      </c>
      <c r="P6">
        <v>-0.03</v>
      </c>
    </row>
    <row r="7" spans="1:16">
      <c r="A7" s="83"/>
      <c r="B7" s="79"/>
      <c r="C7" s="70"/>
      <c r="D7" s="75"/>
      <c r="E7" s="76"/>
      <c r="F7" s="175"/>
      <c r="G7" s="176"/>
      <c r="H7" s="177"/>
      <c r="I7" s="178"/>
      <c r="J7" s="181"/>
      <c r="K7" s="243" t="s">
        <v>367</v>
      </c>
      <c r="N7" s="276"/>
    </row>
    <row r="8" spans="1:16">
      <c r="A8" s="151" t="s">
        <v>279</v>
      </c>
      <c r="B8" s="152" t="str">
        <f>J8&amp;"_"&amp;A8</f>
        <v>53_0 ohm</v>
      </c>
      <c r="C8" s="153" t="s">
        <v>60</v>
      </c>
      <c r="D8" s="232">
        <v>90</v>
      </c>
      <c r="E8" s="232">
        <f>38300-10</f>
        <v>38290</v>
      </c>
      <c r="F8" s="234">
        <f t="shared" ref="F8:F39" si="0">(alpha-VLOOKUP(Range&amp;frequency,zeros,2,FALSE))*(1+VLOOKUP(Range,corrections,2,FALSE)*0.000001)*VLOOKUP(Range,multiplier,2,FALSE)</f>
        <v>1.0002007000188887E-3</v>
      </c>
      <c r="G8" s="235" t="str">
        <f t="shared" ref="G8:G35" si="1">VLOOKUP(Range,multiplier,3,FALSE)</f>
        <v>microH</v>
      </c>
      <c r="H8" s="236">
        <f t="shared" ref="H8:H39" si="2">(beta-VLOOKUP(Range&amp;frequency,zeros,3,FALSE))*(1+VLOOKUP(Range,corrections,3,FALSE)*0.000001)*VLOOKUP(Range,multiplier,5,FALSE)</f>
        <v>3.8312702713885258</v>
      </c>
      <c r="I8" s="237" t="str">
        <f>VLOOKUP(Range,multiplier,6,FALSE)</f>
        <v>milliohm</v>
      </c>
      <c r="J8" s="238">
        <v>53</v>
      </c>
      <c r="K8" s="158"/>
      <c r="N8">
        <v>19.739999999999998</v>
      </c>
      <c r="O8">
        <f>N8+P$6</f>
        <v>19.709999999999997</v>
      </c>
    </row>
    <row r="9" spans="1:16">
      <c r="A9" s="151" t="s">
        <v>279</v>
      </c>
      <c r="B9" s="152" t="str">
        <f t="shared" ref="B9:B58" si="3">J9&amp;"_"&amp;A9</f>
        <v>400_0 ohm</v>
      </c>
      <c r="C9" s="153" t="s">
        <v>60</v>
      </c>
      <c r="D9" s="232">
        <v>70</v>
      </c>
      <c r="E9" s="232">
        <v>38261</v>
      </c>
      <c r="F9" s="154">
        <f t="shared" si="0"/>
        <v>8.1016256701529985E-3</v>
      </c>
      <c r="G9" s="159" t="str">
        <f t="shared" si="1"/>
        <v>microH</v>
      </c>
      <c r="H9" s="156">
        <f t="shared" si="2"/>
        <v>3.8262699186459148</v>
      </c>
      <c r="I9" s="160" t="str">
        <f>VLOOKUP(Range,multiplier,6,FALSE)</f>
        <v>milliohm</v>
      </c>
      <c r="J9" s="242">
        <v>400</v>
      </c>
      <c r="K9" s="162"/>
      <c r="N9">
        <v>19.78</v>
      </c>
      <c r="O9">
        <f t="shared" ref="O9:O62" si="4">N9+P$6</f>
        <v>19.75</v>
      </c>
    </row>
    <row r="10" spans="1:16">
      <c r="A10" s="151" t="s">
        <v>279</v>
      </c>
      <c r="B10" s="152" t="str">
        <f t="shared" si="3"/>
        <v>1000_0 ohm</v>
      </c>
      <c r="C10" s="153" t="s">
        <v>60</v>
      </c>
      <c r="D10" s="232">
        <v>65</v>
      </c>
      <c r="E10" s="232">
        <v>38470</v>
      </c>
      <c r="F10" s="154">
        <f t="shared" si="0"/>
        <v>7.8015654601473316E-3</v>
      </c>
      <c r="G10" s="159" t="str">
        <f t="shared" si="1"/>
        <v>microH</v>
      </c>
      <c r="H10" s="156">
        <f t="shared" si="2"/>
        <v>3.8472714001648805</v>
      </c>
      <c r="I10" s="160" t="str">
        <f t="shared" ref="I10:I37" si="5">VLOOKUP(Range,multiplier,6,FALSE)</f>
        <v>milliohm</v>
      </c>
      <c r="J10" s="242">
        <v>1000</v>
      </c>
      <c r="K10" s="162"/>
      <c r="N10">
        <v>19.78</v>
      </c>
      <c r="O10">
        <f t="shared" si="4"/>
        <v>19.75</v>
      </c>
    </row>
    <row r="11" spans="1:16">
      <c r="A11" s="151" t="s">
        <v>280</v>
      </c>
      <c r="B11" s="152" t="str">
        <f t="shared" si="3"/>
        <v>53_Short</v>
      </c>
      <c r="C11" s="153" t="s">
        <v>60</v>
      </c>
      <c r="D11" s="232">
        <v>40</v>
      </c>
      <c r="E11" s="232">
        <v>10</v>
      </c>
      <c r="F11" s="154">
        <f t="shared" si="0"/>
        <v>-4.0008028000755548E-3</v>
      </c>
      <c r="G11" s="159" t="str">
        <f t="shared" si="1"/>
        <v>microH</v>
      </c>
      <c r="H11" s="156">
        <f t="shared" si="2"/>
        <v>3.0002116455665824E-3</v>
      </c>
      <c r="I11" s="160" t="str">
        <f>VLOOKUP(Range,multiplier,6,FALSE)</f>
        <v>milliohm</v>
      </c>
      <c r="J11" s="161">
        <v>53</v>
      </c>
      <c r="K11" s="162"/>
      <c r="N11">
        <v>19.73</v>
      </c>
      <c r="O11">
        <f t="shared" si="4"/>
        <v>19.7</v>
      </c>
    </row>
    <row r="12" spans="1:16">
      <c r="A12" s="151" t="s">
        <v>280</v>
      </c>
      <c r="B12" s="152" t="str">
        <f t="shared" si="3"/>
        <v>400_Short</v>
      </c>
      <c r="C12" s="153" t="s">
        <v>60</v>
      </c>
      <c r="D12" s="232">
        <v>-10</v>
      </c>
      <c r="E12" s="232">
        <v>11</v>
      </c>
      <c r="F12" s="154">
        <f t="shared" si="0"/>
        <v>1.0002007000188887E-4</v>
      </c>
      <c r="G12" s="159" t="str">
        <f t="shared" si="1"/>
        <v>microH</v>
      </c>
      <c r="H12" s="156">
        <f t="shared" si="2"/>
        <v>1.0000705485221941E-3</v>
      </c>
      <c r="I12" s="160" t="str">
        <f t="shared" si="5"/>
        <v>milliohm</v>
      </c>
      <c r="J12" s="161">
        <v>400</v>
      </c>
      <c r="K12" s="162"/>
      <c r="N12">
        <v>19.78</v>
      </c>
      <c r="O12">
        <f t="shared" si="4"/>
        <v>19.75</v>
      </c>
    </row>
    <row r="13" spans="1:16">
      <c r="A13" s="151" t="s">
        <v>280</v>
      </c>
      <c r="B13" s="152" t="str">
        <f t="shared" si="3"/>
        <v>1000_Short</v>
      </c>
      <c r="C13" s="153" t="s">
        <v>60</v>
      </c>
      <c r="D13" s="232">
        <f>85-100</f>
        <v>-15</v>
      </c>
      <c r="E13" s="232">
        <f>50-100</f>
        <v>-50</v>
      </c>
      <c r="F13" s="154">
        <f t="shared" si="0"/>
        <v>-2.0004014000377774E-4</v>
      </c>
      <c r="G13" s="159" t="str">
        <f t="shared" si="1"/>
        <v>microH</v>
      </c>
      <c r="H13" s="156">
        <f t="shared" si="2"/>
        <v>-5.0003527426109706E-3</v>
      </c>
      <c r="I13" s="160" t="str">
        <f t="shared" si="5"/>
        <v>milliohm</v>
      </c>
      <c r="J13" s="161">
        <v>1000</v>
      </c>
      <c r="K13" s="162"/>
      <c r="N13">
        <v>19.760000000000002</v>
      </c>
      <c r="O13">
        <f t="shared" si="4"/>
        <v>19.73</v>
      </c>
    </row>
    <row r="14" spans="1:16">
      <c r="A14" s="151" t="s">
        <v>281</v>
      </c>
      <c r="B14" s="152" t="str">
        <f t="shared" si="3"/>
        <v>53_coax 0</v>
      </c>
      <c r="C14" s="153" t="s">
        <v>60</v>
      </c>
      <c r="D14" s="232">
        <v>80</v>
      </c>
      <c r="E14" s="232">
        <f>80-100</f>
        <v>-20</v>
      </c>
      <c r="F14" s="154">
        <f t="shared" si="0"/>
        <v>0</v>
      </c>
      <c r="G14" s="159" t="str">
        <f t="shared" si="1"/>
        <v>microH</v>
      </c>
      <c r="H14" s="156">
        <f t="shared" si="2"/>
        <v>0</v>
      </c>
      <c r="I14" s="160" t="str">
        <f>VLOOKUP(Range,multiplier,6,FALSE)</f>
        <v>milliohm</v>
      </c>
      <c r="J14" s="161">
        <v>53</v>
      </c>
      <c r="K14" s="162"/>
      <c r="N14">
        <v>19.7</v>
      </c>
      <c r="O14">
        <f t="shared" si="4"/>
        <v>19.669999999999998</v>
      </c>
    </row>
    <row r="15" spans="1:16">
      <c r="A15" s="151" t="s">
        <v>281</v>
      </c>
      <c r="B15" s="152" t="str">
        <f t="shared" si="3"/>
        <v>400_coax 0</v>
      </c>
      <c r="C15" s="153" t="s">
        <v>60</v>
      </c>
      <c r="D15" s="232">
        <f>89-100</f>
        <v>-11</v>
      </c>
      <c r="E15" s="232">
        <v>1</v>
      </c>
      <c r="F15" s="154">
        <f t="shared" si="0"/>
        <v>0</v>
      </c>
      <c r="G15" s="159" t="str">
        <f t="shared" si="1"/>
        <v>microH</v>
      </c>
      <c r="H15" s="156">
        <f t="shared" si="2"/>
        <v>0</v>
      </c>
      <c r="I15" s="160" t="str">
        <f>VLOOKUP(Range,multiplier,6,FALSE)</f>
        <v>milliohm</v>
      </c>
      <c r="J15" s="161">
        <v>400</v>
      </c>
      <c r="K15" s="162"/>
      <c r="N15">
        <v>19.79</v>
      </c>
      <c r="O15">
        <f t="shared" si="4"/>
        <v>19.759999999999998</v>
      </c>
    </row>
    <row r="16" spans="1:16" ht="12" customHeight="1">
      <c r="A16" s="151" t="s">
        <v>281</v>
      </c>
      <c r="B16" s="152" t="str">
        <f t="shared" si="3"/>
        <v>1000_coax 0</v>
      </c>
      <c r="C16" s="153" t="s">
        <v>60</v>
      </c>
      <c r="D16" s="232">
        <f>87-100</f>
        <v>-13</v>
      </c>
      <c r="E16" s="232">
        <v>0</v>
      </c>
      <c r="F16" s="154">
        <f t="shared" si="0"/>
        <v>0</v>
      </c>
      <c r="G16" s="159" t="str">
        <f t="shared" si="1"/>
        <v>microH</v>
      </c>
      <c r="H16" s="156">
        <f t="shared" si="2"/>
        <v>0</v>
      </c>
      <c r="I16" s="160" t="str">
        <f t="shared" si="5"/>
        <v>milliohm</v>
      </c>
      <c r="J16" s="161">
        <v>1000</v>
      </c>
      <c r="K16" s="162"/>
      <c r="N16">
        <v>19.79</v>
      </c>
      <c r="O16">
        <f t="shared" si="4"/>
        <v>19.759999999999998</v>
      </c>
    </row>
    <row r="17" spans="1:15">
      <c r="A17" s="151" t="s">
        <v>282</v>
      </c>
      <c r="B17" s="152" t="str">
        <f t="shared" si="3"/>
        <v>53_0.1 ohm</v>
      </c>
      <c r="C17" s="153" t="s">
        <v>60</v>
      </c>
      <c r="D17" s="232">
        <v>180</v>
      </c>
      <c r="E17" s="232">
        <v>1050700</v>
      </c>
      <c r="F17" s="154">
        <f t="shared" si="0"/>
        <v>1.0002007000188886E-2</v>
      </c>
      <c r="G17" s="159" t="str">
        <f t="shared" si="1"/>
        <v>microH</v>
      </c>
      <c r="H17" s="156">
        <f t="shared" si="2"/>
        <v>105.07941267432399</v>
      </c>
      <c r="I17" s="160" t="str">
        <f t="shared" si="5"/>
        <v>milliohm</v>
      </c>
      <c r="J17" s="161">
        <v>53</v>
      </c>
      <c r="K17" s="162"/>
      <c r="N17">
        <v>19.75</v>
      </c>
      <c r="O17">
        <f t="shared" si="4"/>
        <v>19.72</v>
      </c>
    </row>
    <row r="18" spans="1:15">
      <c r="A18" s="151" t="s">
        <v>282</v>
      </c>
      <c r="B18" s="152" t="str">
        <f t="shared" si="3"/>
        <v>400_0.1 ohm</v>
      </c>
      <c r="C18" s="153" t="s">
        <v>60</v>
      </c>
      <c r="D18" s="232">
        <v>62</v>
      </c>
      <c r="E18" s="232">
        <f>1051201-10</f>
        <v>1051191</v>
      </c>
      <c r="F18" s="154">
        <f t="shared" si="0"/>
        <v>7.3014651101378876E-3</v>
      </c>
      <c r="G18" s="159" t="str">
        <f t="shared" si="1"/>
        <v>microH</v>
      </c>
      <c r="H18" s="156">
        <f t="shared" si="2"/>
        <v>105.12641599010453</v>
      </c>
      <c r="I18" s="160" t="str">
        <f t="shared" si="5"/>
        <v>milliohm</v>
      </c>
      <c r="J18" s="161">
        <v>400</v>
      </c>
      <c r="K18" s="162"/>
      <c r="N18">
        <v>19.77</v>
      </c>
      <c r="O18">
        <f t="shared" si="4"/>
        <v>19.739999999999998</v>
      </c>
    </row>
    <row r="19" spans="1:15">
      <c r="A19" s="151" t="s">
        <v>282</v>
      </c>
      <c r="B19" s="152" t="str">
        <f t="shared" si="3"/>
        <v>1000_0.1 ohm</v>
      </c>
      <c r="C19" s="153" t="s">
        <v>60</v>
      </c>
      <c r="D19" s="232">
        <v>67</v>
      </c>
      <c r="E19" s="232">
        <v>1051120</v>
      </c>
      <c r="F19" s="154">
        <f t="shared" si="0"/>
        <v>8.0016056001511095E-3</v>
      </c>
      <c r="G19" s="159" t="str">
        <f t="shared" si="1"/>
        <v>microH</v>
      </c>
      <c r="H19" s="156">
        <f t="shared" si="2"/>
        <v>105.11941549626486</v>
      </c>
      <c r="I19" s="160" t="str">
        <f t="shared" si="5"/>
        <v>milliohm</v>
      </c>
      <c r="J19" s="161">
        <v>1000</v>
      </c>
      <c r="K19" s="162"/>
      <c r="N19">
        <v>19.78</v>
      </c>
      <c r="O19">
        <f t="shared" si="4"/>
        <v>19.75</v>
      </c>
    </row>
    <row r="20" spans="1:15">
      <c r="A20" s="151" t="s">
        <v>283</v>
      </c>
      <c r="B20" s="152" t="str">
        <f t="shared" si="3"/>
        <v>53_1 ohm</v>
      </c>
      <c r="C20" s="153" t="s">
        <v>60</v>
      </c>
      <c r="D20" s="232">
        <v>100</v>
      </c>
      <c r="E20" s="232">
        <v>9879850</v>
      </c>
      <c r="F20" s="154">
        <f t="shared" si="0"/>
        <v>2.0004014000377774E-3</v>
      </c>
      <c r="G20" s="159" t="str">
        <f t="shared" si="1"/>
        <v>microH</v>
      </c>
      <c r="H20" s="156">
        <f t="shared" si="2"/>
        <v>988.05670102279714</v>
      </c>
      <c r="I20" s="160" t="str">
        <f t="shared" si="5"/>
        <v>milliohm</v>
      </c>
      <c r="J20" s="161">
        <v>53</v>
      </c>
      <c r="K20" s="162"/>
      <c r="N20">
        <v>19.760000000000002</v>
      </c>
      <c r="O20">
        <f t="shared" si="4"/>
        <v>19.73</v>
      </c>
    </row>
    <row r="21" spans="1:15">
      <c r="A21" s="151" t="s">
        <v>283</v>
      </c>
      <c r="B21" s="152" t="str">
        <f t="shared" si="3"/>
        <v>400_1 ohm</v>
      </c>
      <c r="C21" s="153" t="s">
        <v>60</v>
      </c>
      <c r="D21" s="232">
        <v>43</v>
      </c>
      <c r="E21" s="232">
        <v>9879941</v>
      </c>
      <c r="F21" s="154">
        <f t="shared" si="0"/>
        <v>5.4010837801019987E-3</v>
      </c>
      <c r="G21" s="159" t="str">
        <f t="shared" si="1"/>
        <v>microH</v>
      </c>
      <c r="H21" s="156">
        <f t="shared" si="2"/>
        <v>988.06370151663668</v>
      </c>
      <c r="I21" s="160" t="str">
        <f t="shared" si="5"/>
        <v>milliohm</v>
      </c>
      <c r="J21" s="161">
        <v>400</v>
      </c>
      <c r="K21" s="162"/>
      <c r="N21">
        <v>19.760000000000002</v>
      </c>
      <c r="O21">
        <f t="shared" si="4"/>
        <v>19.73</v>
      </c>
    </row>
    <row r="22" spans="1:15">
      <c r="A22" s="151" t="s">
        <v>283</v>
      </c>
      <c r="B22" s="152" t="str">
        <f t="shared" si="3"/>
        <v>1000_1 ohm</v>
      </c>
      <c r="C22" s="153" t="s">
        <v>60</v>
      </c>
      <c r="D22" s="232">
        <v>43</v>
      </c>
      <c r="E22" s="232">
        <v>9879760</v>
      </c>
      <c r="F22" s="154">
        <f t="shared" si="0"/>
        <v>5.6011239201057767E-3</v>
      </c>
      <c r="G22" s="159" t="str">
        <f t="shared" si="1"/>
        <v>microH</v>
      </c>
      <c r="H22" s="156">
        <f t="shared" si="2"/>
        <v>988.04570024676332</v>
      </c>
      <c r="I22" s="160" t="str">
        <f t="shared" si="5"/>
        <v>milliohm</v>
      </c>
      <c r="J22" s="161">
        <v>1000</v>
      </c>
      <c r="K22" s="162"/>
      <c r="N22">
        <v>19.79</v>
      </c>
      <c r="O22">
        <f t="shared" si="4"/>
        <v>19.759999999999998</v>
      </c>
    </row>
    <row r="23" spans="1:15">
      <c r="A23" s="151" t="s">
        <v>281</v>
      </c>
      <c r="B23" s="152" t="str">
        <f t="shared" si="3"/>
        <v>53_coax 0</v>
      </c>
      <c r="C23" s="153" t="s">
        <v>61</v>
      </c>
      <c r="D23" s="232">
        <v>100</v>
      </c>
      <c r="E23" s="232">
        <v>10</v>
      </c>
      <c r="F23" s="154">
        <f t="shared" si="0"/>
        <v>0</v>
      </c>
      <c r="G23" s="159" t="str">
        <f t="shared" si="1"/>
        <v>microH</v>
      </c>
      <c r="H23" s="156">
        <f t="shared" si="2"/>
        <v>0</v>
      </c>
      <c r="I23" s="160" t="str">
        <f t="shared" si="5"/>
        <v>ohm</v>
      </c>
      <c r="J23" s="161">
        <v>53</v>
      </c>
      <c r="K23" s="162"/>
      <c r="N23">
        <v>19.8</v>
      </c>
      <c r="O23">
        <f t="shared" si="4"/>
        <v>19.77</v>
      </c>
    </row>
    <row r="24" spans="1:15">
      <c r="A24" s="151" t="s">
        <v>281</v>
      </c>
      <c r="B24" s="152" t="str">
        <f t="shared" si="3"/>
        <v>400_coax 0</v>
      </c>
      <c r="C24" s="153" t="s">
        <v>61</v>
      </c>
      <c r="D24" s="232">
        <v>1</v>
      </c>
      <c r="E24" s="232">
        <f>96-100</f>
        <v>-4</v>
      </c>
      <c r="F24" s="154">
        <f t="shared" si="0"/>
        <v>0</v>
      </c>
      <c r="G24" s="159" t="str">
        <f t="shared" si="1"/>
        <v>microH</v>
      </c>
      <c r="H24" s="156">
        <f t="shared" si="2"/>
        <v>0</v>
      </c>
      <c r="I24" s="160" t="str">
        <f t="shared" si="5"/>
        <v>ohm</v>
      </c>
      <c r="J24" s="161">
        <v>400</v>
      </c>
      <c r="K24" s="162"/>
      <c r="N24">
        <v>19.8</v>
      </c>
      <c r="O24">
        <f t="shared" si="4"/>
        <v>19.77</v>
      </c>
    </row>
    <row r="25" spans="1:15">
      <c r="A25" s="151" t="s">
        <v>281</v>
      </c>
      <c r="B25" s="152" t="str">
        <f t="shared" si="3"/>
        <v>1000_coax 0</v>
      </c>
      <c r="C25" s="153" t="s">
        <v>61</v>
      </c>
      <c r="D25" s="232">
        <f>8-10</f>
        <v>-2</v>
      </c>
      <c r="E25" s="232">
        <f>92-100</f>
        <v>-8</v>
      </c>
      <c r="F25" s="154">
        <f t="shared" si="0"/>
        <v>0</v>
      </c>
      <c r="G25" s="159" t="str">
        <f t="shared" si="1"/>
        <v>microH</v>
      </c>
      <c r="H25" s="156">
        <f t="shared" si="2"/>
        <v>0</v>
      </c>
      <c r="I25" s="160" t="str">
        <f t="shared" si="5"/>
        <v>ohm</v>
      </c>
      <c r="J25" s="161">
        <v>1000</v>
      </c>
      <c r="K25" s="162"/>
      <c r="N25">
        <v>19.809999999999999</v>
      </c>
      <c r="O25">
        <f t="shared" si="4"/>
        <v>19.779999999999998</v>
      </c>
    </row>
    <row r="26" spans="1:15">
      <c r="A26" s="151" t="s">
        <v>284</v>
      </c>
      <c r="B26" s="152" t="str">
        <f t="shared" si="3"/>
        <v>53_10 ohm</v>
      </c>
      <c r="C26" s="153" t="s">
        <v>61</v>
      </c>
      <c r="D26" s="232">
        <v>120</v>
      </c>
      <c r="E26" s="232">
        <v>9913100</v>
      </c>
      <c r="F26" s="154">
        <f t="shared" si="0"/>
        <v>2.0004014000377771E-2</v>
      </c>
      <c r="G26" s="159" t="str">
        <f t="shared" si="1"/>
        <v>microH</v>
      </c>
      <c r="H26" s="156">
        <f t="shared" si="2"/>
        <v>9.9137893538498769</v>
      </c>
      <c r="I26" s="160" t="str">
        <f t="shared" si="5"/>
        <v>ohm</v>
      </c>
      <c r="J26" s="161">
        <v>53</v>
      </c>
      <c r="K26" s="162"/>
      <c r="N26">
        <v>19.809999999999999</v>
      </c>
      <c r="O26">
        <f t="shared" si="4"/>
        <v>19.779999999999998</v>
      </c>
    </row>
    <row r="27" spans="1:15">
      <c r="A27" s="151" t="s">
        <v>284</v>
      </c>
      <c r="B27" s="152" t="str">
        <f t="shared" si="3"/>
        <v>400_10 ohm</v>
      </c>
      <c r="C27" s="153" t="s">
        <v>61</v>
      </c>
      <c r="D27" s="232">
        <v>5</v>
      </c>
      <c r="E27" s="232">
        <v>9913067</v>
      </c>
      <c r="F27" s="154">
        <f t="shared" si="0"/>
        <v>4.0008028000755548E-3</v>
      </c>
      <c r="G27" s="159" t="str">
        <f t="shared" si="1"/>
        <v>microH</v>
      </c>
      <c r="H27" s="156">
        <f t="shared" si="2"/>
        <v>9.9137703525094558</v>
      </c>
      <c r="I27" s="160" t="str">
        <f t="shared" si="5"/>
        <v>ohm</v>
      </c>
      <c r="J27" s="161">
        <v>400</v>
      </c>
      <c r="K27" s="162"/>
      <c r="N27">
        <v>19.8</v>
      </c>
      <c r="O27">
        <f t="shared" si="4"/>
        <v>19.77</v>
      </c>
    </row>
    <row r="28" spans="1:15">
      <c r="A28" s="151" t="s">
        <v>284</v>
      </c>
      <c r="B28" s="152" t="str">
        <f t="shared" si="3"/>
        <v>1000_10 ohm</v>
      </c>
      <c r="C28" s="153" t="s">
        <v>61</v>
      </c>
      <c r="D28" s="232">
        <v>5</v>
      </c>
      <c r="E28" s="232">
        <v>9912930</v>
      </c>
      <c r="F28" s="154">
        <f t="shared" si="0"/>
        <v>7.0014049001322206E-3</v>
      </c>
      <c r="G28" s="159" t="str">
        <f t="shared" si="1"/>
        <v>microH</v>
      </c>
      <c r="H28" s="156">
        <f t="shared" si="2"/>
        <v>9.913637343126501</v>
      </c>
      <c r="I28" s="160" t="str">
        <f t="shared" si="5"/>
        <v>ohm</v>
      </c>
      <c r="J28" s="161">
        <v>1000</v>
      </c>
      <c r="K28" s="162"/>
      <c r="N28">
        <v>19.79</v>
      </c>
      <c r="O28">
        <f t="shared" si="4"/>
        <v>19.759999999999998</v>
      </c>
    </row>
    <row r="29" spans="1:15">
      <c r="A29" s="151" t="s">
        <v>281</v>
      </c>
      <c r="B29" s="152" t="str">
        <f t="shared" si="3"/>
        <v>53_coax 0</v>
      </c>
      <c r="C29" s="153" t="s">
        <v>62</v>
      </c>
      <c r="D29" s="232">
        <v>30</v>
      </c>
      <c r="E29" s="232">
        <f>87-100</f>
        <v>-13</v>
      </c>
      <c r="F29" s="163">
        <f t="shared" si="0"/>
        <v>0</v>
      </c>
      <c r="G29" s="159" t="str">
        <f t="shared" si="1"/>
        <v>milliH</v>
      </c>
      <c r="H29" s="156">
        <f t="shared" si="2"/>
        <v>0</v>
      </c>
      <c r="I29" s="160" t="str">
        <f t="shared" si="5"/>
        <v>ohm</v>
      </c>
      <c r="J29" s="161">
        <v>53</v>
      </c>
      <c r="K29" s="162"/>
      <c r="N29">
        <v>19.690000000000001</v>
      </c>
      <c r="O29">
        <f t="shared" si="4"/>
        <v>19.66</v>
      </c>
    </row>
    <row r="30" spans="1:15">
      <c r="A30" s="151" t="s">
        <v>281</v>
      </c>
      <c r="B30" s="152" t="str">
        <f t="shared" si="3"/>
        <v>400_coax 0</v>
      </c>
      <c r="C30" s="153" t="s">
        <v>62</v>
      </c>
      <c r="D30" s="239">
        <v>-1</v>
      </c>
      <c r="E30" s="239">
        <f>1-10</f>
        <v>-9</v>
      </c>
      <c r="F30" s="163">
        <f t="shared" si="0"/>
        <v>0</v>
      </c>
      <c r="G30" s="159" t="str">
        <f t="shared" si="1"/>
        <v>milliH</v>
      </c>
      <c r="H30" s="156">
        <f t="shared" si="2"/>
        <v>0</v>
      </c>
      <c r="I30" s="160" t="str">
        <f t="shared" si="5"/>
        <v>ohm</v>
      </c>
      <c r="J30" s="161">
        <v>400</v>
      </c>
      <c r="K30" s="162"/>
      <c r="N30">
        <v>19.690000000000001</v>
      </c>
      <c r="O30">
        <f t="shared" si="4"/>
        <v>19.66</v>
      </c>
    </row>
    <row r="31" spans="1:15">
      <c r="A31" s="151" t="s">
        <v>281</v>
      </c>
      <c r="B31" s="152" t="str">
        <f t="shared" si="3"/>
        <v>1000_coax 0</v>
      </c>
      <c r="C31" s="153" t="s">
        <v>62</v>
      </c>
      <c r="D31" s="239">
        <f>9-10</f>
        <v>-1</v>
      </c>
      <c r="E31" s="239">
        <f>93-100</f>
        <v>-7</v>
      </c>
      <c r="F31" s="163">
        <f t="shared" si="0"/>
        <v>0</v>
      </c>
      <c r="G31" s="159" t="str">
        <f t="shared" si="1"/>
        <v>milliH</v>
      </c>
      <c r="H31" s="156">
        <f t="shared" si="2"/>
        <v>0</v>
      </c>
      <c r="I31" s="160" t="str">
        <f t="shared" si="5"/>
        <v>ohm</v>
      </c>
      <c r="J31" s="161">
        <v>1000</v>
      </c>
      <c r="K31" s="162"/>
      <c r="N31">
        <v>19.690000000000001</v>
      </c>
      <c r="O31">
        <f t="shared" si="4"/>
        <v>19.66</v>
      </c>
    </row>
    <row r="32" spans="1:15">
      <c r="A32" s="151" t="s">
        <v>285</v>
      </c>
      <c r="B32" s="152" t="str">
        <f t="shared" si="3"/>
        <v>53_100 ohm</v>
      </c>
      <c r="C32" s="153" t="s">
        <v>62</v>
      </c>
      <c r="D32" s="239">
        <v>50</v>
      </c>
      <c r="E32" s="239">
        <v>10002950</v>
      </c>
      <c r="F32" s="163">
        <f t="shared" si="0"/>
        <v>2.0004014000377774E-4</v>
      </c>
      <c r="G32" s="159" t="str">
        <f t="shared" si="1"/>
        <v>milliH</v>
      </c>
      <c r="H32" s="156">
        <f t="shared" si="2"/>
        <v>100.03668694257213</v>
      </c>
      <c r="I32" s="160" t="str">
        <f t="shared" si="5"/>
        <v>ohm</v>
      </c>
      <c r="J32" s="161">
        <v>53</v>
      </c>
      <c r="K32" s="162"/>
      <c r="N32">
        <v>19.7</v>
      </c>
      <c r="O32">
        <f t="shared" si="4"/>
        <v>19.669999999999998</v>
      </c>
    </row>
    <row r="33" spans="1:15">
      <c r="A33" s="151" t="s">
        <v>285</v>
      </c>
      <c r="B33" s="152" t="str">
        <f t="shared" si="3"/>
        <v>400_100 ohm</v>
      </c>
      <c r="C33" s="153" t="s">
        <v>62</v>
      </c>
      <c r="D33" s="239">
        <v>5</v>
      </c>
      <c r="E33" s="239">
        <f>10003050-100</f>
        <v>10002950</v>
      </c>
      <c r="F33" s="163">
        <f t="shared" si="0"/>
        <v>6.0012042001133319E-5</v>
      </c>
      <c r="G33" s="159" t="str">
        <f t="shared" si="1"/>
        <v>milliH</v>
      </c>
      <c r="H33" s="156">
        <f t="shared" si="2"/>
        <v>100.03664693975018</v>
      </c>
      <c r="I33" s="160" t="str">
        <f t="shared" si="5"/>
        <v>ohm</v>
      </c>
      <c r="J33" s="161">
        <v>400</v>
      </c>
      <c r="K33" s="162"/>
      <c r="N33">
        <v>19.690000000000001</v>
      </c>
      <c r="O33">
        <f t="shared" si="4"/>
        <v>19.66</v>
      </c>
    </row>
    <row r="34" spans="1:15">
      <c r="A34" s="151" t="s">
        <v>285</v>
      </c>
      <c r="B34" s="152" t="str">
        <f t="shared" si="3"/>
        <v>1000_100 ohm</v>
      </c>
      <c r="C34" s="153" t="s">
        <v>62</v>
      </c>
      <c r="D34" s="239">
        <v>5</v>
      </c>
      <c r="E34" s="239">
        <v>10002954</v>
      </c>
      <c r="F34" s="163">
        <f t="shared" si="0"/>
        <v>6.0012042001133319E-5</v>
      </c>
      <c r="G34" s="159" t="str">
        <f t="shared" si="1"/>
        <v>milliH</v>
      </c>
      <c r="H34" s="156">
        <f t="shared" si="2"/>
        <v>100.03666694116116</v>
      </c>
      <c r="I34" s="160" t="str">
        <f t="shared" si="5"/>
        <v>ohm</v>
      </c>
      <c r="J34" s="161">
        <v>1000</v>
      </c>
      <c r="K34" s="162"/>
      <c r="N34">
        <v>19.68</v>
      </c>
      <c r="O34">
        <f t="shared" si="4"/>
        <v>19.649999999999999</v>
      </c>
    </row>
    <row r="35" spans="1:15">
      <c r="A35" s="151" t="s">
        <v>281</v>
      </c>
      <c r="B35" s="152" t="str">
        <f t="shared" si="3"/>
        <v>53_coax 0</v>
      </c>
      <c r="C35" s="153" t="s">
        <v>10</v>
      </c>
      <c r="D35" s="239">
        <v>35</v>
      </c>
      <c r="E35" s="239">
        <v>-10</v>
      </c>
      <c r="F35" s="163">
        <f t="shared" si="0"/>
        <v>0</v>
      </c>
      <c r="G35" s="159" t="str">
        <f t="shared" si="1"/>
        <v>milliH</v>
      </c>
      <c r="H35" s="156">
        <f t="shared" si="2"/>
        <v>0</v>
      </c>
      <c r="I35" s="160" t="str">
        <f t="shared" si="5"/>
        <v>ohm</v>
      </c>
      <c r="J35" s="161">
        <v>53</v>
      </c>
      <c r="K35" s="162"/>
      <c r="N35">
        <v>19.66</v>
      </c>
      <c r="O35">
        <f t="shared" si="4"/>
        <v>19.63</v>
      </c>
    </row>
    <row r="36" spans="1:15">
      <c r="A36" s="151" t="s">
        <v>281</v>
      </c>
      <c r="B36" s="152" t="str">
        <f t="shared" si="3"/>
        <v>400_coax 0</v>
      </c>
      <c r="C36" s="153" t="s">
        <v>10</v>
      </c>
      <c r="D36" s="239">
        <v>0</v>
      </c>
      <c r="E36" s="239">
        <v>-11</v>
      </c>
      <c r="F36" s="163">
        <f t="shared" si="0"/>
        <v>0</v>
      </c>
      <c r="G36" s="159" t="str">
        <f t="shared" ref="G36:G56" si="6">VLOOKUP(Range,multiplier,3,FALSE)</f>
        <v>milliH</v>
      </c>
      <c r="H36" s="156">
        <f t="shared" si="2"/>
        <v>0</v>
      </c>
      <c r="I36" s="160" t="str">
        <f t="shared" si="5"/>
        <v>ohm</v>
      </c>
      <c r="J36" s="161">
        <v>400</v>
      </c>
      <c r="K36" s="162"/>
      <c r="N36">
        <v>19.670000000000002</v>
      </c>
      <c r="O36">
        <f t="shared" si="4"/>
        <v>19.64</v>
      </c>
    </row>
    <row r="37" spans="1:15">
      <c r="A37" s="151" t="s">
        <v>281</v>
      </c>
      <c r="B37" s="152" t="str">
        <f t="shared" si="3"/>
        <v>1000_coax 0</v>
      </c>
      <c r="C37" s="153" t="s">
        <v>10</v>
      </c>
      <c r="D37" s="232">
        <v>-1</v>
      </c>
      <c r="E37" s="232">
        <v>-11</v>
      </c>
      <c r="F37" s="163">
        <f t="shared" si="0"/>
        <v>0</v>
      </c>
      <c r="G37" s="159" t="str">
        <f t="shared" si="6"/>
        <v>milliH</v>
      </c>
      <c r="H37" s="156">
        <f t="shared" si="2"/>
        <v>0</v>
      </c>
      <c r="I37" s="160" t="str">
        <f t="shared" si="5"/>
        <v>ohm</v>
      </c>
      <c r="J37" s="161">
        <v>1000</v>
      </c>
      <c r="K37" s="162"/>
      <c r="N37">
        <v>19.68</v>
      </c>
      <c r="O37">
        <f t="shared" si="4"/>
        <v>19.649999999999999</v>
      </c>
    </row>
    <row r="38" spans="1:15">
      <c r="A38" s="151" t="s">
        <v>286</v>
      </c>
      <c r="B38" s="152" t="str">
        <f t="shared" si="3"/>
        <v>53_1000 ohm</v>
      </c>
      <c r="C38" s="153" t="s">
        <v>10</v>
      </c>
      <c r="D38" s="239">
        <v>10</v>
      </c>
      <c r="E38" s="239">
        <v>10001710</v>
      </c>
      <c r="F38" s="163">
        <f t="shared" si="0"/>
        <v>-2.5005017500472214E-3</v>
      </c>
      <c r="G38" s="159" t="str">
        <f t="shared" si="6"/>
        <v>milliH</v>
      </c>
      <c r="H38" s="156">
        <f t="shared" si="2"/>
        <v>1000.2425606565399</v>
      </c>
      <c r="I38" s="160" t="str">
        <f>VLOOKUP(Range,multiplier,6,FALSE)</f>
        <v>ohm</v>
      </c>
      <c r="J38" s="161">
        <v>53</v>
      </c>
      <c r="K38" s="186">
        <f>-F38*VLOOKUP(Range,multiplier,4,FALSE)/(H38*VLOOKUP(Range,multiplier,7,FALSE))^2*1000000000000</f>
        <v>2.4992891445682854</v>
      </c>
      <c r="L38" s="231">
        <f>2*PI()*J38*K38*0.000000000001*H38</f>
        <v>8.3248721174845499E-7</v>
      </c>
      <c r="N38">
        <v>19.66</v>
      </c>
      <c r="O38">
        <f t="shared" si="4"/>
        <v>19.63</v>
      </c>
    </row>
    <row r="39" spans="1:15">
      <c r="A39" s="151" t="s">
        <v>286</v>
      </c>
      <c r="B39" s="152" t="str">
        <f t="shared" si="3"/>
        <v>400_1000 ohm</v>
      </c>
      <c r="C39" s="153" t="s">
        <v>10</v>
      </c>
      <c r="D39" s="239">
        <v>5</v>
      </c>
      <c r="E39" s="239">
        <v>10001713</v>
      </c>
      <c r="F39" s="163">
        <f t="shared" si="0"/>
        <v>5.0010035000944435E-4</v>
      </c>
      <c r="G39" s="159" t="str">
        <f t="shared" si="6"/>
        <v>milliH</v>
      </c>
      <c r="H39" s="156">
        <f t="shared" si="2"/>
        <v>1000.2429606847594</v>
      </c>
      <c r="I39" s="160" t="str">
        <f>VLOOKUP(Range,multiplier,6,FALSE)</f>
        <v>ohm</v>
      </c>
      <c r="J39" s="161">
        <v>400</v>
      </c>
      <c r="K39" s="186">
        <f>-F39*VLOOKUP(Range,multiplier,4,FALSE)/(H39*VLOOKUP(Range,multiplier,7,FALSE))^2*1000000000000</f>
        <v>-0.49985742909640252</v>
      </c>
      <c r="L39" s="231">
        <f>2*PI()*J39*K39*0.000000000001*H39</f>
        <v>-1.2565839680165568E-6</v>
      </c>
      <c r="N39">
        <v>19.670000000000002</v>
      </c>
      <c r="O39">
        <f t="shared" si="4"/>
        <v>19.64</v>
      </c>
    </row>
    <row r="40" spans="1:15">
      <c r="A40" s="151" t="s">
        <v>286</v>
      </c>
      <c r="B40" s="152" t="str">
        <f t="shared" si="3"/>
        <v>1000_1000 ohm</v>
      </c>
      <c r="C40" s="153" t="s">
        <v>10</v>
      </c>
      <c r="D40" s="239">
        <v>5</v>
      </c>
      <c r="E40" s="239">
        <v>10001670</v>
      </c>
      <c r="F40" s="163">
        <f t="shared" ref="F40:F62" si="7">(alpha-VLOOKUP(Range&amp;frequency,zeros,2,FALSE))*(1+VLOOKUP(Range,corrections,2,FALSE)*0.000001)*VLOOKUP(Range,multiplier,2,FALSE)</f>
        <v>6.0012042001133322E-4</v>
      </c>
      <c r="G40" s="159" t="str">
        <f t="shared" si="6"/>
        <v>milliH</v>
      </c>
      <c r="H40" s="156">
        <f t="shared" ref="H40:H62" si="8">(beta-VLOOKUP(Range&amp;frequency,zeros,3,FALSE))*(1+VLOOKUP(Range,corrections,3,FALSE)*0.000001)*VLOOKUP(Range,multiplier,5,FALSE)</f>
        <v>1000.2386603814008</v>
      </c>
      <c r="I40" s="165" t="str">
        <f>VLOOKUP(Range,multiplier,6,FALSE)</f>
        <v>ohm</v>
      </c>
      <c r="J40" s="161">
        <v>1000</v>
      </c>
      <c r="K40" s="186">
        <f>-F40*VLOOKUP(Range,multiplier,4,FALSE)/(H40*VLOOKUP(Range,multiplier,7,FALSE))^2*1000000000000</f>
        <v>-0.59983407258843535</v>
      </c>
      <c r="L40" s="231">
        <f>2*PI()*J40*K40*0.000000000001*H40</f>
        <v>-3.7697681112584255E-6</v>
      </c>
      <c r="N40">
        <v>19.68</v>
      </c>
      <c r="O40">
        <f t="shared" si="4"/>
        <v>19.649999999999999</v>
      </c>
    </row>
    <row r="41" spans="1:15">
      <c r="A41" s="151" t="s">
        <v>281</v>
      </c>
      <c r="B41" s="152" t="str">
        <f t="shared" si="3"/>
        <v>53_coax 0</v>
      </c>
      <c r="C41" s="153" t="s">
        <v>11</v>
      </c>
      <c r="D41" s="239">
        <v>10</v>
      </c>
      <c r="E41" s="239">
        <f>72-100</f>
        <v>-28</v>
      </c>
      <c r="F41" s="163">
        <f t="shared" si="7"/>
        <v>0</v>
      </c>
      <c r="G41" s="159" t="str">
        <f t="shared" si="6"/>
        <v>milliH</v>
      </c>
      <c r="H41" s="156">
        <f t="shared" si="8"/>
        <v>0</v>
      </c>
      <c r="I41" s="165" t="str">
        <f t="shared" ref="I41:I46" si="9">VLOOKUP(Range,multiplier,6,FALSE)</f>
        <v>ohm</v>
      </c>
      <c r="J41" s="161">
        <v>53</v>
      </c>
      <c r="K41" s="164"/>
      <c r="N41">
        <v>19.52</v>
      </c>
      <c r="O41">
        <f t="shared" si="4"/>
        <v>19.489999999999998</v>
      </c>
    </row>
    <row r="42" spans="1:15">
      <c r="A42" s="151" t="s">
        <v>281</v>
      </c>
      <c r="B42" s="152" t="str">
        <f t="shared" si="3"/>
        <v>400_coax 0</v>
      </c>
      <c r="C42" s="153" t="s">
        <v>11</v>
      </c>
      <c r="D42" s="239">
        <v>0</v>
      </c>
      <c r="E42" s="239">
        <f>74-100</f>
        <v>-26</v>
      </c>
      <c r="F42" s="163">
        <f t="shared" si="7"/>
        <v>0</v>
      </c>
      <c r="G42" s="159" t="str">
        <f t="shared" si="6"/>
        <v>milliH</v>
      </c>
      <c r="H42" s="166">
        <f t="shared" si="8"/>
        <v>0</v>
      </c>
      <c r="I42" s="160" t="str">
        <f t="shared" si="9"/>
        <v>ohm</v>
      </c>
      <c r="J42" s="161">
        <v>400</v>
      </c>
      <c r="K42" s="164"/>
      <c r="N42">
        <v>19.55</v>
      </c>
      <c r="O42">
        <f t="shared" si="4"/>
        <v>19.52</v>
      </c>
    </row>
    <row r="43" spans="1:15">
      <c r="A43" s="151" t="s">
        <v>281</v>
      </c>
      <c r="B43" s="152" t="str">
        <f t="shared" si="3"/>
        <v>1000_coax 0</v>
      </c>
      <c r="C43" s="153" t="s">
        <v>11</v>
      </c>
      <c r="D43" s="239">
        <v>0</v>
      </c>
      <c r="E43" s="239">
        <f>78-100</f>
        <v>-22</v>
      </c>
      <c r="F43" s="163">
        <f t="shared" si="7"/>
        <v>0</v>
      </c>
      <c r="G43" s="159" t="str">
        <f t="shared" si="6"/>
        <v>milliH</v>
      </c>
      <c r="H43" s="166">
        <f t="shared" si="8"/>
        <v>0</v>
      </c>
      <c r="I43" s="160" t="str">
        <f t="shared" si="9"/>
        <v>ohm</v>
      </c>
      <c r="J43" s="161">
        <v>1000</v>
      </c>
      <c r="K43" s="164"/>
      <c r="N43">
        <v>19.55</v>
      </c>
      <c r="O43">
        <f t="shared" si="4"/>
        <v>19.52</v>
      </c>
    </row>
    <row r="44" spans="1:15">
      <c r="A44" s="151" t="s">
        <v>287</v>
      </c>
      <c r="B44" s="152" t="str">
        <f t="shared" si="3"/>
        <v>53_10 k ohm</v>
      </c>
      <c r="C44" s="153" t="s">
        <v>11</v>
      </c>
      <c r="D44" s="239">
        <f>33-100</f>
        <v>-67</v>
      </c>
      <c r="E44" s="239">
        <v>10001342</v>
      </c>
      <c r="F44" s="163">
        <f t="shared" si="7"/>
        <v>-7.7015453901454423E-2</v>
      </c>
      <c r="G44" s="159" t="str">
        <f t="shared" si="6"/>
        <v>milliH</v>
      </c>
      <c r="H44" s="166">
        <f t="shared" si="8"/>
        <v>10002.075581873418</v>
      </c>
      <c r="I44" s="160" t="str">
        <f t="shared" si="9"/>
        <v>ohm</v>
      </c>
      <c r="J44" s="161">
        <v>53</v>
      </c>
      <c r="K44" s="186">
        <f>-F44*VLOOKUP(Range,multiplier,4,FALSE)/(H44*VLOOKUP(Range,multiplier,7,FALSE))^2*1000000000000</f>
        <v>0.76983493476252307</v>
      </c>
      <c r="L44" s="231">
        <f>2*PI()*J44*K44*0.000000000001*H44</f>
        <v>2.5641503420136817E-6</v>
      </c>
      <c r="N44">
        <v>19.53</v>
      </c>
      <c r="O44">
        <f t="shared" si="4"/>
        <v>19.5</v>
      </c>
    </row>
    <row r="45" spans="1:15">
      <c r="A45" s="151" t="s">
        <v>287</v>
      </c>
      <c r="B45" s="152" t="str">
        <f t="shared" si="3"/>
        <v>400_10 k ohm</v>
      </c>
      <c r="C45" s="153" t="s">
        <v>11</v>
      </c>
      <c r="D45" s="239">
        <f>37-100</f>
        <v>-63</v>
      </c>
      <c r="E45" s="239">
        <v>10001340</v>
      </c>
      <c r="F45" s="163">
        <f t="shared" si="7"/>
        <v>-6.301264410118998E-2</v>
      </c>
      <c r="G45" s="159" t="str">
        <f t="shared" si="6"/>
        <v>milliH</v>
      </c>
      <c r="H45" s="166">
        <f t="shared" si="8"/>
        <v>10002.071581591223</v>
      </c>
      <c r="I45" s="160" t="str">
        <f t="shared" si="9"/>
        <v>ohm</v>
      </c>
      <c r="J45" s="161">
        <v>400</v>
      </c>
      <c r="K45" s="186">
        <f>-F45*VLOOKUP(Range,multiplier,4,FALSE)/(H45*VLOOKUP(Range,multiplier,7,FALSE))^2*1000000000000</f>
        <v>0.6298654504471185</v>
      </c>
      <c r="L45" s="231">
        <f>2*PI()*J45*K45*0.000000000001*H45</f>
        <v>1.5833524739487887E-5</v>
      </c>
      <c r="N45">
        <v>19.54</v>
      </c>
      <c r="O45">
        <f t="shared" si="4"/>
        <v>19.509999999999998</v>
      </c>
    </row>
    <row r="46" spans="1:15">
      <c r="A46" s="151" t="s">
        <v>287</v>
      </c>
      <c r="B46" s="152" t="str">
        <f t="shared" si="3"/>
        <v>1000_10 k ohm</v>
      </c>
      <c r="C46" s="153" t="s">
        <v>11</v>
      </c>
      <c r="D46" s="239">
        <f>39-100</f>
        <v>-61</v>
      </c>
      <c r="E46" s="239">
        <v>10001312</v>
      </c>
      <c r="F46" s="163">
        <f t="shared" si="7"/>
        <v>-6.1012242701152207E-2</v>
      </c>
      <c r="G46" s="159" t="str">
        <f t="shared" si="6"/>
        <v>milliH</v>
      </c>
      <c r="H46" s="166">
        <f t="shared" si="8"/>
        <v>10002.03957933367</v>
      </c>
      <c r="I46" s="160" t="str">
        <f t="shared" si="9"/>
        <v>ohm</v>
      </c>
      <c r="J46" s="161">
        <v>1000</v>
      </c>
      <c r="K46" s="186">
        <f>-F46*VLOOKUP(Range,multiplier,4,FALSE)/(H46*VLOOKUP(Range,multiplier,7,FALSE))^2*1000000000000</f>
        <v>0.60987362451334604</v>
      </c>
      <c r="L46" s="231">
        <f>2*PI()*J46*K46*0.000000000001*H46</f>
        <v>3.8327305531767659E-5</v>
      </c>
      <c r="N46">
        <v>19.55</v>
      </c>
      <c r="O46">
        <f t="shared" si="4"/>
        <v>19.52</v>
      </c>
    </row>
    <row r="47" spans="1:15">
      <c r="A47" s="151" t="s">
        <v>281</v>
      </c>
      <c r="B47" s="152" t="str">
        <f t="shared" si="3"/>
        <v>53_coax 0</v>
      </c>
      <c r="C47" s="153" t="s">
        <v>63</v>
      </c>
      <c r="D47" s="239">
        <v>10</v>
      </c>
      <c r="E47" s="239">
        <f>93-100</f>
        <v>-7</v>
      </c>
      <c r="F47" s="163">
        <f t="shared" si="7"/>
        <v>0</v>
      </c>
      <c r="G47" s="159" t="str">
        <f t="shared" si="6"/>
        <v>H</v>
      </c>
      <c r="H47" s="166">
        <f t="shared" si="8"/>
        <v>0</v>
      </c>
      <c r="I47" s="160" t="str">
        <f t="shared" ref="I47:I56" si="10">VLOOKUP(Range,multiplier,6,FALSE)</f>
        <v>kilohm</v>
      </c>
      <c r="J47" s="161">
        <v>53</v>
      </c>
      <c r="K47" s="167"/>
      <c r="N47">
        <v>19.579999999999998</v>
      </c>
      <c r="O47">
        <f t="shared" si="4"/>
        <v>19.549999999999997</v>
      </c>
    </row>
    <row r="48" spans="1:15">
      <c r="A48" s="151" t="s">
        <v>281</v>
      </c>
      <c r="B48" s="152" t="str">
        <f t="shared" si="3"/>
        <v>400_coax 0</v>
      </c>
      <c r="C48" s="153" t="s">
        <v>63</v>
      </c>
      <c r="D48" s="239">
        <v>0</v>
      </c>
      <c r="E48" s="239">
        <f>90-100</f>
        <v>-10</v>
      </c>
      <c r="F48" s="163">
        <f t="shared" si="7"/>
        <v>0</v>
      </c>
      <c r="G48" s="159" t="str">
        <f t="shared" si="6"/>
        <v>H</v>
      </c>
      <c r="H48" s="166">
        <f t="shared" si="8"/>
        <v>0</v>
      </c>
      <c r="I48" s="160" t="str">
        <f t="shared" si="10"/>
        <v>kilohm</v>
      </c>
      <c r="J48" s="161">
        <v>400</v>
      </c>
      <c r="K48" s="164"/>
      <c r="N48">
        <v>19.559999999999999</v>
      </c>
      <c r="O48">
        <f t="shared" si="4"/>
        <v>19.529999999999998</v>
      </c>
    </row>
    <row r="49" spans="1:15">
      <c r="A49" s="151" t="s">
        <v>281</v>
      </c>
      <c r="B49" s="152" t="str">
        <f t="shared" si="3"/>
        <v>1000_coax 0</v>
      </c>
      <c r="C49" s="153" t="s">
        <v>63</v>
      </c>
      <c r="D49" s="239">
        <v>-1</v>
      </c>
      <c r="E49" s="239">
        <v>-10</v>
      </c>
      <c r="F49" s="163">
        <f t="shared" si="7"/>
        <v>0</v>
      </c>
      <c r="G49" s="159" t="str">
        <f t="shared" si="6"/>
        <v>H</v>
      </c>
      <c r="H49" s="166">
        <f t="shared" si="8"/>
        <v>0</v>
      </c>
      <c r="I49" s="160" t="str">
        <f t="shared" si="10"/>
        <v>kilohm</v>
      </c>
      <c r="J49" s="161">
        <v>1000</v>
      </c>
      <c r="K49" s="164"/>
      <c r="N49">
        <v>19.559999999999999</v>
      </c>
      <c r="O49">
        <f t="shared" si="4"/>
        <v>19.529999999999998</v>
      </c>
    </row>
    <row r="50" spans="1:15">
      <c r="A50" s="151" t="s">
        <v>288</v>
      </c>
      <c r="B50" s="152" t="str">
        <f t="shared" si="3"/>
        <v>53_100 k ohm</v>
      </c>
      <c r="C50" s="153" t="s">
        <v>63</v>
      </c>
      <c r="D50" s="239">
        <f>200-1000</f>
        <v>-800</v>
      </c>
      <c r="E50" s="239">
        <v>10002700</v>
      </c>
      <c r="F50" s="163">
        <f t="shared" si="7"/>
        <v>-8.1011074257094483E-3</v>
      </c>
      <c r="G50" s="159" t="str">
        <f t="shared" si="6"/>
        <v>H</v>
      </c>
      <c r="H50" s="156">
        <f t="shared" si="8"/>
        <v>100.02772695045779</v>
      </c>
      <c r="I50" s="160" t="str">
        <f t="shared" si="10"/>
        <v>kilohm</v>
      </c>
      <c r="J50" s="161">
        <v>53</v>
      </c>
      <c r="K50" s="186">
        <f>-F50*VLOOKUP(Range,multiplier,4,FALSE)/(H50*VLOOKUP(Range,multiplier,7,FALSE))^2*1000000000000</f>
        <v>0.80966169133340371</v>
      </c>
      <c r="L50" s="231">
        <f>2*PI()*J50*K50*0.000000000001*H50</f>
        <v>2.696992441144349E-8</v>
      </c>
      <c r="N50">
        <v>19.57</v>
      </c>
      <c r="O50">
        <f t="shared" si="4"/>
        <v>19.54</v>
      </c>
    </row>
    <row r="51" spans="1:15">
      <c r="A51" s="151" t="s">
        <v>288</v>
      </c>
      <c r="B51" s="152" t="str">
        <f t="shared" si="3"/>
        <v>400_100 k ohm</v>
      </c>
      <c r="C51" s="153" t="s">
        <v>63</v>
      </c>
      <c r="D51" s="239">
        <f>223-1000</f>
        <v>-777</v>
      </c>
      <c r="E51" s="239">
        <v>10002664</v>
      </c>
      <c r="F51" s="163">
        <f t="shared" si="7"/>
        <v>-7.7710623083657292E-3</v>
      </c>
      <c r="G51" s="159" t="str">
        <f t="shared" si="6"/>
        <v>H</v>
      </c>
      <c r="H51" s="156">
        <f t="shared" si="8"/>
        <v>100.02739694829044</v>
      </c>
      <c r="I51" s="160" t="str">
        <f t="shared" si="10"/>
        <v>kilohm</v>
      </c>
      <c r="J51" s="161">
        <v>400</v>
      </c>
      <c r="K51" s="186">
        <f>-F51*VLOOKUP(Range,multiplier,4,FALSE)/(H51*VLOOKUP(Range,multiplier,7,FALSE))^2*1000000000000</f>
        <v>0.77668059897532171</v>
      </c>
      <c r="L51" s="231">
        <f>2*PI()*J51*K51*0.000000000001*H51</f>
        <v>1.9525460426543718E-7</v>
      </c>
      <c r="N51">
        <v>19.559999999999999</v>
      </c>
      <c r="O51">
        <f t="shared" si="4"/>
        <v>19.529999999999998</v>
      </c>
    </row>
    <row r="52" spans="1:15">
      <c r="A52" s="151" t="s">
        <v>288</v>
      </c>
      <c r="B52" s="152" t="str">
        <f t="shared" si="3"/>
        <v>1000_100 k ohm</v>
      </c>
      <c r="C52" s="153" t="s">
        <v>63</v>
      </c>
      <c r="D52" s="239">
        <f>231-1000</f>
        <v>-769</v>
      </c>
      <c r="E52" s="239">
        <v>10002551</v>
      </c>
      <c r="F52" s="163">
        <f t="shared" si="7"/>
        <v>-7.681050003635624E-3</v>
      </c>
      <c r="G52" s="159" t="str">
        <f t="shared" si="6"/>
        <v>H</v>
      </c>
      <c r="H52" s="156">
        <f t="shared" si="8"/>
        <v>100.02626694086891</v>
      </c>
      <c r="I52" s="160" t="str">
        <f t="shared" si="10"/>
        <v>kilohm</v>
      </c>
      <c r="J52" s="161">
        <v>1000</v>
      </c>
      <c r="K52" s="186">
        <f>-F52*VLOOKUP(Range,multiplier,4,FALSE)/(H52*VLOOKUP(Range,multiplier,7,FALSE))^2*1000000000000</f>
        <v>0.76770164392210249</v>
      </c>
      <c r="L52" s="231">
        <f>2*PI()*J52*K52*0.000000000001*H52</f>
        <v>4.8248787046191658E-7</v>
      </c>
      <c r="N52">
        <v>19.55</v>
      </c>
      <c r="O52">
        <f t="shared" si="4"/>
        <v>19.52</v>
      </c>
    </row>
    <row r="53" spans="1:15">
      <c r="A53" s="151" t="s">
        <v>281</v>
      </c>
      <c r="B53" s="152" t="str">
        <f t="shared" si="3"/>
        <v>1600_coax 0</v>
      </c>
      <c r="C53" s="153" t="s">
        <v>10</v>
      </c>
      <c r="D53" s="239">
        <v>-1</v>
      </c>
      <c r="E53" s="239">
        <f>2-10</f>
        <v>-8</v>
      </c>
      <c r="F53" s="168">
        <f t="shared" si="7"/>
        <v>0</v>
      </c>
      <c r="G53" s="159" t="str">
        <f t="shared" si="6"/>
        <v>milliH</v>
      </c>
      <c r="H53" s="166">
        <f t="shared" si="8"/>
        <v>0</v>
      </c>
      <c r="I53" s="160" t="str">
        <f t="shared" si="10"/>
        <v>ohm</v>
      </c>
      <c r="J53" s="161">
        <v>1600</v>
      </c>
      <c r="K53" s="162"/>
      <c r="N53">
        <v>19.59</v>
      </c>
      <c r="O53">
        <f t="shared" si="4"/>
        <v>19.559999999999999</v>
      </c>
    </row>
    <row r="54" spans="1:15">
      <c r="A54" s="151" t="s">
        <v>289</v>
      </c>
      <c r="B54" s="152" t="str">
        <f t="shared" si="3"/>
        <v>1600_100 micro</v>
      </c>
      <c r="C54" s="153" t="s">
        <v>10</v>
      </c>
      <c r="D54" s="239">
        <v>1001</v>
      </c>
      <c r="E54" s="239">
        <v>6324510</v>
      </c>
      <c r="F54" s="168">
        <f t="shared" si="7"/>
        <v>0.10022011014189265</v>
      </c>
      <c r="G54" s="155" t="str">
        <f t="shared" si="6"/>
        <v>milliH</v>
      </c>
      <c r="H54" s="166">
        <f t="shared" si="8"/>
        <v>632.49641853984906</v>
      </c>
      <c r="I54" s="157" t="str">
        <f t="shared" si="10"/>
        <v>ohm</v>
      </c>
      <c r="J54" s="161">
        <v>1600</v>
      </c>
      <c r="K54" s="162"/>
      <c r="N54">
        <v>19.59</v>
      </c>
      <c r="O54">
        <f t="shared" si="4"/>
        <v>19.559999999999999</v>
      </c>
    </row>
    <row r="55" spans="1:15">
      <c r="A55" s="151" t="s">
        <v>281</v>
      </c>
      <c r="B55" s="152" t="str">
        <f t="shared" si="3"/>
        <v>1600_coax 0</v>
      </c>
      <c r="C55" s="153" t="s">
        <v>11</v>
      </c>
      <c r="D55" s="239">
        <v>-1</v>
      </c>
      <c r="E55" s="239">
        <f>80-100</f>
        <v>-20</v>
      </c>
      <c r="F55" s="168">
        <f t="shared" si="7"/>
        <v>0</v>
      </c>
      <c r="G55" s="155" t="str">
        <f t="shared" si="6"/>
        <v>milliH</v>
      </c>
      <c r="H55" s="166">
        <f t="shared" si="8"/>
        <v>0</v>
      </c>
      <c r="I55" s="157" t="str">
        <f t="shared" si="10"/>
        <v>ohm</v>
      </c>
      <c r="J55" s="161">
        <v>1600</v>
      </c>
      <c r="K55" s="162"/>
      <c r="N55">
        <v>19.59</v>
      </c>
      <c r="O55">
        <f t="shared" si="4"/>
        <v>19.559999999999999</v>
      </c>
    </row>
    <row r="56" spans="1:15">
      <c r="A56" s="151" t="s">
        <v>290</v>
      </c>
      <c r="B56" s="152" t="str">
        <f t="shared" si="3"/>
        <v>1600_100 milli</v>
      </c>
      <c r="C56" s="153" t="s">
        <v>11</v>
      </c>
      <c r="D56" s="239">
        <v>99862</v>
      </c>
      <c r="E56" s="239">
        <v>2000313</v>
      </c>
      <c r="F56" s="168">
        <f t="shared" si="7"/>
        <v>99.883042505986282</v>
      </c>
      <c r="G56" s="155" t="str">
        <f t="shared" si="6"/>
        <v>milliH</v>
      </c>
      <c r="H56" s="166">
        <f t="shared" si="8"/>
        <v>2000.4741205370462</v>
      </c>
      <c r="I56" s="157" t="str">
        <f t="shared" si="10"/>
        <v>ohm</v>
      </c>
      <c r="J56" s="161">
        <v>1600</v>
      </c>
      <c r="K56" s="162"/>
      <c r="N56">
        <v>19.59</v>
      </c>
      <c r="O56">
        <f t="shared" si="4"/>
        <v>19.559999999999999</v>
      </c>
    </row>
    <row r="57" spans="1:15">
      <c r="A57" s="151" t="s">
        <v>291</v>
      </c>
      <c r="B57" s="152" t="str">
        <f t="shared" si="3"/>
        <v>53_coax open</v>
      </c>
      <c r="C57" s="277" t="s">
        <v>71</v>
      </c>
      <c r="D57" s="239">
        <v>30</v>
      </c>
      <c r="E57" s="239">
        <v>10</v>
      </c>
      <c r="F57" s="168">
        <f t="shared" si="7"/>
        <v>0</v>
      </c>
      <c r="G57" s="155" t="str">
        <f t="shared" ref="G57:G62" si="11">VLOOKUP(Range,multiplier,3,FALSE)</f>
        <v>pF</v>
      </c>
      <c r="H57" s="166">
        <f t="shared" si="8"/>
        <v>0</v>
      </c>
      <c r="I57" s="157" t="str">
        <f t="shared" ref="I57:I62" si="12">VLOOKUP(Range,multiplier,6,FALSE)</f>
        <v>nS</v>
      </c>
      <c r="J57" s="161">
        <v>53</v>
      </c>
      <c r="K57" s="162"/>
      <c r="N57">
        <v>19.579999999999998</v>
      </c>
      <c r="O57">
        <f t="shared" si="4"/>
        <v>19.549999999999997</v>
      </c>
    </row>
    <row r="58" spans="1:15">
      <c r="A58" s="151" t="s">
        <v>291</v>
      </c>
      <c r="B58" s="152" t="str">
        <f t="shared" si="3"/>
        <v>400_coax open</v>
      </c>
      <c r="C58" s="153" t="s">
        <v>71</v>
      </c>
      <c r="D58" s="239">
        <v>6</v>
      </c>
      <c r="E58" s="239">
        <v>15</v>
      </c>
      <c r="F58" s="168">
        <f t="shared" si="7"/>
        <v>0</v>
      </c>
      <c r="G58" s="155" t="str">
        <f t="shared" si="11"/>
        <v>pF</v>
      </c>
      <c r="H58" s="166">
        <f t="shared" si="8"/>
        <v>0</v>
      </c>
      <c r="I58" s="157" t="str">
        <f t="shared" si="12"/>
        <v>nS</v>
      </c>
      <c r="J58" s="161">
        <v>400</v>
      </c>
      <c r="K58" s="162"/>
      <c r="N58">
        <v>19.579999999999998</v>
      </c>
      <c r="O58">
        <f t="shared" si="4"/>
        <v>19.549999999999997</v>
      </c>
    </row>
    <row r="59" spans="1:15">
      <c r="A59" s="151" t="s">
        <v>291</v>
      </c>
      <c r="B59" s="152" t="str">
        <f>J59&amp;"_"&amp;A59</f>
        <v>1000_coax open</v>
      </c>
      <c r="C59" s="153" t="s">
        <v>71</v>
      </c>
      <c r="D59" s="239">
        <v>6</v>
      </c>
      <c r="E59" s="239">
        <v>16</v>
      </c>
      <c r="F59" s="168">
        <f t="shared" si="7"/>
        <v>0</v>
      </c>
      <c r="G59" s="155" t="str">
        <f t="shared" si="11"/>
        <v>pF</v>
      </c>
      <c r="H59" s="166">
        <f t="shared" si="8"/>
        <v>0</v>
      </c>
      <c r="I59" s="157" t="str">
        <f t="shared" si="12"/>
        <v>nS</v>
      </c>
      <c r="J59" s="161">
        <v>1000</v>
      </c>
      <c r="K59" s="162"/>
      <c r="N59">
        <v>19.559999999999999</v>
      </c>
      <c r="O59">
        <f t="shared" si="4"/>
        <v>19.529999999999998</v>
      </c>
    </row>
    <row r="60" spans="1:15">
      <c r="A60" s="151" t="s">
        <v>292</v>
      </c>
      <c r="B60" s="152" t="str">
        <f>J60&amp;"_"&amp;A60</f>
        <v>53_Open</v>
      </c>
      <c r="C60" s="153" t="s">
        <v>71</v>
      </c>
      <c r="D60" s="239">
        <v>30</v>
      </c>
      <c r="E60" s="239">
        <v>10</v>
      </c>
      <c r="F60" s="168">
        <f t="shared" si="7"/>
        <v>0</v>
      </c>
      <c r="G60" s="155" t="str">
        <f t="shared" si="11"/>
        <v>pF</v>
      </c>
      <c r="H60" s="166">
        <f t="shared" si="8"/>
        <v>0</v>
      </c>
      <c r="I60" s="157" t="str">
        <f t="shared" si="12"/>
        <v>nS</v>
      </c>
      <c r="J60" s="161">
        <v>53</v>
      </c>
      <c r="K60" s="162"/>
      <c r="N60">
        <v>19.579999999999998</v>
      </c>
      <c r="O60">
        <f t="shared" si="4"/>
        <v>19.549999999999997</v>
      </c>
    </row>
    <row r="61" spans="1:15">
      <c r="A61" s="151" t="s">
        <v>292</v>
      </c>
      <c r="B61" s="152" t="str">
        <f>J61&amp;"_"&amp;A61</f>
        <v>400_Open</v>
      </c>
      <c r="C61" s="153" t="s">
        <v>71</v>
      </c>
      <c r="D61" s="239">
        <v>7</v>
      </c>
      <c r="E61" s="239">
        <v>15</v>
      </c>
      <c r="F61" s="168">
        <f t="shared" si="7"/>
        <v>1.0000574406645E-4</v>
      </c>
      <c r="G61" s="155" t="str">
        <f t="shared" si="11"/>
        <v>pF</v>
      </c>
      <c r="H61" s="166">
        <f t="shared" si="8"/>
        <v>0</v>
      </c>
      <c r="I61" s="157" t="str">
        <f t="shared" si="12"/>
        <v>nS</v>
      </c>
      <c r="J61" s="161">
        <v>400</v>
      </c>
      <c r="K61" s="162"/>
      <c r="N61">
        <v>19.57</v>
      </c>
      <c r="O61">
        <f t="shared" si="4"/>
        <v>19.54</v>
      </c>
    </row>
    <row r="62" spans="1:15">
      <c r="A62" s="151" t="s">
        <v>292</v>
      </c>
      <c r="B62" s="152" t="str">
        <f>J62&amp;"_"&amp;A62</f>
        <v>1000_Open</v>
      </c>
      <c r="C62" s="153" t="s">
        <v>71</v>
      </c>
      <c r="D62" s="239">
        <v>6</v>
      </c>
      <c r="E62" s="239">
        <v>16</v>
      </c>
      <c r="F62" s="168">
        <f t="shared" si="7"/>
        <v>0</v>
      </c>
      <c r="G62" s="155" t="str">
        <f t="shared" si="11"/>
        <v>pF</v>
      </c>
      <c r="H62" s="166">
        <f t="shared" si="8"/>
        <v>0</v>
      </c>
      <c r="I62" s="157" t="str">
        <f t="shared" si="12"/>
        <v>nS</v>
      </c>
      <c r="J62" s="169">
        <v>1000</v>
      </c>
      <c r="K62" s="170"/>
      <c r="N62">
        <v>19.559999999999999</v>
      </c>
      <c r="O62">
        <f t="shared" si="4"/>
        <v>19.529999999999998</v>
      </c>
    </row>
    <row r="63" spans="1:15">
      <c r="O63" s="299">
        <f>AVERAGE(O8:O62)</f>
        <v>19.639818181818168</v>
      </c>
    </row>
    <row r="64" spans="1:15">
      <c r="O64" s="299">
        <f>STDEV(O8:O62)</f>
        <v>9.661858783459612E-2</v>
      </c>
    </row>
    <row r="65" spans="1:8">
      <c r="A65" s="297" t="s">
        <v>456</v>
      </c>
      <c r="B65" s="1">
        <v>41950</v>
      </c>
      <c r="H65" s="276" t="s">
        <v>458</v>
      </c>
    </row>
    <row r="66" spans="1:8">
      <c r="B66" s="276" t="s">
        <v>457</v>
      </c>
      <c r="C66" s="276" t="s">
        <v>11</v>
      </c>
      <c r="D66">
        <f>D56</f>
        <v>99862</v>
      </c>
      <c r="E66">
        <f>E56</f>
        <v>2000313</v>
      </c>
      <c r="F66">
        <v>19.59</v>
      </c>
      <c r="H66">
        <f>31.488/D66*1000000</f>
        <v>315.31513488614286</v>
      </c>
    </row>
    <row r="67" spans="1:8">
      <c r="D67">
        <v>99847</v>
      </c>
      <c r="E67">
        <v>2000360</v>
      </c>
      <c r="F67">
        <v>20.11</v>
      </c>
    </row>
    <row r="68" spans="1:8">
      <c r="D68">
        <v>99858</v>
      </c>
      <c r="E68">
        <v>2000358</v>
      </c>
      <c r="F68">
        <v>19.79</v>
      </c>
    </row>
    <row r="69" spans="1:8">
      <c r="D69">
        <v>99871</v>
      </c>
      <c r="E69">
        <v>2000366</v>
      </c>
      <c r="F69">
        <v>19.37</v>
      </c>
    </row>
  </sheetData>
  <phoneticPr fontId="17" type="noConversion"/>
  <pageMargins left="0.75" right="0.75" top="1" bottom="1" header="0.5" footer="0.5"/>
  <pageSetup scale="51" orientation="portrait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56"/>
  <sheetViews>
    <sheetView workbookViewId="0">
      <selection activeCell="U20" sqref="U20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24" t="s">
        <v>169</v>
      </c>
      <c r="E1" t="s">
        <v>12</v>
      </c>
      <c r="L1" t="s">
        <v>13</v>
      </c>
      <c r="M1" s="281" t="s">
        <v>14</v>
      </c>
      <c r="N1" s="281" t="s">
        <v>15</v>
      </c>
      <c r="O1" s="281" t="s">
        <v>16</v>
      </c>
      <c r="P1" s="281" t="s">
        <v>17</v>
      </c>
      <c r="Q1" s="281" t="s">
        <v>18</v>
      </c>
      <c r="R1" s="281" t="s">
        <v>19</v>
      </c>
      <c r="S1" s="282" t="s">
        <v>20</v>
      </c>
      <c r="T1" s="282" t="s">
        <v>21</v>
      </c>
    </row>
    <row r="2" spans="1:31" ht="13.5" thickTop="1">
      <c r="E2" s="283" t="s">
        <v>22</v>
      </c>
      <c r="F2" s="7" t="s">
        <v>23</v>
      </c>
      <c r="G2" s="7" t="s">
        <v>13</v>
      </c>
      <c r="H2" s="8"/>
      <c r="K2" t="s">
        <v>24</v>
      </c>
      <c r="L2" s="118">
        <v>31092</v>
      </c>
      <c r="M2" s="119">
        <f>IMREAL(COMPLEX(32,0))</f>
        <v>32</v>
      </c>
      <c r="N2" s="119">
        <f>IMREAL(COMPLEX(30.1,3.9))</f>
        <v>30.1</v>
      </c>
      <c r="O2" s="119">
        <f>IMREAL(COMPLEX(-12,-5.9))</f>
        <v>-12</v>
      </c>
      <c r="P2" s="119">
        <f>IMREAL(COMPLEX(53,0))</f>
        <v>53</v>
      </c>
      <c r="Q2" s="119">
        <f>IMREAL(COMPLEX(13,-0.4))</f>
        <v>13</v>
      </c>
      <c r="R2" s="119">
        <f>IMREAL(COMPLEX(8.7,1.8))</f>
        <v>8.6999999999999993</v>
      </c>
      <c r="S2" s="119" t="s">
        <v>25</v>
      </c>
      <c r="T2" s="119" t="s">
        <v>25</v>
      </c>
      <c r="U2" t="s">
        <v>26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284"/>
      <c r="F3" s="285" t="s">
        <v>27</v>
      </c>
      <c r="G3" s="123">
        <v>41827</v>
      </c>
      <c r="H3" s="9"/>
      <c r="K3" t="s">
        <v>28</v>
      </c>
      <c r="L3" s="118">
        <v>32477</v>
      </c>
      <c r="M3" s="119">
        <v>123.32</v>
      </c>
      <c r="N3" s="119">
        <v>35</v>
      </c>
      <c r="O3" s="119">
        <v>-12</v>
      </c>
      <c r="P3" s="119" t="e">
        <f>NA()</f>
        <v>#N/A</v>
      </c>
      <c r="Q3" s="119">
        <v>9</v>
      </c>
      <c r="R3" s="119">
        <v>4</v>
      </c>
      <c r="S3" s="119">
        <v>0</v>
      </c>
      <c r="T3" s="119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286" t="s">
        <v>13</v>
      </c>
      <c r="B4" s="286" t="s">
        <v>29</v>
      </c>
      <c r="C4" s="286" t="s">
        <v>30</v>
      </c>
      <c r="E4" s="284" t="s">
        <v>31</v>
      </c>
      <c r="F4" s="287">
        <f>IMREAL(VLOOKUP($G$3,Data,2,FALSE))</f>
        <v>143.10000000006261</v>
      </c>
      <c r="G4" s="288" t="str">
        <f t="shared" ref="G4:G9" si="3">VLOOKUP($G$3,Record,2,FALSE)</f>
        <v>UBIII</v>
      </c>
      <c r="H4" s="9"/>
      <c r="K4" t="s">
        <v>28</v>
      </c>
      <c r="L4" s="118">
        <v>33309</v>
      </c>
      <c r="M4" s="119">
        <v>133</v>
      </c>
      <c r="N4" s="119">
        <v>37</v>
      </c>
      <c r="O4" s="119">
        <v>-14</v>
      </c>
      <c r="P4" s="119">
        <v>61</v>
      </c>
      <c r="Q4" s="119">
        <v>10</v>
      </c>
      <c r="R4" s="119">
        <v>6</v>
      </c>
      <c r="S4" s="119">
        <v>0</v>
      </c>
      <c r="T4" s="119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32</v>
      </c>
      <c r="C5" t="s">
        <v>33</v>
      </c>
      <c r="E5" s="284" t="s">
        <v>34</v>
      </c>
      <c r="F5" s="287">
        <f>IMREAL(VLOOKUP($G$3,Data,3,FALSE))</f>
        <v>54.126077194238675</v>
      </c>
      <c r="G5" s="288" t="str">
        <f t="shared" si="3"/>
        <v>UBIII</v>
      </c>
      <c r="H5" s="9"/>
      <c r="K5" t="s">
        <v>28</v>
      </c>
      <c r="L5" s="118">
        <v>34933</v>
      </c>
      <c r="M5" s="119">
        <v>127.40600000000001</v>
      </c>
      <c r="N5" s="119">
        <v>40.340000000000003</v>
      </c>
      <c r="O5" s="120">
        <v>-17.21</v>
      </c>
      <c r="P5" s="119">
        <v>52</v>
      </c>
      <c r="Q5" s="120">
        <v>11.21</v>
      </c>
      <c r="R5" s="120">
        <v>6.21</v>
      </c>
      <c r="S5" s="119">
        <v>0</v>
      </c>
      <c r="T5" s="119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35</v>
      </c>
      <c r="C6" t="s">
        <v>36</v>
      </c>
      <c r="E6" s="284" t="s">
        <v>37</v>
      </c>
      <c r="F6" s="287">
        <f>IMREAL(VLOOKUP($G$3,Data,4,FALSE))</f>
        <v>-9.8547183057240417</v>
      </c>
      <c r="G6" s="288" t="str">
        <f t="shared" si="3"/>
        <v>UBIII</v>
      </c>
      <c r="H6" s="9"/>
      <c r="K6" t="s">
        <v>28</v>
      </c>
      <c r="L6" s="118">
        <v>36102</v>
      </c>
      <c r="M6" s="119">
        <v>135.27000000000001</v>
      </c>
      <c r="N6" s="121">
        <v>43.374148761358811</v>
      </c>
      <c r="O6" s="120">
        <v>-16.35231834356091</v>
      </c>
      <c r="P6" s="121">
        <v>67.003866063780151</v>
      </c>
      <c r="Q6" s="120">
        <v>11.184371676790761</v>
      </c>
      <c r="R6" s="120">
        <v>6.6891116768238135</v>
      </c>
      <c r="S6" s="119">
        <v>0</v>
      </c>
      <c r="T6" s="119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38</v>
      </c>
      <c r="E7" s="284" t="s">
        <v>39</v>
      </c>
      <c r="F7" s="287">
        <f>IMREAL(VLOOKUP($G$3,Data,5,FALSE))</f>
        <v>67.19327719428847</v>
      </c>
      <c r="G7" s="288" t="str">
        <f t="shared" si="3"/>
        <v>UBIII</v>
      </c>
      <c r="H7" s="9"/>
      <c r="K7" t="s">
        <v>28</v>
      </c>
      <c r="L7" s="118">
        <v>37142</v>
      </c>
      <c r="M7" s="120">
        <v>124.15653400852065</v>
      </c>
      <c r="N7" s="120">
        <v>46.005999473575088</v>
      </c>
      <c r="O7" s="120">
        <v>-17.319750828058801</v>
      </c>
      <c r="P7" s="120">
        <v>64.090992469401087</v>
      </c>
      <c r="Q7" s="120">
        <v>12.022750828099106</v>
      </c>
      <c r="R7" s="120">
        <v>7.47625082806357</v>
      </c>
      <c r="S7" s="119">
        <v>0</v>
      </c>
      <c r="T7" s="119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40</v>
      </c>
      <c r="C8" t="s">
        <v>41</v>
      </c>
      <c r="E8" s="284" t="s">
        <v>42</v>
      </c>
      <c r="F8" s="287">
        <f>IMREAL(VLOOKUP($G$3,Data,6,FALSE))</f>
        <v>12.948503305687531</v>
      </c>
      <c r="G8" s="288" t="str">
        <f t="shared" si="3"/>
        <v>UBIII</v>
      </c>
      <c r="H8" s="9"/>
      <c r="K8" t="s">
        <v>28</v>
      </c>
      <c r="L8" s="118">
        <v>38008</v>
      </c>
      <c r="M8" s="120">
        <v>131.71484972722556</v>
      </c>
      <c r="N8" s="120">
        <v>47.52000000007861</v>
      </c>
      <c r="O8" s="120">
        <v>-16.235999999891781</v>
      </c>
      <c r="P8" s="120">
        <v>63.740000000089836</v>
      </c>
      <c r="Q8" s="120">
        <v>12.615999999798788</v>
      </c>
      <c r="R8" s="120">
        <v>7.5959999999986039</v>
      </c>
      <c r="S8" s="119">
        <v>0</v>
      </c>
      <c r="T8" s="119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40</v>
      </c>
      <c r="C9" t="s">
        <v>41</v>
      </c>
      <c r="E9" s="284" t="s">
        <v>43</v>
      </c>
      <c r="F9" s="287">
        <f>IMREAL(VLOOKUP($G$3,Data,7,FALSE))</f>
        <v>7.496058305744846</v>
      </c>
      <c r="G9" s="288" t="str">
        <f t="shared" si="3"/>
        <v>UBIII</v>
      </c>
      <c r="H9" s="9"/>
      <c r="K9" t="s">
        <v>28</v>
      </c>
      <c r="L9" s="118">
        <v>38035</v>
      </c>
      <c r="M9" s="120">
        <v>123.9</v>
      </c>
      <c r="N9" s="120">
        <v>47.52000000007861</v>
      </c>
      <c r="O9" s="120">
        <v>-16.235999999891781</v>
      </c>
      <c r="P9" s="120">
        <v>63.740000000089836</v>
      </c>
      <c r="Q9" s="120">
        <v>12.615999999798788</v>
      </c>
      <c r="R9" s="120">
        <v>7.5959999999986039</v>
      </c>
      <c r="S9" s="119">
        <v>5.2</v>
      </c>
      <c r="T9" s="119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40</v>
      </c>
      <c r="C10" t="s">
        <v>45</v>
      </c>
      <c r="E10" s="11"/>
      <c r="F10" s="12"/>
      <c r="G10" s="12"/>
      <c r="H10" s="9"/>
      <c r="K10" t="s">
        <v>28</v>
      </c>
      <c r="L10" s="118">
        <v>38401</v>
      </c>
      <c r="M10" s="122">
        <v>129.44934972722558</v>
      </c>
      <c r="N10" s="119">
        <v>46.540000000261372</v>
      </c>
      <c r="O10" s="119">
        <v>-16.960000000287856</v>
      </c>
      <c r="P10" s="119">
        <v>61.50000000015865</v>
      </c>
      <c r="Q10" s="119">
        <v>13.840000000375774</v>
      </c>
      <c r="R10" s="119">
        <v>9.0000000000367564</v>
      </c>
      <c r="S10" s="119">
        <v>5.7</v>
      </c>
      <c r="T10" s="119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46</v>
      </c>
      <c r="C11" t="s">
        <v>47</v>
      </c>
      <c r="E11" s="11" t="s">
        <v>48</v>
      </c>
      <c r="F11" s="12"/>
      <c r="G11" s="12"/>
      <c r="H11" s="9" t="s">
        <v>49</v>
      </c>
      <c r="K11" t="s">
        <v>28</v>
      </c>
      <c r="L11" s="118">
        <v>40038</v>
      </c>
      <c r="M11" s="119">
        <v>130.29869400282834</v>
      </c>
      <c r="N11" s="119">
        <v>50.874703493297702</v>
      </c>
      <c r="O11" s="119">
        <v>-14.104296506833869</v>
      </c>
      <c r="P11" s="119">
        <v>64.524703493384905</v>
      </c>
      <c r="Q11" s="119">
        <v>12.507296506814036</v>
      </c>
      <c r="R11" s="119">
        <v>7.4752965067981236</v>
      </c>
      <c r="S11" s="119">
        <v>2</v>
      </c>
      <c r="T11" s="119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40</v>
      </c>
      <c r="C12" t="s">
        <v>50</v>
      </c>
      <c r="E12" s="11" t="s">
        <v>51</v>
      </c>
      <c r="F12" s="281" t="s">
        <v>168</v>
      </c>
      <c r="G12" s="289">
        <f>IMREAL(VLOOKUP($G$3,Data,8,FALSE))</f>
        <v>10.97</v>
      </c>
      <c r="H12" s="9"/>
      <c r="K12" s="276" t="s">
        <v>28</v>
      </c>
      <c r="L12" s="118">
        <v>41827</v>
      </c>
      <c r="M12" s="119">
        <v>143.10000000006261</v>
      </c>
      <c r="N12" s="119">
        <v>54.126077194238675</v>
      </c>
      <c r="O12" s="119">
        <v>-9.8547183057240417</v>
      </c>
      <c r="P12" s="119">
        <v>67.19327719428847</v>
      </c>
      <c r="Q12" s="119">
        <v>12.948503305687531</v>
      </c>
      <c r="R12" s="119">
        <v>7.496058305744846</v>
      </c>
      <c r="S12" s="119">
        <v>10.97</v>
      </c>
      <c r="T12" s="119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40</v>
      </c>
      <c r="C13" t="s">
        <v>151</v>
      </c>
      <c r="E13" s="11" t="s">
        <v>52</v>
      </c>
      <c r="F13" s="12"/>
      <c r="G13" s="12"/>
      <c r="H13" s="9" t="s">
        <v>53</v>
      </c>
      <c r="L13" s="119"/>
      <c r="M13" s="119"/>
      <c r="N13" s="119"/>
      <c r="O13" s="119"/>
      <c r="P13" s="119"/>
      <c r="Q13" s="119"/>
      <c r="R13" s="119"/>
      <c r="S13" s="119"/>
      <c r="T13" s="119"/>
    </row>
    <row r="14" spans="1:31">
      <c r="A14" s="1">
        <v>37142</v>
      </c>
      <c r="B14" t="s">
        <v>157</v>
      </c>
      <c r="C14" t="s">
        <v>158</v>
      </c>
      <c r="E14" s="11" t="s">
        <v>54</v>
      </c>
      <c r="F14" s="12"/>
      <c r="G14" s="12"/>
      <c r="H14" s="9"/>
      <c r="L14" s="119"/>
      <c r="M14" s="119"/>
      <c r="N14" s="119"/>
      <c r="O14" s="119"/>
      <c r="P14" s="119"/>
      <c r="Q14" s="119"/>
      <c r="R14" s="119"/>
      <c r="S14" s="119"/>
      <c r="T14" s="119"/>
    </row>
    <row r="15" spans="1:31">
      <c r="A15" s="1">
        <v>38008</v>
      </c>
      <c r="B15" t="s">
        <v>157</v>
      </c>
      <c r="C15" t="s">
        <v>159</v>
      </c>
      <c r="E15" s="11"/>
      <c r="F15" s="12"/>
      <c r="G15" s="12"/>
      <c r="H15" s="9"/>
      <c r="L15" s="119"/>
      <c r="M15" s="119"/>
      <c r="N15" s="119"/>
      <c r="O15" s="119"/>
      <c r="P15" s="119"/>
      <c r="Q15" s="119"/>
      <c r="R15" s="119"/>
      <c r="S15" s="119"/>
      <c r="T15" s="119"/>
    </row>
    <row r="16" spans="1:31">
      <c r="A16" s="1">
        <v>38035</v>
      </c>
      <c r="B16" t="s">
        <v>157</v>
      </c>
      <c r="C16" t="s">
        <v>160</v>
      </c>
      <c r="E16" s="11" t="s">
        <v>55</v>
      </c>
      <c r="F16" s="12"/>
      <c r="G16" s="12"/>
      <c r="H16" s="9"/>
    </row>
    <row r="17" spans="1:24">
      <c r="A17" s="1">
        <v>38401</v>
      </c>
      <c r="B17" t="s">
        <v>157</v>
      </c>
      <c r="C17" t="s">
        <v>161</v>
      </c>
      <c r="E17" s="11" t="s">
        <v>56</v>
      </c>
      <c r="F17" s="12"/>
      <c r="G17" s="12"/>
      <c r="H17" s="9"/>
    </row>
    <row r="18" spans="1:24" ht="13.5" thickBot="1">
      <c r="A18" s="135">
        <v>40038</v>
      </c>
      <c r="B18" s="134" t="s">
        <v>207</v>
      </c>
      <c r="C18" s="134" t="s">
        <v>208</v>
      </c>
      <c r="E18" s="13" t="s">
        <v>57</v>
      </c>
      <c r="F18" s="14"/>
      <c r="G18" s="14"/>
      <c r="H18" s="15"/>
      <c r="V18" t="s">
        <v>442</v>
      </c>
      <c r="W18" t="s">
        <v>443</v>
      </c>
      <c r="X18" t="s">
        <v>444</v>
      </c>
    </row>
    <row r="19" spans="1:24" ht="16.5" thickTop="1">
      <c r="A19" s="1">
        <v>41827</v>
      </c>
      <c r="B19" s="134" t="s">
        <v>207</v>
      </c>
      <c r="C19" s="134" t="s">
        <v>445</v>
      </c>
      <c r="N19" s="22" t="s">
        <v>44</v>
      </c>
      <c r="O19" s="23" t="s">
        <v>0</v>
      </c>
      <c r="P19" s="291" t="s">
        <v>312</v>
      </c>
      <c r="Q19" s="184" t="s">
        <v>313</v>
      </c>
      <c r="R19" s="4" t="s">
        <v>4</v>
      </c>
      <c r="S19" s="24" t="s">
        <v>5</v>
      </c>
      <c r="V19" t="s">
        <v>39</v>
      </c>
      <c r="W19" s="233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25" t="s">
        <v>60</v>
      </c>
      <c r="P20" s="182">
        <v>53</v>
      </c>
      <c r="Q20" s="182" t="str">
        <f t="shared" ref="Q20:Q42" si="4">O20&amp;P20</f>
        <v>1Z53</v>
      </c>
      <c r="R20" s="323">
        <f>Results!D14</f>
        <v>80</v>
      </c>
      <c r="S20" s="324">
        <f>Results!E14</f>
        <v>-20</v>
      </c>
    </row>
    <row r="21" spans="1:24">
      <c r="O21" s="25" t="s">
        <v>60</v>
      </c>
      <c r="P21" s="182">
        <v>400</v>
      </c>
      <c r="Q21" s="182" t="str">
        <f t="shared" si="4"/>
        <v>1Z400</v>
      </c>
      <c r="R21" s="323">
        <f>Results!D15</f>
        <v>-11</v>
      </c>
      <c r="S21" s="324">
        <f>Results!E15</f>
        <v>1</v>
      </c>
      <c r="U21" s="134"/>
    </row>
    <row r="22" spans="1:24">
      <c r="O22" s="25" t="s">
        <v>60</v>
      </c>
      <c r="P22" s="182">
        <v>1000</v>
      </c>
      <c r="Q22" s="182" t="str">
        <f t="shared" si="4"/>
        <v>1Z1000</v>
      </c>
      <c r="R22" s="323">
        <f>Results!D16</f>
        <v>-13</v>
      </c>
      <c r="S22" s="324">
        <f>Results!E16</f>
        <v>0</v>
      </c>
    </row>
    <row r="23" spans="1:24">
      <c r="O23" s="25" t="s">
        <v>61</v>
      </c>
      <c r="P23" s="182">
        <v>53</v>
      </c>
      <c r="Q23" s="182" t="str">
        <f t="shared" si="4"/>
        <v>2Z53</v>
      </c>
      <c r="R23" s="323">
        <f>Results!D23</f>
        <v>100</v>
      </c>
      <c r="S23" s="324">
        <f>Results!E23</f>
        <v>10</v>
      </c>
    </row>
    <row r="24" spans="1:24">
      <c r="F24" s="16" t="s">
        <v>0</v>
      </c>
      <c r="G24" s="17" t="s">
        <v>58</v>
      </c>
      <c r="H24" s="17" t="s">
        <v>59</v>
      </c>
      <c r="O24" s="25" t="s">
        <v>61</v>
      </c>
      <c r="P24" s="182">
        <v>400</v>
      </c>
      <c r="Q24" s="182" t="str">
        <f t="shared" si="4"/>
        <v>2Z400</v>
      </c>
      <c r="R24" s="323">
        <f>Results!D24</f>
        <v>1</v>
      </c>
      <c r="S24" s="324">
        <f>Results!E24</f>
        <v>-4</v>
      </c>
    </row>
    <row r="25" spans="1:24">
      <c r="F25" s="16"/>
      <c r="G25" s="16" t="s">
        <v>27</v>
      </c>
      <c r="H25" s="16" t="s">
        <v>27</v>
      </c>
      <c r="O25" s="25" t="s">
        <v>61</v>
      </c>
      <c r="P25" s="182">
        <v>1000</v>
      </c>
      <c r="Q25" s="182" t="str">
        <f t="shared" si="4"/>
        <v>2Z1000</v>
      </c>
      <c r="R25" s="323">
        <f>Results!D25</f>
        <v>-2</v>
      </c>
      <c r="S25" s="324">
        <f>Results!E25</f>
        <v>-8</v>
      </c>
    </row>
    <row r="26" spans="1:24">
      <c r="F26" s="3" t="s">
        <v>60</v>
      </c>
      <c r="G26" s="18">
        <f>R_4A-G_2+C_1+correction_c</f>
        <v>200.70001888855643</v>
      </c>
      <c r="H26" s="18">
        <f>R_4A-G_2+G_1+correction_c</f>
        <v>70.548522194181359</v>
      </c>
      <c r="O26" s="25" t="s">
        <v>62</v>
      </c>
      <c r="P26" s="182">
        <v>53</v>
      </c>
      <c r="Q26" s="182" t="str">
        <f t="shared" si="4"/>
        <v>3Z53</v>
      </c>
      <c r="R26" s="323">
        <f>Results!D29</f>
        <v>30</v>
      </c>
      <c r="S26" s="324">
        <f>Results!E29</f>
        <v>-13</v>
      </c>
    </row>
    <row r="27" spans="1:24">
      <c r="F27" s="3" t="s">
        <v>61</v>
      </c>
      <c r="G27" s="18">
        <f>R_4A-G_2+C_1+correction_c</f>
        <v>200.70001888855643</v>
      </c>
      <c r="H27" s="18">
        <f>R_4A-G_2+G_1+correction_c</f>
        <v>70.548522194181359</v>
      </c>
      <c r="O27" s="25" t="s">
        <v>62</v>
      </c>
      <c r="P27" s="182">
        <v>400</v>
      </c>
      <c r="Q27" s="182" t="str">
        <f t="shared" si="4"/>
        <v>3Z400</v>
      </c>
      <c r="R27" s="323">
        <f>Results!D30</f>
        <v>-1</v>
      </c>
      <c r="S27" s="324">
        <f>Results!E30</f>
        <v>-9</v>
      </c>
    </row>
    <row r="28" spans="1:24">
      <c r="F28" s="3" t="s">
        <v>62</v>
      </c>
      <c r="G28" s="18">
        <f>R_4A-G_2+C_1+correction_c</f>
        <v>200.70001888855643</v>
      </c>
      <c r="H28" s="18">
        <f>R_4A-G_2+G_1+correction_c</f>
        <v>70.548522194181359</v>
      </c>
      <c r="O28" s="25" t="s">
        <v>62</v>
      </c>
      <c r="P28" s="182">
        <v>1000</v>
      </c>
      <c r="Q28" s="182" t="str">
        <f t="shared" si="4"/>
        <v>3Z1000</v>
      </c>
      <c r="R28" s="323">
        <f>Results!D31</f>
        <v>-1</v>
      </c>
      <c r="S28" s="324">
        <f>Results!E31</f>
        <v>-7</v>
      </c>
    </row>
    <row r="29" spans="1:24">
      <c r="F29" s="3" t="s">
        <v>10</v>
      </c>
      <c r="G29" s="18">
        <f>R_4A-G_2+C_1+correction_c</f>
        <v>200.70001888855643</v>
      </c>
      <c r="H29" s="18">
        <f>R_4A-G_2+G_1+correction_c</f>
        <v>70.548522194181359</v>
      </c>
      <c r="O29" s="25" t="s">
        <v>10</v>
      </c>
      <c r="P29" s="182">
        <v>53</v>
      </c>
      <c r="Q29" s="182" t="str">
        <f t="shared" si="4"/>
        <v>4Z53</v>
      </c>
      <c r="R29" s="323">
        <f>Results!D35</f>
        <v>35</v>
      </c>
      <c r="S29" s="324">
        <f>Results!E35</f>
        <v>-10</v>
      </c>
    </row>
    <row r="30" spans="1:24">
      <c r="F30" s="3" t="s">
        <v>11</v>
      </c>
      <c r="G30" s="18">
        <f>R_4A-G_2+C_1+correction_c</f>
        <v>200.70001888855643</v>
      </c>
      <c r="H30" s="18">
        <f>R_4A-G_2+G_1+correction_c</f>
        <v>70.548522194181359</v>
      </c>
      <c r="O30" s="25" t="s">
        <v>10</v>
      </c>
      <c r="P30" s="182">
        <v>400</v>
      </c>
      <c r="Q30" s="182" t="str">
        <f t="shared" si="4"/>
        <v>4Z400</v>
      </c>
      <c r="R30" s="323">
        <f>Results!D36</f>
        <v>0</v>
      </c>
      <c r="S30" s="324">
        <f>Results!E36</f>
        <v>-11</v>
      </c>
    </row>
    <row r="31" spans="1:24">
      <c r="F31" s="3" t="s">
        <v>63</v>
      </c>
      <c r="G31" s="18">
        <f>R_4B-G_2+C_1+correction_c</f>
        <v>136.71922338859372</v>
      </c>
      <c r="H31" s="18">
        <f>R_4B-G_2+G_1+correction_c</f>
        <v>6.5677266942186439</v>
      </c>
      <c r="O31" s="25" t="s">
        <v>10</v>
      </c>
      <c r="P31" s="182">
        <v>1000</v>
      </c>
      <c r="Q31" s="182" t="str">
        <f t="shared" si="4"/>
        <v>4Z1000</v>
      </c>
      <c r="R31" s="323">
        <f>Results!D37</f>
        <v>-1</v>
      </c>
      <c r="S31" s="324">
        <f>Results!E37</f>
        <v>-11</v>
      </c>
    </row>
    <row r="32" spans="1:24">
      <c r="F32" s="3" t="s">
        <v>64</v>
      </c>
      <c r="G32" s="18">
        <f>R_4C-G_2+C_1+correction_c</f>
        <v>213.76721888860624</v>
      </c>
      <c r="H32" s="18">
        <f>R_4C-G_2+G_1+correction_c</f>
        <v>83.615722194231154</v>
      </c>
      <c r="O32" s="25" t="s">
        <v>10</v>
      </c>
      <c r="P32" s="182">
        <v>1600</v>
      </c>
      <c r="Q32" s="182" t="str">
        <f t="shared" si="4"/>
        <v>4Z1600</v>
      </c>
      <c r="R32" s="323">
        <f>Results!D53</f>
        <v>-1</v>
      </c>
      <c r="S32" s="324">
        <f>Results!E53</f>
        <v>-8</v>
      </c>
    </row>
    <row r="33" spans="6:24">
      <c r="F33" s="3" t="s">
        <v>65</v>
      </c>
      <c r="G33" s="18">
        <f>-R_4A-G_2+C_1-correction_c</f>
        <v>70.50786450007908</v>
      </c>
      <c r="H33" s="18">
        <f>-R_4A-G_2+G_1-correction_c</f>
        <v>-59.643632194295989</v>
      </c>
      <c r="O33" s="25" t="s">
        <v>11</v>
      </c>
      <c r="P33" s="182">
        <v>53</v>
      </c>
      <c r="Q33" s="182" t="str">
        <f t="shared" si="4"/>
        <v>5Z53</v>
      </c>
      <c r="R33" s="323">
        <f>Results!D41</f>
        <v>10</v>
      </c>
      <c r="S33" s="324">
        <f>Results!E41</f>
        <v>-28</v>
      </c>
    </row>
    <row r="34" spans="6:24">
      <c r="F34" s="3" t="s">
        <v>66</v>
      </c>
      <c r="G34" s="18">
        <f>-R_4A-G_2+C_1-correction_c</f>
        <v>70.50786450007908</v>
      </c>
      <c r="H34" s="18">
        <f>-R_4A-G_2+G_1-correction_c</f>
        <v>-59.643632194295989</v>
      </c>
      <c r="O34" s="25" t="s">
        <v>11</v>
      </c>
      <c r="P34" s="182">
        <v>400</v>
      </c>
      <c r="Q34" s="182" t="str">
        <f t="shared" si="4"/>
        <v>5Z400</v>
      </c>
      <c r="R34" s="323">
        <f>Results!D42</f>
        <v>0</v>
      </c>
      <c r="S34" s="324">
        <f>Results!E42</f>
        <v>-26</v>
      </c>
    </row>
    <row r="35" spans="6:24">
      <c r="F35" s="3" t="s">
        <v>67</v>
      </c>
      <c r="G35" s="18">
        <f>-R_4A-G_2+C_1-correction_c</f>
        <v>70.50786450007908</v>
      </c>
      <c r="H35" s="18">
        <f>-R_4A-G_2+G_1-correction_c</f>
        <v>-59.643632194295989</v>
      </c>
      <c r="O35" s="25" t="s">
        <v>11</v>
      </c>
      <c r="P35" s="182">
        <v>1000</v>
      </c>
      <c r="Q35" s="182" t="str">
        <f t="shared" si="4"/>
        <v>5Z1000</v>
      </c>
      <c r="R35" s="323">
        <f>Results!D43</f>
        <v>0</v>
      </c>
      <c r="S35" s="324">
        <f>Results!E43</f>
        <v>-22</v>
      </c>
    </row>
    <row r="36" spans="6:24">
      <c r="F36" s="3" t="s">
        <v>68</v>
      </c>
      <c r="G36" s="18">
        <f>-R_4A-G_2+C_1-correction_c</f>
        <v>70.50786450007908</v>
      </c>
      <c r="H36" s="18">
        <f>-R_4A-G_2+G_1-correction_c</f>
        <v>-59.643632194295989</v>
      </c>
      <c r="O36" s="25" t="s">
        <v>11</v>
      </c>
      <c r="P36" s="182">
        <v>1600</v>
      </c>
      <c r="Q36" s="182" t="str">
        <f t="shared" si="4"/>
        <v>5Z1600</v>
      </c>
      <c r="R36" s="323">
        <f>Results!D55</f>
        <v>-1</v>
      </c>
      <c r="S36" s="324">
        <f>Results!E55</f>
        <v>-20</v>
      </c>
    </row>
    <row r="37" spans="6:24">
      <c r="F37" s="3" t="s">
        <v>69</v>
      </c>
      <c r="G37" s="18">
        <f>-R_4A-G_2+C_1-correction_c</f>
        <v>70.50786450007908</v>
      </c>
      <c r="H37" s="18">
        <f>-R_4A-G_2+G_1-correction_c</f>
        <v>-59.643632194295989</v>
      </c>
      <c r="O37" s="25" t="s">
        <v>63</v>
      </c>
      <c r="P37" s="182">
        <v>53</v>
      </c>
      <c r="Q37" s="182" t="str">
        <f t="shared" si="4"/>
        <v>6Z53</v>
      </c>
      <c r="R37" s="323">
        <f>Results!D47</f>
        <v>10</v>
      </c>
      <c r="S37" s="324">
        <f>Results!E47</f>
        <v>-7</v>
      </c>
    </row>
    <row r="38" spans="6:24">
      <c r="F38" s="3" t="s">
        <v>70</v>
      </c>
      <c r="G38" s="18">
        <f>-R_4B-G_2+C_1-correction_c</f>
        <v>134.48866000004179</v>
      </c>
      <c r="H38" s="18">
        <f>-R_4B-G_2+G_1-correction_c</f>
        <v>4.337163305666726</v>
      </c>
      <c r="O38" s="25" t="s">
        <v>63</v>
      </c>
      <c r="P38" s="182">
        <v>400</v>
      </c>
      <c r="Q38" s="182" t="str">
        <f t="shared" si="4"/>
        <v>6Z400</v>
      </c>
      <c r="R38" s="323">
        <f>Results!D48</f>
        <v>0</v>
      </c>
      <c r="S38" s="324">
        <f>Results!E48</f>
        <v>-10</v>
      </c>
    </row>
    <row r="39" spans="6:24">
      <c r="F39" s="3" t="s">
        <v>71</v>
      </c>
      <c r="G39" s="18">
        <f>-R_4C-G_2+C_1-correction_c</f>
        <v>57.4406645000293</v>
      </c>
      <c r="H39" s="18">
        <f>-R_4C-G_2+G_1-correction_c</f>
        <v>-72.710832194345784</v>
      </c>
      <c r="O39" s="25" t="s">
        <v>63</v>
      </c>
      <c r="P39" s="182">
        <v>1000</v>
      </c>
      <c r="Q39" s="182" t="str">
        <f t="shared" si="4"/>
        <v>6Z1000</v>
      </c>
      <c r="R39" s="323">
        <f>Results!D49</f>
        <v>-1</v>
      </c>
      <c r="S39" s="324">
        <f>Results!E49</f>
        <v>-10</v>
      </c>
    </row>
    <row r="40" spans="6:24">
      <c r="F40" s="3"/>
      <c r="G40" s="18"/>
      <c r="H40" s="18"/>
      <c r="O40" s="278" t="s">
        <v>71</v>
      </c>
      <c r="P40" s="182">
        <v>53</v>
      </c>
      <c r="Q40" s="182" t="str">
        <f t="shared" si="4"/>
        <v>7Y53</v>
      </c>
      <c r="R40" s="323">
        <f>Results!D57</f>
        <v>30</v>
      </c>
      <c r="S40" s="324">
        <f>Results!E57</f>
        <v>10</v>
      </c>
      <c r="U40" t="s">
        <v>368</v>
      </c>
      <c r="W40" t="s">
        <v>369</v>
      </c>
    </row>
    <row r="41" spans="6:24">
      <c r="G41" s="3" t="s">
        <v>73</v>
      </c>
      <c r="H41" s="3" t="s">
        <v>74</v>
      </c>
      <c r="I41" t="s">
        <v>72</v>
      </c>
      <c r="J41" t="s">
        <v>75</v>
      </c>
      <c r="K41" s="3" t="s">
        <v>74</v>
      </c>
      <c r="L41" t="s">
        <v>72</v>
      </c>
      <c r="M41" t="s">
        <v>419</v>
      </c>
      <c r="N41" t="s">
        <v>418</v>
      </c>
      <c r="O41" s="278" t="s">
        <v>71</v>
      </c>
      <c r="P41" s="182">
        <v>400</v>
      </c>
      <c r="Q41" s="182" t="str">
        <f t="shared" si="4"/>
        <v>7Y400</v>
      </c>
      <c r="R41" s="323">
        <f>Results!D58</f>
        <v>6</v>
      </c>
      <c r="S41" s="324">
        <f>Results!E58</f>
        <v>15</v>
      </c>
      <c r="U41" s="3" t="s">
        <v>74</v>
      </c>
      <c r="V41" s="3" t="s">
        <v>74</v>
      </c>
      <c r="W41" t="s">
        <v>74</v>
      </c>
      <c r="X41" t="s">
        <v>74</v>
      </c>
    </row>
    <row r="42" spans="6:24" ht="16.5" thickBot="1">
      <c r="F42" s="3" t="s">
        <v>60</v>
      </c>
      <c r="G42" s="19">
        <v>1E-4</v>
      </c>
      <c r="H42" t="s">
        <v>370</v>
      </c>
      <c r="I42" s="19">
        <v>9.9999999999999995E-7</v>
      </c>
      <c r="J42" s="19">
        <v>1E-4</v>
      </c>
      <c r="K42" t="s">
        <v>373</v>
      </c>
      <c r="L42" s="19">
        <v>1E-3</v>
      </c>
      <c r="M42" s="19">
        <v>0.2</v>
      </c>
      <c r="N42" s="19">
        <v>2E-3</v>
      </c>
      <c r="O42" s="279" t="s">
        <v>71</v>
      </c>
      <c r="P42" s="183">
        <v>1000</v>
      </c>
      <c r="Q42" s="183" t="str">
        <f t="shared" si="4"/>
        <v>7Y1000</v>
      </c>
      <c r="R42" s="325">
        <f>Results!D59</f>
        <v>6</v>
      </c>
      <c r="S42" s="326">
        <f>Results!E59</f>
        <v>16</v>
      </c>
      <c r="U42" s="20" t="s">
        <v>76</v>
      </c>
      <c r="V42" s="21" t="s">
        <v>77</v>
      </c>
      <c r="W42" t="s">
        <v>370</v>
      </c>
      <c r="X42" t="s">
        <v>373</v>
      </c>
    </row>
    <row r="43" spans="6:24" ht="16.5" thickTop="1">
      <c r="F43" s="3" t="s">
        <v>61</v>
      </c>
      <c r="G43" s="19">
        <v>1E-3</v>
      </c>
      <c r="H43" t="s">
        <v>370</v>
      </c>
      <c r="I43" s="19">
        <v>9.9999999999999995E-7</v>
      </c>
      <c r="J43" s="19">
        <v>9.9999999999999995E-7</v>
      </c>
      <c r="K43" t="s">
        <v>80</v>
      </c>
      <c r="L43" s="19">
        <v>1</v>
      </c>
      <c r="M43" s="19">
        <v>2</v>
      </c>
      <c r="N43" s="19">
        <v>0.02</v>
      </c>
      <c r="U43" s="20" t="s">
        <v>76</v>
      </c>
      <c r="V43" s="20" t="s">
        <v>78</v>
      </c>
      <c r="W43" t="s">
        <v>370</v>
      </c>
      <c r="X43" t="s">
        <v>80</v>
      </c>
    </row>
    <row r="44" spans="6:24" ht="15.75">
      <c r="F44" s="3" t="s">
        <v>62</v>
      </c>
      <c r="G44" s="19">
        <v>1.0000000000000001E-5</v>
      </c>
      <c r="H44" t="s">
        <v>371</v>
      </c>
      <c r="I44" s="19">
        <v>1E-3</v>
      </c>
      <c r="J44" s="19">
        <v>1.0000000000000001E-5</v>
      </c>
      <c r="K44" t="s">
        <v>80</v>
      </c>
      <c r="L44" s="19">
        <v>1</v>
      </c>
      <c r="M44" s="19">
        <v>20</v>
      </c>
      <c r="N44" s="19">
        <v>0.2</v>
      </c>
      <c r="U44" s="21" t="s">
        <v>79</v>
      </c>
      <c r="V44" s="20" t="s">
        <v>78</v>
      </c>
      <c r="W44" t="s">
        <v>371</v>
      </c>
      <c r="X44" t="s">
        <v>80</v>
      </c>
    </row>
    <row r="45" spans="6:24" ht="15.75">
      <c r="F45" s="3" t="s">
        <v>10</v>
      </c>
      <c r="G45" s="19">
        <v>1E-4</v>
      </c>
      <c r="H45" t="s">
        <v>371</v>
      </c>
      <c r="I45" s="19">
        <v>1E-3</v>
      </c>
      <c r="J45" s="19">
        <v>1E-4</v>
      </c>
      <c r="K45" t="s">
        <v>80</v>
      </c>
      <c r="L45" s="19">
        <v>1</v>
      </c>
      <c r="M45" s="19">
        <v>200</v>
      </c>
      <c r="N45" s="290">
        <v>2</v>
      </c>
      <c r="U45" s="21" t="s">
        <v>79</v>
      </c>
      <c r="V45" s="21" t="s">
        <v>80</v>
      </c>
      <c r="W45" t="s">
        <v>371</v>
      </c>
      <c r="X45" t="s">
        <v>80</v>
      </c>
    </row>
    <row r="46" spans="6:24" ht="15.75">
      <c r="F46" s="3" t="s">
        <v>11</v>
      </c>
      <c r="G46" s="19">
        <v>1E-3</v>
      </c>
      <c r="H46" t="s">
        <v>371</v>
      </c>
      <c r="I46" s="19">
        <v>1E-3</v>
      </c>
      <c r="J46" s="19">
        <v>1E-3</v>
      </c>
      <c r="K46" t="s">
        <v>80</v>
      </c>
      <c r="L46" s="19">
        <v>1</v>
      </c>
      <c r="M46" s="19">
        <v>2000</v>
      </c>
      <c r="N46" s="290">
        <v>20</v>
      </c>
      <c r="U46" s="21" t="s">
        <v>79</v>
      </c>
      <c r="V46" s="21" t="s">
        <v>80</v>
      </c>
      <c r="W46" t="s">
        <v>371</v>
      </c>
      <c r="X46" t="s">
        <v>80</v>
      </c>
    </row>
    <row r="47" spans="6:24" ht="15.75">
      <c r="F47" s="3" t="s">
        <v>63</v>
      </c>
      <c r="G47" s="19">
        <v>1.0000000000000001E-5</v>
      </c>
      <c r="H47" t="s">
        <v>81</v>
      </c>
      <c r="I47" s="19">
        <v>1</v>
      </c>
      <c r="J47" s="19">
        <v>1.0000000000000001E-5</v>
      </c>
      <c r="K47" t="s">
        <v>374</v>
      </c>
      <c r="L47" s="19">
        <v>1000</v>
      </c>
      <c r="M47" s="19">
        <v>20000</v>
      </c>
      <c r="N47" s="290">
        <v>200</v>
      </c>
      <c r="U47" s="21" t="s">
        <v>81</v>
      </c>
      <c r="V47" s="21" t="s">
        <v>82</v>
      </c>
      <c r="W47" t="s">
        <v>81</v>
      </c>
      <c r="X47" t="s">
        <v>374</v>
      </c>
    </row>
    <row r="48" spans="6:24" ht="15.75">
      <c r="F48" s="3" t="s">
        <v>64</v>
      </c>
      <c r="G48" s="19">
        <v>1E-4</v>
      </c>
      <c r="H48" t="s">
        <v>81</v>
      </c>
      <c r="I48" s="19">
        <v>1</v>
      </c>
      <c r="J48" s="19">
        <v>1E-4</v>
      </c>
      <c r="K48" t="s">
        <v>374</v>
      </c>
      <c r="L48" s="19">
        <v>1000</v>
      </c>
      <c r="M48" s="19">
        <v>200000</v>
      </c>
      <c r="N48" s="290">
        <v>2000</v>
      </c>
      <c r="U48" s="21" t="s">
        <v>81</v>
      </c>
      <c r="V48" s="21" t="s">
        <v>82</v>
      </c>
      <c r="W48" t="s">
        <v>81</v>
      </c>
      <c r="X48" t="s">
        <v>374</v>
      </c>
    </row>
    <row r="49" spans="6:24" ht="15.75">
      <c r="F49" s="3" t="s">
        <v>65</v>
      </c>
      <c r="G49" s="19">
        <v>1E-4</v>
      </c>
      <c r="H49" t="s">
        <v>372</v>
      </c>
      <c r="I49" s="19">
        <v>9.9999999999999995E-7</v>
      </c>
      <c r="J49" s="19">
        <v>1E-4</v>
      </c>
      <c r="K49" t="s">
        <v>375</v>
      </c>
      <c r="L49" s="19">
        <v>1E-3</v>
      </c>
      <c r="U49" s="20" t="s">
        <v>83</v>
      </c>
      <c r="V49" s="21" t="s">
        <v>84</v>
      </c>
      <c r="W49" t="s">
        <v>372</v>
      </c>
      <c r="X49" t="s">
        <v>375</v>
      </c>
    </row>
    <row r="50" spans="6:24" ht="15.75">
      <c r="F50" s="3" t="s">
        <v>66</v>
      </c>
      <c r="G50" s="19">
        <v>1.0000000000000001E-5</v>
      </c>
      <c r="H50" t="s">
        <v>372</v>
      </c>
      <c r="I50" s="19">
        <v>9.9999999999999995E-7</v>
      </c>
      <c r="J50" s="19">
        <v>1.0000000000000001E-5</v>
      </c>
      <c r="K50" t="s">
        <v>375</v>
      </c>
      <c r="L50" s="19">
        <v>1E-3</v>
      </c>
      <c r="U50" s="20" t="s">
        <v>83</v>
      </c>
      <c r="V50" s="21" t="s">
        <v>84</v>
      </c>
      <c r="W50" t="s">
        <v>372</v>
      </c>
      <c r="X50" t="s">
        <v>375</v>
      </c>
    </row>
    <row r="51" spans="6:24" ht="15.75">
      <c r="F51" s="3" t="s">
        <v>67</v>
      </c>
      <c r="G51" s="19">
        <v>9.9999999999999995E-7</v>
      </c>
      <c r="H51" t="s">
        <v>372</v>
      </c>
      <c r="I51" s="19">
        <v>9.9999999999999995E-7</v>
      </c>
      <c r="J51" s="19">
        <v>9.9999999999999995E-7</v>
      </c>
      <c r="K51" t="s">
        <v>375</v>
      </c>
      <c r="L51" s="19">
        <v>1E-3</v>
      </c>
      <c r="U51" s="20" t="s">
        <v>83</v>
      </c>
      <c r="V51" s="21" t="s">
        <v>84</v>
      </c>
      <c r="W51" t="s">
        <v>372</v>
      </c>
      <c r="X51" t="s">
        <v>375</v>
      </c>
    </row>
    <row r="52" spans="6:24" ht="15.75">
      <c r="F52" s="3" t="s">
        <v>68</v>
      </c>
      <c r="G52" s="19">
        <v>1E-4</v>
      </c>
      <c r="H52" t="s">
        <v>85</v>
      </c>
      <c r="I52" s="19">
        <v>1.0000000000000001E-9</v>
      </c>
      <c r="J52" s="19">
        <v>1E-4</v>
      </c>
      <c r="K52" t="s">
        <v>376</v>
      </c>
      <c r="L52" s="19">
        <v>9.9999999999999995E-7</v>
      </c>
      <c r="U52" s="21" t="s">
        <v>85</v>
      </c>
      <c r="V52" s="20" t="s">
        <v>86</v>
      </c>
      <c r="W52" t="s">
        <v>85</v>
      </c>
      <c r="X52" t="s">
        <v>376</v>
      </c>
    </row>
    <row r="53" spans="6:24" ht="15.75">
      <c r="F53" s="3" t="s">
        <v>69</v>
      </c>
      <c r="G53" s="19">
        <v>1.0000000000000001E-5</v>
      </c>
      <c r="H53" t="s">
        <v>85</v>
      </c>
      <c r="I53" s="19">
        <v>1.0000000000000001E-9</v>
      </c>
      <c r="J53" s="19">
        <v>1.0000000000000001E-5</v>
      </c>
      <c r="K53" t="s">
        <v>376</v>
      </c>
      <c r="L53" s="19">
        <v>9.9999999999999995E-7</v>
      </c>
      <c r="U53" s="21" t="s">
        <v>85</v>
      </c>
      <c r="V53" s="20" t="s">
        <v>86</v>
      </c>
      <c r="W53" t="s">
        <v>85</v>
      </c>
      <c r="X53" t="s">
        <v>376</v>
      </c>
    </row>
    <row r="54" spans="6:24" ht="15.75">
      <c r="F54" s="3" t="s">
        <v>70</v>
      </c>
      <c r="G54" s="19">
        <v>1E-3</v>
      </c>
      <c r="H54" t="s">
        <v>87</v>
      </c>
      <c r="I54" s="19">
        <v>9.9999999999999998E-13</v>
      </c>
      <c r="J54" s="19">
        <v>1E-3</v>
      </c>
      <c r="K54" t="s">
        <v>88</v>
      </c>
      <c r="L54" s="19">
        <v>1.0000000000000001E-9</v>
      </c>
      <c r="U54" s="21" t="s">
        <v>87</v>
      </c>
      <c r="V54" s="21" t="s">
        <v>88</v>
      </c>
      <c r="W54" t="s">
        <v>87</v>
      </c>
      <c r="X54" t="s">
        <v>88</v>
      </c>
    </row>
    <row r="55" spans="6:24" ht="15.75">
      <c r="F55" s="3" t="s">
        <v>71</v>
      </c>
      <c r="G55" s="19">
        <v>1E-4</v>
      </c>
      <c r="H55" t="s">
        <v>87</v>
      </c>
      <c r="I55" s="19">
        <v>9.9999999999999998E-13</v>
      </c>
      <c r="J55" s="19">
        <v>1E-4</v>
      </c>
      <c r="K55" t="s">
        <v>88</v>
      </c>
      <c r="L55" s="19">
        <v>1.0000000000000001E-9</v>
      </c>
      <c r="U55" s="21" t="s">
        <v>87</v>
      </c>
      <c r="V55" s="21" t="s">
        <v>88</v>
      </c>
      <c r="W55" t="s">
        <v>87</v>
      </c>
      <c r="X55" t="s">
        <v>88</v>
      </c>
    </row>
    <row r="56" spans="6:24" ht="15.75">
      <c r="G56" s="19"/>
      <c r="H56" s="21"/>
      <c r="I56" s="19"/>
      <c r="J56" s="19"/>
      <c r="K56" s="20"/>
      <c r="L56" s="19"/>
    </row>
  </sheetData>
  <phoneticPr fontId="17" type="noConversion"/>
  <pageMargins left="0.75" right="0.75" top="1" bottom="1" header="0.5" footer="0.5"/>
  <pageSetup paperSize="8" scale="50" orientation="landscape" r:id="rId1"/>
  <headerFooter alignWithMargins="0">
    <oddHeader>&amp;A</oddHeader>
    <oddFooter>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80"/>
  <sheetViews>
    <sheetView topLeftCell="E40" zoomScaleNormal="100" workbookViewId="0">
      <selection activeCell="V5" sqref="V5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7" t="s">
        <v>89</v>
      </c>
      <c r="F1" s="28" t="s">
        <v>90</v>
      </c>
      <c r="S1" t="s">
        <v>360</v>
      </c>
      <c r="AB1" s="10" t="s">
        <v>152</v>
      </c>
      <c r="AQ1" s="10" t="s">
        <v>271</v>
      </c>
      <c r="AR1" s="10"/>
      <c r="AU1" s="10" t="s">
        <v>421</v>
      </c>
      <c r="AV1" s="10"/>
    </row>
    <row r="2" spans="1:50">
      <c r="A2" s="29" t="s">
        <v>91</v>
      </c>
      <c r="F2" s="29" t="s">
        <v>92</v>
      </c>
      <c r="AB2" t="s">
        <v>153</v>
      </c>
      <c r="AP2" s="149"/>
      <c r="AQ2" s="29" t="s">
        <v>415</v>
      </c>
      <c r="AS2" s="29" t="s">
        <v>416</v>
      </c>
    </row>
    <row r="3" spans="1:50">
      <c r="A3" s="30" t="s">
        <v>314</v>
      </c>
      <c r="C3" s="31"/>
      <c r="F3" s="29" t="s">
        <v>4</v>
      </c>
      <c r="G3">
        <v>1.96</v>
      </c>
      <c r="L3" t="s">
        <v>93</v>
      </c>
      <c r="S3" s="3" t="s">
        <v>3</v>
      </c>
      <c r="T3" t="s">
        <v>361</v>
      </c>
      <c r="U3" t="s">
        <v>362</v>
      </c>
      <c r="V3" t="s">
        <v>364</v>
      </c>
      <c r="W3" t="s">
        <v>365</v>
      </c>
      <c r="X3" t="s">
        <v>409</v>
      </c>
      <c r="Y3" t="s">
        <v>410</v>
      </c>
      <c r="AB3" s="3" t="s">
        <v>3</v>
      </c>
      <c r="AC3" s="3" t="s">
        <v>377</v>
      </c>
      <c r="AD3" s="3" t="s">
        <v>94</v>
      </c>
      <c r="AE3" s="3" t="s">
        <v>95</v>
      </c>
      <c r="AF3" s="3" t="s">
        <v>94</v>
      </c>
      <c r="AG3" s="3" t="s">
        <v>310</v>
      </c>
      <c r="AH3" s="3" t="s">
        <v>0</v>
      </c>
      <c r="AI3" s="3" t="s">
        <v>411</v>
      </c>
      <c r="AJ3" s="3" t="s">
        <v>413</v>
      </c>
      <c r="AK3" s="3" t="s">
        <v>414</v>
      </c>
      <c r="AL3" s="3" t="s">
        <v>412</v>
      </c>
      <c r="AM3" s="3" t="s">
        <v>413</v>
      </c>
      <c r="AN3" s="3" t="s">
        <v>341</v>
      </c>
      <c r="AO3" s="3" t="s">
        <v>417</v>
      </c>
      <c r="AP3" s="298" t="s">
        <v>271</v>
      </c>
      <c r="AQ3" s="29"/>
      <c r="AR3" s="3" t="s">
        <v>272</v>
      </c>
      <c r="AS3" s="29"/>
      <c r="AT3" s="3" t="s">
        <v>272</v>
      </c>
      <c r="AU3" t="s">
        <v>403</v>
      </c>
      <c r="AW3" t="s">
        <v>404</v>
      </c>
    </row>
    <row r="4" spans="1:50">
      <c r="F4" s="29" t="s">
        <v>5</v>
      </c>
      <c r="G4">
        <v>2.3719999999999999</v>
      </c>
      <c r="L4" t="s">
        <v>96</v>
      </c>
      <c r="S4" s="115"/>
      <c r="AB4" s="115"/>
      <c r="AC4" s="306">
        <f>F80</f>
        <v>9.3197263503174213E-3</v>
      </c>
      <c r="AD4" s="307">
        <f>F78</f>
        <v>2.4474848513217937</v>
      </c>
      <c r="AE4" s="306">
        <f>F66</f>
        <v>9.3189772102283255E-2</v>
      </c>
      <c r="AF4" s="307">
        <f>F64</f>
        <v>2.4549187194625501</v>
      </c>
      <c r="AG4" s="117"/>
      <c r="AP4" s="276" t="s">
        <v>461</v>
      </c>
    </row>
    <row r="5" spans="1:50">
      <c r="A5" s="29" t="s">
        <v>97</v>
      </c>
      <c r="B5" s="34"/>
      <c r="F5" s="29" t="s">
        <v>20</v>
      </c>
      <c r="G5">
        <v>1.2737000000000001</v>
      </c>
      <c r="S5" s="115" t="s">
        <v>293</v>
      </c>
      <c r="T5">
        <v>0</v>
      </c>
      <c r="U5">
        <v>0</v>
      </c>
      <c r="V5">
        <v>0</v>
      </c>
      <c r="W5">
        <v>0</v>
      </c>
      <c r="X5">
        <v>5</v>
      </c>
      <c r="Y5">
        <v>40</v>
      </c>
      <c r="AB5" s="115" t="s">
        <v>293</v>
      </c>
      <c r="AC5" s="116">
        <f t="dataTable" ref="AC5:AF59" dt2D="0" dtr="0" r1="B9"/>
        <v>9.3197265801968562E-3</v>
      </c>
      <c r="AD5" s="117">
        <v>2.4474817422834705</v>
      </c>
      <c r="AE5" s="116">
        <v>9.3189775214891274E-2</v>
      </c>
      <c r="AF5" s="117">
        <v>2.454897394771173</v>
      </c>
      <c r="AG5" s="117"/>
      <c r="AH5" s="302" t="str">
        <f t="shared" ref="AH5:AH36" si="0">VLOOKUP(AB5, Results,2,FALSE)</f>
        <v>1Z</v>
      </c>
      <c r="AI5" s="302">
        <f>VLOOKUP(AB5,Results,5,FALSE)</f>
        <v>1.0002007000188887E-3</v>
      </c>
      <c r="AJ5" s="303">
        <f t="shared" ref="AJ5:AJ36" si="1">VLOOKUP(AH5,multiplier,4,FALSE)</f>
        <v>9.9999999999999995E-7</v>
      </c>
      <c r="AK5" s="303">
        <f t="shared" ref="AK5:AK36" si="2">VLOOKUP(AH5,multiplier,8,FALSE)</f>
        <v>0.2</v>
      </c>
      <c r="AL5" s="302">
        <f>VLOOKUP(AB5,Results,7,FALSE)</f>
        <v>3.8312702713885258</v>
      </c>
      <c r="AM5" s="303">
        <f t="shared" ref="AM5:AM36" si="3">VLOOKUP(AH5,multiplier,7,FALSE)</f>
        <v>1E-3</v>
      </c>
      <c r="AN5" s="303">
        <f t="shared" ref="AN5:AN36" si="4">VLOOKUP(AH5,multiplier,9,FALSE)</f>
        <v>2E-3</v>
      </c>
      <c r="AO5" s="302">
        <f t="shared" ref="AO5:AO36" si="5">VLOOKUP(AB5,Results,9,FALSE)</f>
        <v>53</v>
      </c>
      <c r="AP5" s="302">
        <f>IF(AT5&gt;1.1,AT5,1)</f>
        <v>1</v>
      </c>
      <c r="AQ5" s="303">
        <f>SQRT((0.000014*AI5*AJ5*1000000)^2+(0.001*AL5*AM5)^2+(AK5/AO5)^2)*0.000001</f>
        <v>3.7735868506045824E-9</v>
      </c>
      <c r="AR5" s="304">
        <f>AQ5/(AC5*AJ5)</f>
        <v>0.40490317158262329</v>
      </c>
      <c r="AS5" s="303">
        <f>SQRT((0.000014*AL5*AM5)^2+(0.0000001*AI5*AJ5*1000000)^2+(AN5/AO5)^2)</f>
        <v>3.77358871771241E-5</v>
      </c>
      <c r="AT5" s="304">
        <f>AS5/(AE5*AM5)</f>
        <v>0.40493591802434226</v>
      </c>
      <c r="AU5" s="305">
        <f>(0.2/AO5+14*AI5*AJ5)*0.000001</f>
        <v>3.7735989084701772E-9</v>
      </c>
      <c r="AV5" s="304">
        <f>AU5/(AC5*AJ5)</f>
        <v>0.40490446538298225</v>
      </c>
      <c r="AW5" s="230">
        <f>0.00002*AL5*AM5</f>
        <v>7.6625405427770524E-8</v>
      </c>
      <c r="AX5" s="150">
        <f>AW5/(AE5*AM5)</f>
        <v>8.2225120997529938E-4</v>
      </c>
    </row>
    <row r="6" spans="1:50">
      <c r="A6" s="29" t="s">
        <v>98</v>
      </c>
      <c r="B6" s="34"/>
      <c r="F6" s="29" t="s">
        <v>21</v>
      </c>
      <c r="G6">
        <v>7.0961999999999996</v>
      </c>
      <c r="S6" s="115" t="s">
        <v>294</v>
      </c>
      <c r="T6">
        <v>0</v>
      </c>
      <c r="U6">
        <v>0</v>
      </c>
      <c r="V6">
        <v>0</v>
      </c>
      <c r="W6">
        <v>0</v>
      </c>
      <c r="X6">
        <v>5</v>
      </c>
      <c r="Y6">
        <v>40</v>
      </c>
      <c r="AB6" s="115" t="s">
        <v>294</v>
      </c>
      <c r="AC6" s="116">
        <v>1.5565105426545958E-3</v>
      </c>
      <c r="AD6" s="117">
        <v>2.1794706046797665</v>
      </c>
      <c r="AE6" s="116">
        <v>1.4191711247338151E-2</v>
      </c>
      <c r="AF6" s="117">
        <v>2.18917473215605</v>
      </c>
      <c r="AG6" s="117"/>
      <c r="AH6" s="302" t="str">
        <f t="shared" si="0"/>
        <v>1Z</v>
      </c>
      <c r="AI6" s="302">
        <f t="shared" ref="AI6:AI59" si="6">VLOOKUP(AB6,Results,5,FALSE)</f>
        <v>8.1016256701529985E-3</v>
      </c>
      <c r="AJ6" s="303">
        <f t="shared" si="1"/>
        <v>9.9999999999999995E-7</v>
      </c>
      <c r="AK6" s="303">
        <f t="shared" si="2"/>
        <v>0.2</v>
      </c>
      <c r="AL6" s="302">
        <f t="shared" ref="AL6:AL59" si="7">VLOOKUP(AB6,Results,7,FALSE)</f>
        <v>3.8262699186459148</v>
      </c>
      <c r="AM6" s="303">
        <f t="shared" si="3"/>
        <v>1E-3</v>
      </c>
      <c r="AN6" s="303">
        <f t="shared" si="4"/>
        <v>2E-3</v>
      </c>
      <c r="AO6" s="302">
        <f t="shared" si="5"/>
        <v>400</v>
      </c>
      <c r="AP6" s="302">
        <f t="shared" ref="AP6:AP59" si="8">IF(AT6&gt;1.1,AT6,1)</f>
        <v>1</v>
      </c>
      <c r="AQ6" s="303">
        <f t="shared" ref="AQ6:AQ24" si="9">SQRT((0.000014*AI6*AJ6*1000000)^2+(0.001*AL6*AM6)^2+(AK6/AO6)^2)*0.000001</f>
        <v>5.0001465299150246E-10</v>
      </c>
      <c r="AR6" s="304">
        <f t="shared" ref="AR6:AR24" si="10">AQ6/(AC6*AJ6)</f>
        <v>0.32124077498295517</v>
      </c>
      <c r="AS6" s="303">
        <f t="shared" ref="AS6:AS53" si="11">SQRT((0.000014*AL6*AM6)^2+(0.0000001*AI6*AJ6*1000000)^2+(AN6/AO6)^2)</f>
        <v>5.0002870080921848E-6</v>
      </c>
      <c r="AT6" s="304">
        <f t="shared" ref="AT6:AT59" si="12">AS6/(AE6*AM6)</f>
        <v>0.35233855318399726</v>
      </c>
      <c r="AU6" s="305">
        <f t="shared" ref="AU6:AU53" si="13">(0.2/AO6+14*AI6*AJ6)*0.000001</f>
        <v>5.0011342275938206E-10</v>
      </c>
      <c r="AV6" s="304">
        <f t="shared" ref="AV6:AV53" si="14">AU6/(AC6*AJ6)</f>
        <v>0.32130423087687487</v>
      </c>
      <c r="AW6" s="230">
        <f t="shared" ref="AW6:AW53" si="15">0.00002*AL6*AM6</f>
        <v>7.6525398372918305E-8</v>
      </c>
      <c r="AX6" s="150">
        <f t="shared" ref="AX6:AX53" si="16">AW6/(AE6*AM6)</f>
        <v>5.3922601044515822E-3</v>
      </c>
    </row>
    <row r="7" spans="1:50">
      <c r="A7" s="29" t="s">
        <v>99</v>
      </c>
      <c r="B7" s="34"/>
      <c r="O7" s="3"/>
      <c r="P7" s="3"/>
      <c r="Q7" s="3"/>
      <c r="R7" s="3"/>
      <c r="S7" s="115" t="s">
        <v>295</v>
      </c>
      <c r="T7">
        <v>0</v>
      </c>
      <c r="U7">
        <v>0</v>
      </c>
      <c r="V7">
        <v>0</v>
      </c>
      <c r="W7">
        <v>0</v>
      </c>
      <c r="X7">
        <v>5</v>
      </c>
      <c r="Y7">
        <v>40</v>
      </c>
      <c r="Z7" s="3"/>
      <c r="AA7" s="3"/>
      <c r="AB7" s="115" t="s">
        <v>295</v>
      </c>
      <c r="AC7" s="116">
        <v>1.2601079772146776E-3</v>
      </c>
      <c r="AD7" s="117">
        <v>2.3004865696857788</v>
      </c>
      <c r="AE7" s="116">
        <v>1.0322850112408074E-2</v>
      </c>
      <c r="AF7" s="117">
        <v>2.2512712544956233</v>
      </c>
      <c r="AG7" s="117"/>
      <c r="AH7" t="str">
        <f t="shared" si="0"/>
        <v>1Z</v>
      </c>
      <c r="AI7">
        <f t="shared" si="6"/>
        <v>7.8015654601473316E-3</v>
      </c>
      <c r="AJ7" s="227">
        <f t="shared" si="1"/>
        <v>9.9999999999999995E-7</v>
      </c>
      <c r="AK7" s="227">
        <f t="shared" si="2"/>
        <v>0.2</v>
      </c>
      <c r="AL7">
        <f t="shared" si="7"/>
        <v>3.8472714001648805</v>
      </c>
      <c r="AM7" s="227">
        <f t="shared" si="3"/>
        <v>1E-3</v>
      </c>
      <c r="AN7" s="227">
        <f t="shared" si="4"/>
        <v>2E-3</v>
      </c>
      <c r="AO7">
        <f t="shared" si="5"/>
        <v>1000</v>
      </c>
      <c r="AP7">
        <f t="shared" si="8"/>
        <v>1</v>
      </c>
      <c r="AQ7" s="227">
        <f t="shared" si="9"/>
        <v>2.00037030138556E-10</v>
      </c>
      <c r="AR7" s="150">
        <f t="shared" si="10"/>
        <v>0.15874594380452589</v>
      </c>
      <c r="AS7" s="227">
        <f t="shared" si="11"/>
        <v>2.0007252940123076E-6</v>
      </c>
      <c r="AT7" s="150">
        <f t="shared" si="12"/>
        <v>0.19381520338142216</v>
      </c>
      <c r="AU7" s="230">
        <f t="shared" si="13"/>
        <v>2.0010922191644206E-10</v>
      </c>
      <c r="AV7" s="150">
        <f t="shared" si="14"/>
        <v>0.15880323395679177</v>
      </c>
      <c r="AW7" s="230">
        <f t="shared" si="15"/>
        <v>7.6945428003297614E-8</v>
      </c>
      <c r="AX7" s="150">
        <f t="shared" si="16"/>
        <v>7.4538937566098291E-3</v>
      </c>
    </row>
    <row r="8" spans="1:50">
      <c r="A8" s="29" t="s">
        <v>100</v>
      </c>
      <c r="B8" s="34"/>
      <c r="O8" s="3"/>
      <c r="P8" s="35"/>
      <c r="Q8" s="36"/>
      <c r="R8" s="37"/>
      <c r="S8" s="115" t="s">
        <v>296</v>
      </c>
      <c r="T8">
        <v>0</v>
      </c>
      <c r="U8">
        <v>0</v>
      </c>
      <c r="V8">
        <v>0</v>
      </c>
      <c r="W8">
        <v>0</v>
      </c>
      <c r="X8">
        <v>5</v>
      </c>
      <c r="Y8">
        <v>40</v>
      </c>
      <c r="Z8" s="37"/>
      <c r="AA8" s="36"/>
      <c r="AB8" s="115" t="s">
        <v>296</v>
      </c>
      <c r="AC8" s="116">
        <v>9.3197263503174213E-3</v>
      </c>
      <c r="AD8" s="117">
        <v>2.4474848513217937</v>
      </c>
      <c r="AE8" s="116">
        <v>9.3189772102283255E-2</v>
      </c>
      <c r="AF8" s="117">
        <v>2.4549187194625501</v>
      </c>
      <c r="AG8" s="117"/>
      <c r="AH8" t="str">
        <f t="shared" si="0"/>
        <v>1Z</v>
      </c>
      <c r="AI8">
        <f t="shared" si="6"/>
        <v>-4.0008028000755548E-3</v>
      </c>
      <c r="AJ8" s="227">
        <f t="shared" si="1"/>
        <v>9.9999999999999995E-7</v>
      </c>
      <c r="AK8" s="227">
        <f t="shared" si="2"/>
        <v>0.2</v>
      </c>
      <c r="AL8">
        <f t="shared" si="7"/>
        <v>3.0002116455665824E-3</v>
      </c>
      <c r="AM8" s="227">
        <f t="shared" si="3"/>
        <v>1E-3</v>
      </c>
      <c r="AN8" s="227">
        <f t="shared" si="4"/>
        <v>2E-3</v>
      </c>
      <c r="AO8">
        <f t="shared" si="5"/>
        <v>53</v>
      </c>
      <c r="AP8">
        <f t="shared" si="8"/>
        <v>1</v>
      </c>
      <c r="AQ8" s="227">
        <f t="shared" si="9"/>
        <v>3.7735849060772567E-9</v>
      </c>
      <c r="AR8" s="150">
        <f t="shared" si="10"/>
        <v>0.40490297292352712</v>
      </c>
      <c r="AS8" s="227">
        <f t="shared" si="11"/>
        <v>3.7735849058748002E-5</v>
      </c>
      <c r="AT8" s="150">
        <f t="shared" si="12"/>
        <v>0.40493552250916415</v>
      </c>
      <c r="AU8" s="230">
        <f t="shared" si="13"/>
        <v>3.7735288944211763E-9</v>
      </c>
      <c r="AV8" s="150">
        <f t="shared" si="14"/>
        <v>0.40489696291272048</v>
      </c>
      <c r="AW8" s="230">
        <f t="shared" si="15"/>
        <v>6.0004232911331648E-11</v>
      </c>
      <c r="AX8" s="150">
        <f t="shared" si="16"/>
        <v>6.438929032412718E-7</v>
      </c>
    </row>
    <row r="9" spans="1:50">
      <c r="A9" s="38" t="s">
        <v>315</v>
      </c>
      <c r="B9" s="39" t="s">
        <v>296</v>
      </c>
      <c r="O9" s="3"/>
      <c r="P9" s="32"/>
      <c r="Q9" s="33"/>
      <c r="R9" s="32"/>
      <c r="S9" s="115" t="s">
        <v>297</v>
      </c>
      <c r="T9">
        <v>0</v>
      </c>
      <c r="U9">
        <v>0</v>
      </c>
      <c r="V9">
        <v>0</v>
      </c>
      <c r="W9">
        <v>0</v>
      </c>
      <c r="X9">
        <v>5</v>
      </c>
      <c r="Y9">
        <v>40</v>
      </c>
      <c r="Z9" s="32"/>
      <c r="AA9" s="33"/>
      <c r="AB9" s="115" t="s">
        <v>297</v>
      </c>
      <c r="AC9" s="116">
        <v>1.5564783469280469E-3</v>
      </c>
      <c r="AD9" s="117">
        <v>2.1795056297225797</v>
      </c>
      <c r="AE9" s="116">
        <v>1.4189409186091852E-2</v>
      </c>
      <c r="AF9" s="117">
        <v>2.1894733706755267</v>
      </c>
      <c r="AG9" s="117"/>
      <c r="AH9" t="str">
        <f t="shared" si="0"/>
        <v>1Z</v>
      </c>
      <c r="AI9">
        <f t="shared" si="6"/>
        <v>1.0002007000188887E-4</v>
      </c>
      <c r="AJ9" s="227">
        <f t="shared" si="1"/>
        <v>9.9999999999999995E-7</v>
      </c>
      <c r="AK9" s="227">
        <f t="shared" si="2"/>
        <v>0.2</v>
      </c>
      <c r="AL9">
        <f t="shared" si="7"/>
        <v>1.0000705485221941E-3</v>
      </c>
      <c r="AM9" s="227">
        <f t="shared" si="3"/>
        <v>1E-3</v>
      </c>
      <c r="AN9" s="227">
        <f t="shared" si="4"/>
        <v>2E-3</v>
      </c>
      <c r="AO9">
        <f t="shared" si="5"/>
        <v>400</v>
      </c>
      <c r="AP9">
        <f t="shared" si="8"/>
        <v>1</v>
      </c>
      <c r="AQ9" s="227">
        <f t="shared" si="9"/>
        <v>5.0000000000296082E-10</v>
      </c>
      <c r="AR9" s="150">
        <f t="shared" si="10"/>
        <v>0.32123800564896321</v>
      </c>
      <c r="AS9" s="227">
        <f t="shared" si="11"/>
        <v>5.0000000000296076E-6</v>
      </c>
      <c r="AT9" s="150">
        <f t="shared" si="12"/>
        <v>0.35237548896190107</v>
      </c>
      <c r="AU9" s="230">
        <f t="shared" si="13"/>
        <v>5.0000140028097998E-10</v>
      </c>
      <c r="AV9" s="150">
        <f t="shared" si="14"/>
        <v>0.32123890529399968</v>
      </c>
      <c r="AW9" s="230">
        <f t="shared" si="15"/>
        <v>2.0001410970443886E-11</v>
      </c>
      <c r="AX9" s="150">
        <f t="shared" si="16"/>
        <v>1.4096013941192724E-6</v>
      </c>
    </row>
    <row r="10" spans="1:50" ht="15.75">
      <c r="A10" s="40" t="s">
        <v>358</v>
      </c>
      <c r="B10" s="41"/>
      <c r="C10" s="42"/>
      <c r="D10" s="43"/>
      <c r="F10" s="29" t="s">
        <v>101</v>
      </c>
      <c r="O10" s="3"/>
      <c r="P10" s="32"/>
      <c r="Q10" s="33"/>
      <c r="R10" s="32"/>
      <c r="S10" s="115" t="s">
        <v>298</v>
      </c>
      <c r="T10">
        <v>0</v>
      </c>
      <c r="U10">
        <v>0</v>
      </c>
      <c r="V10">
        <v>0</v>
      </c>
      <c r="W10">
        <v>0</v>
      </c>
      <c r="X10">
        <v>5</v>
      </c>
      <c r="Y10">
        <v>40</v>
      </c>
      <c r="Z10" s="32"/>
      <c r="AA10" s="33"/>
      <c r="AB10" s="115" t="s">
        <v>298</v>
      </c>
      <c r="AC10" s="116">
        <v>1.2600825715636083E-3</v>
      </c>
      <c r="AD10" s="117">
        <v>2.3005854928302956</v>
      </c>
      <c r="AE10" s="116">
        <v>1.0320244368272016E-2</v>
      </c>
      <c r="AF10" s="117">
        <v>2.2520619473780199</v>
      </c>
      <c r="AG10" s="117"/>
      <c r="AH10" t="str">
        <f t="shared" si="0"/>
        <v>1Z</v>
      </c>
      <c r="AI10">
        <f t="shared" si="6"/>
        <v>-2.0004014000377774E-4</v>
      </c>
      <c r="AJ10" s="227">
        <f t="shared" si="1"/>
        <v>9.9999999999999995E-7</v>
      </c>
      <c r="AK10" s="227">
        <f t="shared" si="2"/>
        <v>0.2</v>
      </c>
      <c r="AL10">
        <f t="shared" si="7"/>
        <v>-5.0003527426109706E-3</v>
      </c>
      <c r="AM10" s="227">
        <f t="shared" si="3"/>
        <v>1E-3</v>
      </c>
      <c r="AN10" s="227">
        <f t="shared" si="4"/>
        <v>2E-3</v>
      </c>
      <c r="AO10">
        <f t="shared" si="5"/>
        <v>1000</v>
      </c>
      <c r="AP10">
        <f t="shared" si="8"/>
        <v>1</v>
      </c>
      <c r="AQ10" s="227">
        <f t="shared" si="9"/>
        <v>2.0000000008211668E-10</v>
      </c>
      <c r="AR10" s="150">
        <f t="shared" si="10"/>
        <v>0.15871975741553282</v>
      </c>
      <c r="AS10" s="227">
        <f t="shared" si="11"/>
        <v>2.000000001325213E-6</v>
      </c>
      <c r="AT10" s="150">
        <f t="shared" si="12"/>
        <v>0.19379386087735495</v>
      </c>
      <c r="AU10" s="230">
        <f t="shared" si="13"/>
        <v>1.9999719943803996E-10</v>
      </c>
      <c r="AV10" s="150">
        <f t="shared" si="14"/>
        <v>0.15871753482779141</v>
      </c>
      <c r="AW10" s="230">
        <f t="shared" si="15"/>
        <v>-1.0000705485221943E-10</v>
      </c>
      <c r="AX10" s="150">
        <f t="shared" si="16"/>
        <v>-9.6903766309716024E-6</v>
      </c>
    </row>
    <row r="11" spans="1:50">
      <c r="A11" s="44"/>
      <c r="B11" s="45" t="s">
        <v>102</v>
      </c>
      <c r="C11" s="46" t="s">
        <v>103</v>
      </c>
      <c r="D11" s="199">
        <f>VLOOKUP(label,Results,3,FALSE)</f>
        <v>40</v>
      </c>
      <c r="E11" s="47" t="s">
        <v>104</v>
      </c>
      <c r="F11" s="44"/>
      <c r="O11" s="3"/>
      <c r="P11" s="32"/>
      <c r="Q11" s="33"/>
      <c r="R11" s="32"/>
      <c r="S11" s="115" t="s">
        <v>299</v>
      </c>
      <c r="T11">
        <v>0</v>
      </c>
      <c r="U11">
        <v>0</v>
      </c>
      <c r="V11">
        <v>0</v>
      </c>
      <c r="W11">
        <v>0</v>
      </c>
      <c r="X11">
        <v>5</v>
      </c>
      <c r="Y11">
        <v>40</v>
      </c>
      <c r="Z11" s="32"/>
      <c r="AA11" s="33"/>
      <c r="AB11" s="115" t="s">
        <v>299</v>
      </c>
      <c r="AC11" s="116">
        <v>9.319726350413015E-3</v>
      </c>
      <c r="AD11" s="117">
        <v>2.4474848500286539</v>
      </c>
      <c r="AE11" s="116">
        <v>9.3189772102435051E-2</v>
      </c>
      <c r="AF11" s="117">
        <v>2.4549187184154593</v>
      </c>
      <c r="AG11" s="117"/>
      <c r="AH11" t="str">
        <f t="shared" si="0"/>
        <v>1Z</v>
      </c>
      <c r="AI11">
        <f t="shared" si="6"/>
        <v>0</v>
      </c>
      <c r="AJ11" s="227">
        <f t="shared" si="1"/>
        <v>9.9999999999999995E-7</v>
      </c>
      <c r="AK11" s="227">
        <f t="shared" si="2"/>
        <v>0.2</v>
      </c>
      <c r="AL11">
        <f t="shared" si="7"/>
        <v>0</v>
      </c>
      <c r="AM11" s="227">
        <f t="shared" si="3"/>
        <v>1E-3</v>
      </c>
      <c r="AN11" s="227">
        <f t="shared" si="4"/>
        <v>2E-3</v>
      </c>
      <c r="AO11">
        <f t="shared" si="5"/>
        <v>53</v>
      </c>
      <c r="AP11">
        <f t="shared" si="8"/>
        <v>1</v>
      </c>
      <c r="AQ11" s="227">
        <f t="shared" si="9"/>
        <v>3.7735849056603775E-9</v>
      </c>
      <c r="AR11" s="150">
        <f t="shared" si="10"/>
        <v>0.40490297287464311</v>
      </c>
      <c r="AS11" s="227">
        <f t="shared" si="11"/>
        <v>3.7735849056603776E-5</v>
      </c>
      <c r="AT11" s="150">
        <f t="shared" si="12"/>
        <v>0.40493552248549536</v>
      </c>
      <c r="AU11" s="230">
        <f t="shared" si="13"/>
        <v>3.7735849056603775E-9</v>
      </c>
      <c r="AV11" s="150">
        <f t="shared" si="14"/>
        <v>0.40490297287464311</v>
      </c>
      <c r="AW11" s="230">
        <f t="shared" si="15"/>
        <v>0</v>
      </c>
      <c r="AX11" s="150">
        <f t="shared" si="16"/>
        <v>0</v>
      </c>
    </row>
    <row r="12" spans="1:50">
      <c r="A12" s="48" t="s">
        <v>105</v>
      </c>
      <c r="B12" s="45" t="s">
        <v>106</v>
      </c>
      <c r="E12" s="49" t="s">
        <v>107</v>
      </c>
      <c r="S12" s="115" t="s">
        <v>300</v>
      </c>
      <c r="T12">
        <v>0</v>
      </c>
      <c r="U12">
        <v>0</v>
      </c>
      <c r="V12">
        <v>0</v>
      </c>
      <c r="W12">
        <v>0</v>
      </c>
      <c r="X12">
        <v>5</v>
      </c>
      <c r="Y12">
        <v>40</v>
      </c>
      <c r="AB12" s="115" t="s">
        <v>300</v>
      </c>
      <c r="AC12" s="116">
        <v>1.55647834698406E-3</v>
      </c>
      <c r="AD12" s="117">
        <v>2.1795056296616311</v>
      </c>
      <c r="AE12" s="116">
        <v>1.4189409186396206E-2</v>
      </c>
      <c r="AF12" s="117">
        <v>2.1894733706359739</v>
      </c>
      <c r="AG12" s="117"/>
      <c r="AH12" t="str">
        <f t="shared" si="0"/>
        <v>1Z</v>
      </c>
      <c r="AI12">
        <f t="shared" si="6"/>
        <v>0</v>
      </c>
      <c r="AJ12" s="227">
        <f t="shared" si="1"/>
        <v>9.9999999999999995E-7</v>
      </c>
      <c r="AK12" s="227">
        <f t="shared" si="2"/>
        <v>0.2</v>
      </c>
      <c r="AL12">
        <f t="shared" si="7"/>
        <v>0</v>
      </c>
      <c r="AM12" s="227">
        <f t="shared" si="3"/>
        <v>1E-3</v>
      </c>
      <c r="AN12" s="227">
        <f t="shared" si="4"/>
        <v>2E-3</v>
      </c>
      <c r="AO12">
        <f t="shared" si="5"/>
        <v>400</v>
      </c>
      <c r="AP12">
        <f t="shared" si="8"/>
        <v>1</v>
      </c>
      <c r="AQ12" s="227">
        <f t="shared" si="9"/>
        <v>5.0000000000000003E-10</v>
      </c>
      <c r="AR12" s="150">
        <f t="shared" si="10"/>
        <v>0.32123800563550059</v>
      </c>
      <c r="AS12" s="227">
        <f t="shared" si="11"/>
        <v>5.0000000000000004E-6</v>
      </c>
      <c r="AT12" s="150">
        <f t="shared" si="12"/>
        <v>0.35237548895225629</v>
      </c>
      <c r="AU12" s="230">
        <f t="shared" si="13"/>
        <v>5.0000000000000003E-10</v>
      </c>
      <c r="AV12" s="150">
        <f t="shared" si="14"/>
        <v>0.32123800563550059</v>
      </c>
      <c r="AW12" s="230">
        <f t="shared" si="15"/>
        <v>0</v>
      </c>
      <c r="AX12" s="150">
        <f t="shared" si="16"/>
        <v>0</v>
      </c>
    </row>
    <row r="13" spans="1:50" ht="15.75">
      <c r="A13" s="50"/>
      <c r="B13" s="45" t="s">
        <v>108</v>
      </c>
      <c r="C13" s="48" t="s">
        <v>109</v>
      </c>
      <c r="D13" s="48" t="s">
        <v>110</v>
      </c>
      <c r="E13" s="48" t="s">
        <v>111</v>
      </c>
      <c r="F13" s="48" t="s">
        <v>112</v>
      </c>
      <c r="K13" s="142" t="s">
        <v>205</v>
      </c>
      <c r="S13" s="115" t="s">
        <v>301</v>
      </c>
      <c r="T13">
        <v>0</v>
      </c>
      <c r="U13">
        <v>0</v>
      </c>
      <c r="V13">
        <v>0</v>
      </c>
      <c r="W13">
        <v>0</v>
      </c>
      <c r="X13">
        <v>5</v>
      </c>
      <c r="Y13">
        <v>40</v>
      </c>
      <c r="AB13" s="115" t="s">
        <v>301</v>
      </c>
      <c r="AC13" s="116">
        <v>1.2600825713986663E-3</v>
      </c>
      <c r="AD13" s="117">
        <v>2.3005854934729308</v>
      </c>
      <c r="AE13" s="116">
        <v>1.0320244362409116E-2</v>
      </c>
      <c r="AF13" s="117">
        <v>2.2520619491649732</v>
      </c>
      <c r="AG13" s="117"/>
      <c r="AH13" t="str">
        <f t="shared" si="0"/>
        <v>1Z</v>
      </c>
      <c r="AI13">
        <f t="shared" si="6"/>
        <v>0</v>
      </c>
      <c r="AJ13" s="227">
        <f t="shared" si="1"/>
        <v>9.9999999999999995E-7</v>
      </c>
      <c r="AK13" s="227">
        <f t="shared" si="2"/>
        <v>0.2</v>
      </c>
      <c r="AL13">
        <f t="shared" si="7"/>
        <v>0</v>
      </c>
      <c r="AM13" s="227">
        <f t="shared" si="3"/>
        <v>1E-3</v>
      </c>
      <c r="AN13" s="227">
        <f t="shared" si="4"/>
        <v>2E-3</v>
      </c>
      <c r="AO13">
        <f t="shared" si="5"/>
        <v>1000</v>
      </c>
      <c r="AP13">
        <f t="shared" si="8"/>
        <v>1</v>
      </c>
      <c r="AQ13" s="227">
        <f t="shared" si="9"/>
        <v>2.0000000000000001E-10</v>
      </c>
      <c r="AR13" s="150">
        <f t="shared" si="10"/>
        <v>0.15871975737114119</v>
      </c>
      <c r="AS13" s="227">
        <f t="shared" si="11"/>
        <v>1.9999999999999999E-6</v>
      </c>
      <c r="AT13" s="150">
        <f t="shared" si="12"/>
        <v>0.19379386085903957</v>
      </c>
      <c r="AU13" s="230">
        <f t="shared" si="13"/>
        <v>2.0000000000000001E-10</v>
      </c>
      <c r="AV13" s="150">
        <f t="shared" si="14"/>
        <v>0.15871975737114119</v>
      </c>
      <c r="AW13" s="230">
        <f t="shared" si="15"/>
        <v>0</v>
      </c>
      <c r="AX13" s="150">
        <f t="shared" si="16"/>
        <v>0</v>
      </c>
    </row>
    <row r="14" spans="1:50">
      <c r="A14" s="51" t="s">
        <v>113</v>
      </c>
      <c r="B14" s="320">
        <f>2.5*0.000001*D11</f>
        <v>9.9999999999999991E-5</v>
      </c>
      <c r="C14" s="308">
        <f t="shared" ref="C14:C22" si="17">B14^2</f>
        <v>9.9999999999999986E-9</v>
      </c>
      <c r="D14" s="54">
        <v>30</v>
      </c>
      <c r="E14" s="56">
        <f t="shared" ref="E14:E22" si="18">0.5*(1/(0.01*D14)^2)</f>
        <v>5.5555555555555554</v>
      </c>
      <c r="F14" s="308">
        <f t="shared" ref="F14:F22" si="19">B14^4/E14</f>
        <v>1.7999999999999997E-17</v>
      </c>
      <c r="G14" t="s">
        <v>114</v>
      </c>
      <c r="K14" s="143"/>
      <c r="S14" s="115" t="s">
        <v>302</v>
      </c>
      <c r="T14">
        <v>0</v>
      </c>
      <c r="U14">
        <v>50</v>
      </c>
      <c r="V14">
        <v>0</v>
      </c>
      <c r="W14">
        <v>0</v>
      </c>
      <c r="X14">
        <v>2.5</v>
      </c>
      <c r="Y14">
        <v>40</v>
      </c>
      <c r="AB14" s="115" t="s">
        <v>302</v>
      </c>
      <c r="AC14" s="116">
        <v>9.3187785480177976E-3</v>
      </c>
      <c r="AD14" s="117">
        <v>2.4607854110550367</v>
      </c>
      <c r="AE14" s="116">
        <v>9.3212691792046373E-2</v>
      </c>
      <c r="AF14" s="117">
        <v>2.4338129827551058</v>
      </c>
      <c r="AG14" s="117"/>
      <c r="AH14" t="str">
        <f t="shared" si="0"/>
        <v>1Z</v>
      </c>
      <c r="AI14">
        <f t="shared" si="6"/>
        <v>1.0002007000188886E-2</v>
      </c>
      <c r="AJ14" s="227">
        <f t="shared" si="1"/>
        <v>9.9999999999999995E-7</v>
      </c>
      <c r="AK14" s="227">
        <f t="shared" si="2"/>
        <v>0.2</v>
      </c>
      <c r="AL14">
        <f t="shared" si="7"/>
        <v>105.07941267432399</v>
      </c>
      <c r="AM14" s="227">
        <f t="shared" si="3"/>
        <v>1E-3</v>
      </c>
      <c r="AN14" s="227">
        <f t="shared" si="4"/>
        <v>2E-3</v>
      </c>
      <c r="AO14">
        <f t="shared" si="5"/>
        <v>53</v>
      </c>
      <c r="AP14">
        <f t="shared" si="8"/>
        <v>1</v>
      </c>
      <c r="AQ14" s="227">
        <f t="shared" si="9"/>
        <v>3.7750476477527655E-9</v>
      </c>
      <c r="AR14" s="150">
        <f t="shared" si="10"/>
        <v>0.40510112224479872</v>
      </c>
      <c r="AS14" s="227">
        <f t="shared" si="11"/>
        <v>3.776451343371062E-5</v>
      </c>
      <c r="AT14" s="150">
        <f t="shared" si="12"/>
        <v>0.4051434703544628</v>
      </c>
      <c r="AU14" s="230">
        <f t="shared" si="13"/>
        <v>3.7737249337583802E-9</v>
      </c>
      <c r="AV14" s="150">
        <f t="shared" si="14"/>
        <v>0.40495918154006261</v>
      </c>
      <c r="AW14" s="230">
        <f t="shared" si="15"/>
        <v>2.1015882534864798E-6</v>
      </c>
      <c r="AX14" s="150">
        <f t="shared" si="16"/>
        <v>2.2546159896069038E-2</v>
      </c>
    </row>
    <row r="15" spans="1:50">
      <c r="A15" s="51" t="s">
        <v>115</v>
      </c>
      <c r="B15" s="317">
        <v>1</v>
      </c>
      <c r="C15" s="193">
        <f t="shared" si="17"/>
        <v>1</v>
      </c>
      <c r="D15" s="54">
        <v>30</v>
      </c>
      <c r="E15" s="56">
        <f t="shared" si="18"/>
        <v>5.5555555555555554</v>
      </c>
      <c r="F15" s="53">
        <f t="shared" si="19"/>
        <v>0.18</v>
      </c>
      <c r="G15" t="s">
        <v>116</v>
      </c>
      <c r="K15" s="143"/>
      <c r="S15" s="115" t="s">
        <v>343</v>
      </c>
      <c r="T15">
        <v>0</v>
      </c>
      <c r="U15">
        <v>50</v>
      </c>
      <c r="V15">
        <v>0</v>
      </c>
      <c r="W15">
        <v>0</v>
      </c>
      <c r="X15">
        <v>2.5</v>
      </c>
      <c r="Y15">
        <v>40</v>
      </c>
      <c r="AB15" s="115" t="s">
        <v>343</v>
      </c>
      <c r="AC15" s="116">
        <v>1.3093751023697049E-3</v>
      </c>
      <c r="AD15" s="117">
        <v>2.2107603494644521</v>
      </c>
      <c r="AE15" s="116">
        <v>1.6957431502343221E-2</v>
      </c>
      <c r="AF15" s="117">
        <v>2.0587229967224885</v>
      </c>
      <c r="AG15" s="117"/>
      <c r="AH15" t="str">
        <f t="shared" si="0"/>
        <v>1Z</v>
      </c>
      <c r="AI15">
        <f t="shared" si="6"/>
        <v>7.3014651101378876E-3</v>
      </c>
      <c r="AJ15" s="227">
        <f t="shared" si="1"/>
        <v>9.9999999999999995E-7</v>
      </c>
      <c r="AK15" s="227">
        <f t="shared" si="2"/>
        <v>0.2</v>
      </c>
      <c r="AL15">
        <f t="shared" si="7"/>
        <v>105.12641599010453</v>
      </c>
      <c r="AM15" s="227">
        <f t="shared" si="3"/>
        <v>1E-3</v>
      </c>
      <c r="AN15" s="227">
        <f t="shared" si="4"/>
        <v>2E-3</v>
      </c>
      <c r="AO15">
        <f t="shared" si="5"/>
        <v>400</v>
      </c>
      <c r="AP15">
        <f t="shared" si="8"/>
        <v>1</v>
      </c>
      <c r="AQ15" s="227">
        <f t="shared" si="9"/>
        <v>5.1093206376969282E-10</v>
      </c>
      <c r="AR15" s="150">
        <f t="shared" si="10"/>
        <v>0.3902106148536113</v>
      </c>
      <c r="AS15" s="227">
        <f t="shared" si="11"/>
        <v>5.2121115632287778E-6</v>
      </c>
      <c r="AT15" s="150">
        <f t="shared" si="12"/>
        <v>0.307364447411069</v>
      </c>
      <c r="AU15" s="230">
        <f t="shared" si="13"/>
        <v>5.0010222051154196E-10</v>
      </c>
      <c r="AV15" s="150">
        <f t="shared" si="14"/>
        <v>0.38193961348925742</v>
      </c>
      <c r="AW15" s="230">
        <f t="shared" si="15"/>
        <v>2.1025283198020908E-6</v>
      </c>
      <c r="AX15" s="150">
        <f t="shared" si="16"/>
        <v>0.12398860756191513</v>
      </c>
    </row>
    <row r="16" spans="1:50">
      <c r="A16" s="51" t="s">
        <v>117</v>
      </c>
      <c r="B16" s="321">
        <f>17*0.000001*D11</f>
        <v>6.8000000000000005E-4</v>
      </c>
      <c r="C16" s="193">
        <f t="shared" si="17"/>
        <v>4.6240000000000006E-7</v>
      </c>
      <c r="D16" s="54">
        <v>30</v>
      </c>
      <c r="E16" s="56">
        <f t="shared" si="18"/>
        <v>5.5555555555555554</v>
      </c>
      <c r="F16" s="53">
        <f t="shared" si="19"/>
        <v>3.8486476800000011E-14</v>
      </c>
      <c r="G16" t="s">
        <v>167</v>
      </c>
      <c r="K16" s="144" t="s">
        <v>209</v>
      </c>
      <c r="S16" s="115" t="s">
        <v>303</v>
      </c>
      <c r="T16">
        <v>0</v>
      </c>
      <c r="U16">
        <v>50</v>
      </c>
      <c r="V16">
        <v>0</v>
      </c>
      <c r="W16">
        <v>0</v>
      </c>
      <c r="X16">
        <v>2.5</v>
      </c>
      <c r="Y16">
        <v>40</v>
      </c>
      <c r="AB16" s="115" t="s">
        <v>303</v>
      </c>
      <c r="AC16" s="116">
        <v>7.8530722497293401E-4</v>
      </c>
      <c r="AD16" s="117">
        <v>2.0929677915213221</v>
      </c>
      <c r="AE16" s="116">
        <v>1.3996884331464707E-2</v>
      </c>
      <c r="AF16" s="117">
        <v>2.0450844848001313</v>
      </c>
      <c r="AG16" s="117"/>
      <c r="AH16" t="str">
        <f t="shared" si="0"/>
        <v>1Z</v>
      </c>
      <c r="AI16">
        <f t="shared" si="6"/>
        <v>8.0016056001511095E-3</v>
      </c>
      <c r="AJ16" s="227">
        <f t="shared" si="1"/>
        <v>9.9999999999999995E-7</v>
      </c>
      <c r="AK16" s="227">
        <f t="shared" si="2"/>
        <v>0.2</v>
      </c>
      <c r="AL16">
        <f t="shared" si="7"/>
        <v>105.11941549626486</v>
      </c>
      <c r="AM16" s="227">
        <f t="shared" si="3"/>
        <v>1E-3</v>
      </c>
      <c r="AN16" s="227">
        <f t="shared" si="4"/>
        <v>2E-3</v>
      </c>
      <c r="AO16">
        <f t="shared" si="5"/>
        <v>1000</v>
      </c>
      <c r="AP16">
        <f t="shared" si="8"/>
        <v>1</v>
      </c>
      <c r="AQ16" s="227">
        <f t="shared" si="9"/>
        <v>2.2594270084096993E-10</v>
      </c>
      <c r="AR16" s="150">
        <f t="shared" si="10"/>
        <v>0.2877124947484816</v>
      </c>
      <c r="AS16" s="227">
        <f t="shared" si="11"/>
        <v>2.483106638276957E-6</v>
      </c>
      <c r="AT16" s="150">
        <f t="shared" si="12"/>
        <v>0.17740424079200143</v>
      </c>
      <c r="AU16" s="230">
        <f t="shared" si="13"/>
        <v>2.0011202247840212E-10</v>
      </c>
      <c r="AV16" s="150">
        <f t="shared" si="14"/>
        <v>0.25482004509165074</v>
      </c>
      <c r="AW16" s="230">
        <f t="shared" si="15"/>
        <v>2.1023883099252973E-6</v>
      </c>
      <c r="AX16" s="150">
        <f t="shared" si="16"/>
        <v>0.15020402113341549</v>
      </c>
    </row>
    <row r="17" spans="1:50">
      <c r="A17" s="57" t="s">
        <v>118</v>
      </c>
      <c r="B17" s="320">
        <f>2*0.000001*D11</f>
        <v>7.9999999999999993E-5</v>
      </c>
      <c r="C17" s="193">
        <f t="shared" si="17"/>
        <v>6.3999999999999986E-9</v>
      </c>
      <c r="D17" s="54">
        <v>50</v>
      </c>
      <c r="E17" s="56">
        <f t="shared" si="18"/>
        <v>2</v>
      </c>
      <c r="F17" s="53">
        <f t="shared" si="19"/>
        <v>2.047999999999999E-17</v>
      </c>
      <c r="G17" t="s">
        <v>119</v>
      </c>
      <c r="K17" s="143"/>
      <c r="S17" s="115" t="s">
        <v>304</v>
      </c>
      <c r="T17">
        <v>-60</v>
      </c>
      <c r="U17">
        <v>30</v>
      </c>
      <c r="V17">
        <v>0</v>
      </c>
      <c r="W17">
        <v>0</v>
      </c>
      <c r="X17">
        <v>1</v>
      </c>
      <c r="Y17">
        <v>40</v>
      </c>
      <c r="AB17" s="115" t="s">
        <v>304</v>
      </c>
      <c r="AC17" s="116">
        <v>9.4590106603537755E-3</v>
      </c>
      <c r="AD17" s="117">
        <v>2.3105975570330854</v>
      </c>
      <c r="AE17" s="116">
        <v>0.13294809627579202</v>
      </c>
      <c r="AF17" s="117">
        <v>2.048464814482696</v>
      </c>
      <c r="AG17" s="117"/>
      <c r="AH17" t="str">
        <f t="shared" si="0"/>
        <v>1Z</v>
      </c>
      <c r="AI17">
        <f t="shared" si="6"/>
        <v>2.0004014000377774E-3</v>
      </c>
      <c r="AJ17" s="227">
        <f t="shared" si="1"/>
        <v>9.9999999999999995E-7</v>
      </c>
      <c r="AK17" s="227">
        <f t="shared" si="2"/>
        <v>0.2</v>
      </c>
      <c r="AL17">
        <f t="shared" si="7"/>
        <v>988.05670102279714</v>
      </c>
      <c r="AM17" s="227">
        <f t="shared" si="3"/>
        <v>1E-3</v>
      </c>
      <c r="AN17" s="227">
        <f t="shared" si="4"/>
        <v>2E-3</v>
      </c>
      <c r="AO17">
        <f t="shared" si="5"/>
        <v>53</v>
      </c>
      <c r="AP17">
        <f t="shared" si="8"/>
        <v>1</v>
      </c>
      <c r="AQ17" s="227">
        <f t="shared" si="9"/>
        <v>3.9007946735823216E-9</v>
      </c>
      <c r="AR17" s="150">
        <f t="shared" si="10"/>
        <v>0.41238928822989918</v>
      </c>
      <c r="AS17" s="227">
        <f t="shared" si="11"/>
        <v>4.0191298669889563E-5</v>
      </c>
      <c r="AT17" s="150">
        <f t="shared" si="12"/>
        <v>0.30230819241304047</v>
      </c>
      <c r="AU17" s="230">
        <f t="shared" si="13"/>
        <v>3.7736129112799777E-9</v>
      </c>
      <c r="AV17" s="150">
        <f t="shared" si="14"/>
        <v>0.39894372115432647</v>
      </c>
      <c r="AW17" s="230">
        <f t="shared" si="15"/>
        <v>1.9761134020455947E-5</v>
      </c>
      <c r="AX17" s="150">
        <f t="shared" si="16"/>
        <v>0.14863796153547609</v>
      </c>
    </row>
    <row r="18" spans="1:50">
      <c r="A18" s="57" t="s">
        <v>120</v>
      </c>
      <c r="B18" s="320">
        <f>2*0.5*0.000001*D11</f>
        <v>3.9999999999999996E-5</v>
      </c>
      <c r="C18" s="193">
        <f t="shared" si="17"/>
        <v>1.5999999999999996E-9</v>
      </c>
      <c r="D18" s="54">
        <v>30</v>
      </c>
      <c r="E18" s="56">
        <f t="shared" si="18"/>
        <v>5.5555555555555554</v>
      </c>
      <c r="F18" s="53">
        <f t="shared" si="19"/>
        <v>4.6079999999999979E-19</v>
      </c>
      <c r="G18" t="s">
        <v>121</v>
      </c>
      <c r="K18" s="143"/>
      <c r="S18" s="115" t="s">
        <v>305</v>
      </c>
      <c r="T18">
        <v>-60</v>
      </c>
      <c r="U18">
        <v>30</v>
      </c>
      <c r="V18">
        <v>0</v>
      </c>
      <c r="W18">
        <v>0</v>
      </c>
      <c r="X18">
        <v>1</v>
      </c>
      <c r="Y18">
        <v>40</v>
      </c>
      <c r="AB18" s="115" t="s">
        <v>305</v>
      </c>
      <c r="AC18" s="116">
        <v>3.5263713914005851E-3</v>
      </c>
      <c r="AD18" s="117">
        <v>2.1192125048247124</v>
      </c>
      <c r="AE18" s="116">
        <v>0.1085377142921552</v>
      </c>
      <c r="AF18" s="117">
        <v>2.0463376808009466</v>
      </c>
      <c r="AG18" s="117"/>
      <c r="AH18" t="str">
        <f t="shared" si="0"/>
        <v>1Z</v>
      </c>
      <c r="AI18">
        <f t="shared" si="6"/>
        <v>5.4010837801019987E-3</v>
      </c>
      <c r="AJ18" s="227">
        <f t="shared" si="1"/>
        <v>9.9999999999999995E-7</v>
      </c>
      <c r="AK18" s="227">
        <f t="shared" si="2"/>
        <v>0.2</v>
      </c>
      <c r="AL18">
        <f t="shared" si="7"/>
        <v>988.06370151663668</v>
      </c>
      <c r="AM18" s="227">
        <f t="shared" si="3"/>
        <v>1E-3</v>
      </c>
      <c r="AN18" s="227">
        <f t="shared" si="4"/>
        <v>2E-3</v>
      </c>
      <c r="AO18">
        <f t="shared" si="5"/>
        <v>400</v>
      </c>
      <c r="AP18">
        <f t="shared" si="8"/>
        <v>1</v>
      </c>
      <c r="AQ18" s="227">
        <f t="shared" si="9"/>
        <v>1.1073707075647302E-9</v>
      </c>
      <c r="AR18" s="150">
        <f t="shared" si="10"/>
        <v>0.31402554769618601</v>
      </c>
      <c r="AS18" s="227">
        <f t="shared" si="11"/>
        <v>1.4708803364980085E-5</v>
      </c>
      <c r="AT18" s="150">
        <f t="shared" si="12"/>
        <v>0.13551790233381758</v>
      </c>
      <c r="AU18" s="230">
        <f t="shared" si="13"/>
        <v>5.0007561517292139E-10</v>
      </c>
      <c r="AV18" s="150">
        <f t="shared" si="14"/>
        <v>0.1418102518618449</v>
      </c>
      <c r="AW18" s="230">
        <f t="shared" si="15"/>
        <v>1.9761274030332737E-5</v>
      </c>
      <c r="AX18" s="150">
        <f t="shared" si="16"/>
        <v>0.18206827146866705</v>
      </c>
    </row>
    <row r="19" spans="1:50">
      <c r="A19" s="57" t="s">
        <v>122</v>
      </c>
      <c r="B19" s="320">
        <f>5*0.000001*D11</f>
        <v>1.9999999999999998E-4</v>
      </c>
      <c r="C19" s="193">
        <f t="shared" si="17"/>
        <v>3.9999999999999994E-8</v>
      </c>
      <c r="D19" s="54">
        <v>50</v>
      </c>
      <c r="E19" s="56">
        <f t="shared" si="18"/>
        <v>2</v>
      </c>
      <c r="F19" s="53">
        <f t="shared" si="19"/>
        <v>7.9999999999999979E-16</v>
      </c>
      <c r="G19" t="s">
        <v>162</v>
      </c>
      <c r="K19" s="144" t="s">
        <v>206</v>
      </c>
      <c r="S19" s="115" t="s">
        <v>306</v>
      </c>
      <c r="T19">
        <v>-60</v>
      </c>
      <c r="U19">
        <v>30</v>
      </c>
      <c r="V19">
        <v>0</v>
      </c>
      <c r="W19">
        <v>0</v>
      </c>
      <c r="X19">
        <v>1</v>
      </c>
      <c r="Y19">
        <v>40</v>
      </c>
      <c r="AB19" s="115" t="s">
        <v>306</v>
      </c>
      <c r="AC19" s="116">
        <v>3.42926948571836E-3</v>
      </c>
      <c r="AD19" s="117">
        <v>2.1437929059074747</v>
      </c>
      <c r="AE19" s="116">
        <v>0.10819874295228951</v>
      </c>
      <c r="AF19" s="117">
        <v>2.0476407387398754</v>
      </c>
      <c r="AG19" s="117"/>
      <c r="AH19" t="str">
        <f t="shared" si="0"/>
        <v>1Z</v>
      </c>
      <c r="AI19">
        <f t="shared" si="6"/>
        <v>5.6011239201057767E-3</v>
      </c>
      <c r="AJ19" s="227">
        <f t="shared" si="1"/>
        <v>9.9999999999999995E-7</v>
      </c>
      <c r="AK19" s="227">
        <f t="shared" si="2"/>
        <v>0.2</v>
      </c>
      <c r="AL19">
        <f t="shared" si="7"/>
        <v>988.04570024676332</v>
      </c>
      <c r="AM19" s="227">
        <f t="shared" si="3"/>
        <v>1E-3</v>
      </c>
      <c r="AN19" s="227">
        <f t="shared" si="4"/>
        <v>2E-3</v>
      </c>
      <c r="AO19">
        <f t="shared" si="5"/>
        <v>1000</v>
      </c>
      <c r="AP19">
        <f t="shared" si="8"/>
        <v>1</v>
      </c>
      <c r="AQ19" s="227">
        <f t="shared" si="9"/>
        <v>1.0080844765817714E-9</v>
      </c>
      <c r="AR19" s="150">
        <f t="shared" si="10"/>
        <v>0.29396478777187701</v>
      </c>
      <c r="AS19" s="227">
        <f t="shared" si="11"/>
        <v>1.3976477533550605E-5</v>
      </c>
      <c r="AT19" s="150">
        <f t="shared" si="12"/>
        <v>0.12917412117914867</v>
      </c>
      <c r="AU19" s="230">
        <f t="shared" si="13"/>
        <v>2.0007841573488149E-10</v>
      </c>
      <c r="AV19" s="150">
        <f t="shared" si="14"/>
        <v>5.8344325684561729E-2</v>
      </c>
      <c r="AW19" s="230">
        <f t="shared" si="15"/>
        <v>1.9760914004935269E-5</v>
      </c>
      <c r="AX19" s="150">
        <f t="shared" si="16"/>
        <v>0.18263533813557231</v>
      </c>
    </row>
    <row r="20" spans="1:50">
      <c r="A20" s="57" t="s">
        <v>123</v>
      </c>
      <c r="B20" s="320">
        <f>16*D34/10000000</f>
        <v>1.5999999999999999E-5</v>
      </c>
      <c r="C20" s="193">
        <f t="shared" si="17"/>
        <v>2.5599999999999999E-10</v>
      </c>
      <c r="D20" s="54" t="s">
        <v>124</v>
      </c>
      <c r="E20" s="55">
        <v>13</v>
      </c>
      <c r="F20" s="53">
        <f t="shared" si="19"/>
        <v>5.0412307692307691E-21</v>
      </c>
      <c r="G20" t="s">
        <v>163</v>
      </c>
      <c r="K20" s="144" t="s">
        <v>210</v>
      </c>
      <c r="S20" s="115" t="s">
        <v>299</v>
      </c>
      <c r="T20">
        <v>0</v>
      </c>
      <c r="U20">
        <v>0</v>
      </c>
      <c r="V20">
        <v>0</v>
      </c>
      <c r="W20">
        <v>0</v>
      </c>
      <c r="X20">
        <v>5</v>
      </c>
      <c r="Y20">
        <v>40</v>
      </c>
      <c r="AB20" s="115" t="s">
        <v>299</v>
      </c>
      <c r="AC20" s="116">
        <v>9.319726350413015E-3</v>
      </c>
      <c r="AD20" s="117">
        <v>2.4474848500286539</v>
      </c>
      <c r="AE20" s="116">
        <v>9.3189772102435051E-2</v>
      </c>
      <c r="AF20" s="117">
        <v>2.4549187184154593</v>
      </c>
      <c r="AG20" s="117"/>
      <c r="AH20" t="str">
        <f t="shared" si="0"/>
        <v>1Z</v>
      </c>
      <c r="AI20">
        <f t="shared" si="6"/>
        <v>0</v>
      </c>
      <c r="AJ20" s="227">
        <f t="shared" si="1"/>
        <v>9.9999999999999995E-7</v>
      </c>
      <c r="AK20" s="227">
        <f t="shared" si="2"/>
        <v>0.2</v>
      </c>
      <c r="AL20">
        <f t="shared" si="7"/>
        <v>0</v>
      </c>
      <c r="AM20" s="227">
        <f t="shared" si="3"/>
        <v>1E-3</v>
      </c>
      <c r="AN20" s="227">
        <f t="shared" si="4"/>
        <v>2E-3</v>
      </c>
      <c r="AO20">
        <f t="shared" si="5"/>
        <v>53</v>
      </c>
      <c r="AP20">
        <f t="shared" si="8"/>
        <v>1</v>
      </c>
      <c r="AQ20" s="227">
        <f t="shared" si="9"/>
        <v>3.7735849056603775E-9</v>
      </c>
      <c r="AR20" s="150">
        <f t="shared" si="10"/>
        <v>0.40490297287464311</v>
      </c>
      <c r="AS20" s="227">
        <f t="shared" si="11"/>
        <v>3.7735849056603776E-5</v>
      </c>
      <c r="AT20" s="150">
        <f t="shared" si="12"/>
        <v>0.40493552248549536</v>
      </c>
      <c r="AU20" s="230">
        <f t="shared" si="13"/>
        <v>3.7735849056603775E-9</v>
      </c>
      <c r="AV20" s="150">
        <f t="shared" si="14"/>
        <v>0.40490297287464311</v>
      </c>
      <c r="AW20" s="230">
        <f t="shared" si="15"/>
        <v>0</v>
      </c>
      <c r="AX20" s="150">
        <f t="shared" si="16"/>
        <v>0</v>
      </c>
    </row>
    <row r="21" spans="1:50">
      <c r="A21" s="57" t="s">
        <v>125</v>
      </c>
      <c r="B21" s="322">
        <f>2000/(VLOOKUP(label,Results,9,FALSE))</f>
        <v>37.735849056603776</v>
      </c>
      <c r="C21" s="193">
        <f t="shared" si="17"/>
        <v>1423.994304022784</v>
      </c>
      <c r="D21" s="58">
        <v>30</v>
      </c>
      <c r="E21" s="56">
        <f t="shared" si="18"/>
        <v>5.5555555555555554</v>
      </c>
      <c r="F21" s="53">
        <f t="shared" si="19"/>
        <v>364996.76002007996</v>
      </c>
      <c r="G21" t="s">
        <v>126</v>
      </c>
      <c r="K21" s="224" t="s">
        <v>400</v>
      </c>
      <c r="S21" s="115" t="s">
        <v>300</v>
      </c>
      <c r="T21">
        <v>0</v>
      </c>
      <c r="U21">
        <v>0</v>
      </c>
      <c r="V21">
        <v>0</v>
      </c>
      <c r="W21">
        <v>0</v>
      </c>
      <c r="X21">
        <v>5</v>
      </c>
      <c r="Y21">
        <v>40</v>
      </c>
      <c r="AB21" s="115" t="s">
        <v>300</v>
      </c>
      <c r="AC21" s="116">
        <v>1.55647834698406E-3</v>
      </c>
      <c r="AD21" s="117">
        <v>2.1795056296616311</v>
      </c>
      <c r="AE21" s="116">
        <v>1.4189409186396206E-2</v>
      </c>
      <c r="AF21" s="117">
        <v>2.1894733706359739</v>
      </c>
      <c r="AG21" s="117"/>
      <c r="AH21" t="str">
        <f t="shared" si="0"/>
        <v>1Z</v>
      </c>
      <c r="AI21">
        <f t="shared" si="6"/>
        <v>0</v>
      </c>
      <c r="AJ21" s="227">
        <f t="shared" si="1"/>
        <v>9.9999999999999995E-7</v>
      </c>
      <c r="AK21" s="227">
        <f t="shared" si="2"/>
        <v>0.2</v>
      </c>
      <c r="AL21">
        <f t="shared" si="7"/>
        <v>0</v>
      </c>
      <c r="AM21" s="227">
        <f t="shared" si="3"/>
        <v>1E-3</v>
      </c>
      <c r="AN21" s="227">
        <f t="shared" si="4"/>
        <v>2E-3</v>
      </c>
      <c r="AO21">
        <f t="shared" si="5"/>
        <v>400</v>
      </c>
      <c r="AP21">
        <f t="shared" si="8"/>
        <v>1</v>
      </c>
      <c r="AQ21" s="227">
        <f t="shared" si="9"/>
        <v>5.0000000000000003E-10</v>
      </c>
      <c r="AR21" s="150">
        <f t="shared" si="10"/>
        <v>0.32123800563550059</v>
      </c>
      <c r="AS21" s="227">
        <f t="shared" si="11"/>
        <v>5.0000000000000004E-6</v>
      </c>
      <c r="AT21" s="150">
        <f t="shared" si="12"/>
        <v>0.35237548895225629</v>
      </c>
      <c r="AU21" s="230">
        <f t="shared" si="13"/>
        <v>5.0000000000000003E-10</v>
      </c>
      <c r="AV21" s="150">
        <f t="shared" si="14"/>
        <v>0.32123800563550059</v>
      </c>
      <c r="AW21" s="230">
        <f t="shared" si="15"/>
        <v>0</v>
      </c>
      <c r="AX21" s="150">
        <f t="shared" si="16"/>
        <v>0</v>
      </c>
    </row>
    <row r="22" spans="1:50">
      <c r="A22" s="57"/>
      <c r="B22" s="56">
        <v>0</v>
      </c>
      <c r="C22" s="193">
        <f t="shared" si="17"/>
        <v>0</v>
      </c>
      <c r="D22" s="54">
        <v>1</v>
      </c>
      <c r="E22" s="55">
        <f t="shared" si="18"/>
        <v>5000</v>
      </c>
      <c r="F22" s="53">
        <f t="shared" si="19"/>
        <v>0</v>
      </c>
      <c r="S22" s="115" t="s">
        <v>301</v>
      </c>
      <c r="T22">
        <v>0</v>
      </c>
      <c r="U22">
        <v>0</v>
      </c>
      <c r="V22">
        <v>0</v>
      </c>
      <c r="W22">
        <v>0</v>
      </c>
      <c r="X22">
        <v>5</v>
      </c>
      <c r="Y22">
        <v>40</v>
      </c>
      <c r="AB22" s="115" t="s">
        <v>301</v>
      </c>
      <c r="AC22" s="116">
        <v>1.2600825713986663E-3</v>
      </c>
      <c r="AD22" s="117">
        <v>2.3005854934729308</v>
      </c>
      <c r="AE22" s="116">
        <v>1.0320244362409116E-2</v>
      </c>
      <c r="AF22" s="117">
        <v>2.2520619491649732</v>
      </c>
      <c r="AG22" s="117"/>
      <c r="AH22" t="str">
        <f t="shared" si="0"/>
        <v>1Z</v>
      </c>
      <c r="AI22">
        <f t="shared" si="6"/>
        <v>0</v>
      </c>
      <c r="AJ22" s="227">
        <f t="shared" si="1"/>
        <v>9.9999999999999995E-7</v>
      </c>
      <c r="AK22" s="227">
        <f t="shared" si="2"/>
        <v>0.2</v>
      </c>
      <c r="AL22">
        <f t="shared" si="7"/>
        <v>0</v>
      </c>
      <c r="AM22" s="227">
        <f t="shared" si="3"/>
        <v>1E-3</v>
      </c>
      <c r="AN22" s="227">
        <f t="shared" si="4"/>
        <v>2E-3</v>
      </c>
      <c r="AO22">
        <f t="shared" si="5"/>
        <v>1000</v>
      </c>
      <c r="AP22">
        <f t="shared" si="8"/>
        <v>1</v>
      </c>
      <c r="AQ22" s="227">
        <f t="shared" si="9"/>
        <v>2.0000000000000001E-10</v>
      </c>
      <c r="AR22" s="150">
        <f t="shared" si="10"/>
        <v>0.15871975737114119</v>
      </c>
      <c r="AS22" s="227">
        <f t="shared" si="11"/>
        <v>1.9999999999999999E-6</v>
      </c>
      <c r="AT22" s="150">
        <f t="shared" si="12"/>
        <v>0.19379386085903957</v>
      </c>
      <c r="AU22" s="230">
        <f t="shared" si="13"/>
        <v>2.0000000000000001E-10</v>
      </c>
      <c r="AV22" s="150">
        <f t="shared" si="14"/>
        <v>0.15871975737114119</v>
      </c>
      <c r="AW22" s="230">
        <f t="shared" si="15"/>
        <v>0</v>
      </c>
      <c r="AX22" s="150">
        <f t="shared" si="16"/>
        <v>0</v>
      </c>
    </row>
    <row r="23" spans="1:50" ht="13.5" thickBot="1">
      <c r="B23" s="59" t="s">
        <v>127</v>
      </c>
      <c r="C23" s="308">
        <f>SUM(C14:C22)</f>
        <v>1424.99430454344</v>
      </c>
      <c r="E23" s="27" t="s">
        <v>128</v>
      </c>
      <c r="F23" s="308">
        <f>SUM(F14:F22)</f>
        <v>364996.94002007996</v>
      </c>
      <c r="S23" s="115" t="s">
        <v>307</v>
      </c>
      <c r="T23">
        <v>-60</v>
      </c>
      <c r="U23">
        <v>30</v>
      </c>
      <c r="V23">
        <v>0</v>
      </c>
      <c r="W23">
        <v>0</v>
      </c>
      <c r="AB23" s="115" t="s">
        <v>307</v>
      </c>
      <c r="AC23" s="116">
        <v>9.459878912365248E-2</v>
      </c>
      <c r="AD23" s="117">
        <v>2.31033768638473</v>
      </c>
      <c r="AE23" s="116">
        <v>1.3301721501168371E-3</v>
      </c>
      <c r="AF23" s="117">
        <v>2.0488771523373699</v>
      </c>
      <c r="AG23" s="117"/>
      <c r="AH23" t="str">
        <f t="shared" si="0"/>
        <v>2Z</v>
      </c>
      <c r="AI23">
        <f t="shared" si="6"/>
        <v>2.0004014000377771E-2</v>
      </c>
      <c r="AJ23" s="227">
        <f t="shared" si="1"/>
        <v>9.9999999999999995E-7</v>
      </c>
      <c r="AK23" s="227">
        <f t="shared" si="2"/>
        <v>2</v>
      </c>
      <c r="AL23">
        <f t="shared" si="7"/>
        <v>9.9137893538498769</v>
      </c>
      <c r="AM23" s="227">
        <f t="shared" si="3"/>
        <v>1</v>
      </c>
      <c r="AN23" s="227">
        <f t="shared" si="4"/>
        <v>0.02</v>
      </c>
      <c r="AO23">
        <f t="shared" si="5"/>
        <v>53</v>
      </c>
      <c r="AP23">
        <f t="shared" si="8"/>
        <v>1</v>
      </c>
      <c r="AQ23" s="227">
        <f t="shared" si="9"/>
        <v>3.9016375068088049E-8</v>
      </c>
      <c r="AR23" s="150">
        <f t="shared" si="10"/>
        <v>0.41244053364244182</v>
      </c>
      <c r="AS23" s="227">
        <f t="shared" si="11"/>
        <v>4.0207330351488317E-4</v>
      </c>
      <c r="AT23" s="150">
        <f t="shared" si="12"/>
        <v>0.30227162963798831</v>
      </c>
      <c r="AU23" s="230">
        <f t="shared" si="13"/>
        <v>3.7738649618563829E-9</v>
      </c>
      <c r="AV23" s="150">
        <f t="shared" si="14"/>
        <v>3.9893374923895358E-2</v>
      </c>
      <c r="AW23" s="230">
        <f t="shared" si="15"/>
        <v>1.9827578707699755E-4</v>
      </c>
      <c r="AX23" s="150">
        <f t="shared" si="16"/>
        <v>0.1490602453671743</v>
      </c>
    </row>
    <row r="24" spans="1:50">
      <c r="B24" s="59" t="s">
        <v>129</v>
      </c>
      <c r="C24" s="319">
        <f>SQRT(C23)</f>
        <v>37.749096738113352</v>
      </c>
      <c r="E24" s="60" t="s">
        <v>130</v>
      </c>
      <c r="F24" s="309">
        <f>L_standard_uncertainty^4/F23</f>
        <v>5.5633583335507693</v>
      </c>
      <c r="S24" s="115" t="s">
        <v>308</v>
      </c>
      <c r="T24">
        <v>-60</v>
      </c>
      <c r="U24">
        <v>30</v>
      </c>
      <c r="V24">
        <v>0</v>
      </c>
      <c r="W24">
        <v>0</v>
      </c>
      <c r="AB24" s="115" t="s">
        <v>308</v>
      </c>
      <c r="AC24" s="116">
        <v>3.5329843366005448E-2</v>
      </c>
      <c r="AD24" s="117">
        <v>2.1205900476010155</v>
      </c>
      <c r="AE24" s="116">
        <v>1.0864186996645624E-3</v>
      </c>
      <c r="AF24" s="117">
        <v>2.0473503445180388</v>
      </c>
      <c r="AG24" s="117"/>
      <c r="AH24" t="str">
        <f t="shared" si="0"/>
        <v>2Z</v>
      </c>
      <c r="AI24">
        <f t="shared" si="6"/>
        <v>4.0008028000755548E-3</v>
      </c>
      <c r="AJ24" s="227">
        <f t="shared" si="1"/>
        <v>9.9999999999999995E-7</v>
      </c>
      <c r="AK24" s="227">
        <f t="shared" si="2"/>
        <v>2</v>
      </c>
      <c r="AL24">
        <f t="shared" si="7"/>
        <v>9.9137703525094558</v>
      </c>
      <c r="AM24" s="227">
        <f t="shared" si="3"/>
        <v>1</v>
      </c>
      <c r="AN24" s="227">
        <f t="shared" si="4"/>
        <v>0.02</v>
      </c>
      <c r="AO24">
        <f t="shared" si="5"/>
        <v>400</v>
      </c>
      <c r="AP24">
        <f t="shared" si="8"/>
        <v>1</v>
      </c>
      <c r="AQ24" s="227">
        <f t="shared" si="9"/>
        <v>1.1103280713619408E-8</v>
      </c>
      <c r="AR24" s="150">
        <f t="shared" si="10"/>
        <v>0.31427483554322921</v>
      </c>
      <c r="AS24" s="227">
        <f t="shared" si="11"/>
        <v>1.4752436120929306E-4</v>
      </c>
      <c r="AT24" s="150">
        <f t="shared" si="12"/>
        <v>0.13578960050562641</v>
      </c>
      <c r="AU24" s="230">
        <f t="shared" si="13"/>
        <v>5.0005601123920107E-10</v>
      </c>
      <c r="AV24" s="150">
        <f t="shared" si="14"/>
        <v>1.4153926640964322E-2</v>
      </c>
      <c r="AW24" s="230">
        <f t="shared" si="15"/>
        <v>1.9827540705018914E-4</v>
      </c>
      <c r="AX24" s="150">
        <f t="shared" si="16"/>
        <v>0.18250367663167777</v>
      </c>
    </row>
    <row r="25" spans="1:50">
      <c r="B25" s="34"/>
      <c r="E25" s="61" t="s">
        <v>94</v>
      </c>
      <c r="F25" s="310">
        <f>$G$3+$G$4/F24+$G$5/F24^2+$G$6/F24^3</f>
        <v>2.468724529208397</v>
      </c>
      <c r="S25" s="115" t="s">
        <v>309</v>
      </c>
      <c r="T25">
        <v>-60</v>
      </c>
      <c r="U25">
        <v>30</v>
      </c>
      <c r="V25">
        <v>0</v>
      </c>
      <c r="W25">
        <v>0</v>
      </c>
      <c r="AB25" s="115" t="s">
        <v>309</v>
      </c>
      <c r="AC25" s="116">
        <v>3.4363695765442508E-2</v>
      </c>
      <c r="AD25" s="117">
        <v>2.1453797983810055</v>
      </c>
      <c r="AE25" s="116">
        <v>1.083041859335662E-3</v>
      </c>
      <c r="AF25" s="117">
        <v>2.0486684116034093</v>
      </c>
      <c r="AG25" s="117"/>
      <c r="AH25" t="str">
        <f t="shared" si="0"/>
        <v>2Z</v>
      </c>
      <c r="AI25">
        <f t="shared" si="6"/>
        <v>7.0014049001322206E-3</v>
      </c>
      <c r="AJ25" s="227">
        <f t="shared" si="1"/>
        <v>9.9999999999999995E-7</v>
      </c>
      <c r="AK25" s="227">
        <f t="shared" si="2"/>
        <v>2</v>
      </c>
      <c r="AL25">
        <f t="shared" si="7"/>
        <v>9.913637343126501</v>
      </c>
      <c r="AM25" s="227">
        <f t="shared" si="3"/>
        <v>1</v>
      </c>
      <c r="AN25" s="227">
        <f t="shared" si="4"/>
        <v>0.02</v>
      </c>
      <c r="AO25">
        <f t="shared" si="5"/>
        <v>1000</v>
      </c>
      <c r="AP25">
        <f t="shared" si="8"/>
        <v>1</v>
      </c>
      <c r="AQ25" s="227">
        <f t="shared" ref="AQ25:AQ53" si="20">SQRT((0.000014*AI25*AJ25*1000000)^2+(0.001*AL25*AM25)^2+(AK25/AO25)^2)*0.000001</f>
        <v>1.0113367657740921E-8</v>
      </c>
      <c r="AR25" s="150">
        <f t="shared" ref="AR25:AR59" si="21">AQ25/(AC25*AJ25)</f>
        <v>0.29430384108775998</v>
      </c>
      <c r="AS25" s="227">
        <f t="shared" si="11"/>
        <v>1.402245351328095E-4</v>
      </c>
      <c r="AT25" s="150">
        <f t="shared" si="12"/>
        <v>0.12947286748346298</v>
      </c>
      <c r="AU25" s="230">
        <f t="shared" si="13"/>
        <v>2.0009801966860183E-10</v>
      </c>
      <c r="AV25" s="150">
        <f t="shared" si="14"/>
        <v>5.8229481786364881E-3</v>
      </c>
      <c r="AW25" s="230">
        <f t="shared" si="15"/>
        <v>1.9827274686253003E-4</v>
      </c>
      <c r="AX25" s="150">
        <f t="shared" si="16"/>
        <v>0.18307025269009508</v>
      </c>
    </row>
    <row r="26" spans="1:50" ht="13.5" thickBot="1">
      <c r="A26" s="27" t="s">
        <v>131</v>
      </c>
      <c r="B26" s="34"/>
      <c r="E26" s="62" t="s">
        <v>132</v>
      </c>
      <c r="F26" s="311">
        <f>F25*L_standard_uncertainty</f>
        <v>93.192121072841118</v>
      </c>
      <c r="S26" s="115" t="s">
        <v>299</v>
      </c>
      <c r="T26">
        <v>0</v>
      </c>
      <c r="U26">
        <v>0</v>
      </c>
      <c r="V26">
        <v>0</v>
      </c>
      <c r="W26">
        <v>0</v>
      </c>
      <c r="AB26" s="115" t="s">
        <v>299</v>
      </c>
      <c r="AC26" s="116">
        <v>9.319726350413015E-3</v>
      </c>
      <c r="AD26" s="117">
        <v>2.4474848500286539</v>
      </c>
      <c r="AE26" s="116">
        <v>9.3189772102435051E-2</v>
      </c>
      <c r="AF26" s="117">
        <v>2.4549187184154593</v>
      </c>
      <c r="AG26" s="117"/>
      <c r="AH26" t="str">
        <f t="shared" si="0"/>
        <v>1Z</v>
      </c>
      <c r="AI26">
        <f t="shared" si="6"/>
        <v>0</v>
      </c>
      <c r="AJ26" s="227">
        <f t="shared" si="1"/>
        <v>9.9999999999999995E-7</v>
      </c>
      <c r="AK26" s="227">
        <f t="shared" si="2"/>
        <v>0.2</v>
      </c>
      <c r="AL26">
        <f t="shared" si="7"/>
        <v>0</v>
      </c>
      <c r="AM26" s="227">
        <f t="shared" si="3"/>
        <v>1E-3</v>
      </c>
      <c r="AN26" s="227">
        <f t="shared" si="4"/>
        <v>2E-3</v>
      </c>
      <c r="AO26">
        <f t="shared" si="5"/>
        <v>53</v>
      </c>
      <c r="AP26">
        <f t="shared" si="8"/>
        <v>1</v>
      </c>
      <c r="AQ26" s="227">
        <f t="shared" si="20"/>
        <v>3.7735849056603775E-9</v>
      </c>
      <c r="AR26" s="150">
        <f t="shared" si="21"/>
        <v>0.40490297287464311</v>
      </c>
      <c r="AS26" s="227">
        <f t="shared" si="11"/>
        <v>3.7735849056603776E-5</v>
      </c>
      <c r="AT26" s="150">
        <f t="shared" si="12"/>
        <v>0.40493552248549536</v>
      </c>
      <c r="AU26" s="230">
        <f t="shared" si="13"/>
        <v>3.7735849056603775E-9</v>
      </c>
      <c r="AV26" s="150">
        <f t="shared" si="14"/>
        <v>0.40490297287464311</v>
      </c>
      <c r="AW26" s="230">
        <f t="shared" si="15"/>
        <v>0</v>
      </c>
      <c r="AX26" s="150">
        <f t="shared" si="16"/>
        <v>0</v>
      </c>
    </row>
    <row r="27" spans="1:50">
      <c r="A27" s="29" t="s">
        <v>133</v>
      </c>
      <c r="B27" s="34"/>
      <c r="S27" s="115" t="s">
        <v>300</v>
      </c>
      <c r="T27">
        <v>0</v>
      </c>
      <c r="U27">
        <v>0</v>
      </c>
      <c r="V27">
        <v>0</v>
      </c>
      <c r="W27">
        <v>0</v>
      </c>
      <c r="AB27" s="115" t="s">
        <v>300</v>
      </c>
      <c r="AC27" s="116">
        <v>1.55647834698406E-3</v>
      </c>
      <c r="AD27" s="117">
        <v>2.1795056296616311</v>
      </c>
      <c r="AE27" s="116">
        <v>1.4189409186396206E-2</v>
      </c>
      <c r="AF27" s="117">
        <v>2.1894733706359739</v>
      </c>
      <c r="AG27" s="117"/>
      <c r="AH27" t="str">
        <f t="shared" si="0"/>
        <v>1Z</v>
      </c>
      <c r="AI27">
        <f t="shared" si="6"/>
        <v>0</v>
      </c>
      <c r="AJ27" s="227">
        <f t="shared" si="1"/>
        <v>9.9999999999999995E-7</v>
      </c>
      <c r="AK27" s="227">
        <f t="shared" si="2"/>
        <v>0.2</v>
      </c>
      <c r="AL27">
        <f t="shared" si="7"/>
        <v>0</v>
      </c>
      <c r="AM27" s="227">
        <f t="shared" si="3"/>
        <v>1E-3</v>
      </c>
      <c r="AN27" s="227">
        <f t="shared" si="4"/>
        <v>2E-3</v>
      </c>
      <c r="AO27">
        <f t="shared" si="5"/>
        <v>400</v>
      </c>
      <c r="AP27">
        <f t="shared" si="8"/>
        <v>1</v>
      </c>
      <c r="AQ27" s="227">
        <f t="shared" si="20"/>
        <v>5.0000000000000003E-10</v>
      </c>
      <c r="AR27" s="150">
        <f t="shared" si="21"/>
        <v>0.32123800563550059</v>
      </c>
      <c r="AS27" s="227">
        <f t="shared" si="11"/>
        <v>5.0000000000000004E-6</v>
      </c>
      <c r="AT27" s="150">
        <f t="shared" si="12"/>
        <v>0.35237548895225629</v>
      </c>
      <c r="AU27" s="230">
        <f t="shared" si="13"/>
        <v>5.0000000000000003E-10</v>
      </c>
      <c r="AV27" s="150">
        <f t="shared" si="14"/>
        <v>0.32123800563550059</v>
      </c>
      <c r="AW27" s="230">
        <f t="shared" si="15"/>
        <v>0</v>
      </c>
      <c r="AX27" s="150">
        <f t="shared" si="16"/>
        <v>0</v>
      </c>
    </row>
    <row r="28" spans="1:50">
      <c r="A28" t="s">
        <v>134</v>
      </c>
      <c r="B28" s="34"/>
      <c r="E28" s="29"/>
      <c r="F28" s="63"/>
      <c r="S28" s="115" t="s">
        <v>301</v>
      </c>
      <c r="T28">
        <v>0</v>
      </c>
      <c r="U28">
        <v>0</v>
      </c>
      <c r="V28">
        <v>0</v>
      </c>
      <c r="W28">
        <v>0</v>
      </c>
      <c r="AB28" s="115" t="s">
        <v>301</v>
      </c>
      <c r="AC28" s="116">
        <v>1.2600825713986663E-3</v>
      </c>
      <c r="AD28" s="117">
        <v>2.3005854934729308</v>
      </c>
      <c r="AE28" s="116">
        <v>1.0320244362409116E-2</v>
      </c>
      <c r="AF28" s="117">
        <v>2.2520619491649732</v>
      </c>
      <c r="AG28" s="117"/>
      <c r="AH28" t="str">
        <f t="shared" si="0"/>
        <v>1Z</v>
      </c>
      <c r="AI28">
        <f t="shared" si="6"/>
        <v>0</v>
      </c>
      <c r="AJ28" s="227">
        <f t="shared" si="1"/>
        <v>9.9999999999999995E-7</v>
      </c>
      <c r="AK28" s="227">
        <f t="shared" si="2"/>
        <v>0.2</v>
      </c>
      <c r="AL28">
        <f t="shared" si="7"/>
        <v>0</v>
      </c>
      <c r="AM28" s="227">
        <f t="shared" si="3"/>
        <v>1E-3</v>
      </c>
      <c r="AN28" s="227">
        <f t="shared" si="4"/>
        <v>2E-3</v>
      </c>
      <c r="AO28">
        <f t="shared" si="5"/>
        <v>1000</v>
      </c>
      <c r="AP28">
        <f t="shared" si="8"/>
        <v>1</v>
      </c>
      <c r="AQ28" s="227">
        <f t="shared" si="20"/>
        <v>2.0000000000000001E-10</v>
      </c>
      <c r="AR28" s="150">
        <f t="shared" si="21"/>
        <v>0.15871975737114119</v>
      </c>
      <c r="AS28" s="227">
        <f t="shared" si="11"/>
        <v>1.9999999999999999E-6</v>
      </c>
      <c r="AT28" s="150">
        <f t="shared" si="12"/>
        <v>0.19379386085903957</v>
      </c>
      <c r="AU28" s="230">
        <f t="shared" si="13"/>
        <v>2.0000000000000001E-10</v>
      </c>
      <c r="AV28" s="150">
        <f t="shared" si="14"/>
        <v>0.15871975737114119</v>
      </c>
      <c r="AW28" s="230">
        <f t="shared" si="15"/>
        <v>0</v>
      </c>
      <c r="AX28" s="150">
        <f t="shared" si="16"/>
        <v>0</v>
      </c>
    </row>
    <row r="29" spans="1:50">
      <c r="A29" t="s">
        <v>135</v>
      </c>
      <c r="B29" s="34"/>
      <c r="S29" s="115" t="s">
        <v>316</v>
      </c>
      <c r="T29">
        <v>0</v>
      </c>
      <c r="U29">
        <v>5</v>
      </c>
      <c r="V29">
        <v>0</v>
      </c>
      <c r="W29">
        <v>0</v>
      </c>
      <c r="AB29" s="115" t="s">
        <v>316</v>
      </c>
      <c r="AC29" s="116">
        <v>9.464568105430136E-4</v>
      </c>
      <c r="AD29" s="117">
        <v>2.308331439091805</v>
      </c>
      <c r="AE29" s="116">
        <v>1.1775777308650126E-2</v>
      </c>
      <c r="AF29" s="117">
        <v>2.0993861171555226</v>
      </c>
      <c r="AG29" s="117"/>
      <c r="AH29" t="str">
        <f t="shared" si="0"/>
        <v>3Z</v>
      </c>
      <c r="AI29">
        <f t="shared" si="6"/>
        <v>2.0004014000377774E-4</v>
      </c>
      <c r="AJ29" s="227">
        <f t="shared" si="1"/>
        <v>1E-3</v>
      </c>
      <c r="AK29" s="227">
        <f t="shared" si="2"/>
        <v>20</v>
      </c>
      <c r="AL29">
        <f t="shared" si="7"/>
        <v>100.03668694257213</v>
      </c>
      <c r="AM29" s="227">
        <f t="shared" si="3"/>
        <v>1</v>
      </c>
      <c r="AN29" s="227">
        <f t="shared" si="4"/>
        <v>0.2</v>
      </c>
      <c r="AO29">
        <f t="shared" si="5"/>
        <v>53</v>
      </c>
      <c r="AP29">
        <f t="shared" si="8"/>
        <v>1</v>
      </c>
      <c r="AQ29" s="227">
        <f t="shared" si="20"/>
        <v>3.9039309566713357E-7</v>
      </c>
      <c r="AR29" s="150">
        <f t="shared" si="21"/>
        <v>0.4124785107131852</v>
      </c>
      <c r="AS29" s="227">
        <f t="shared" si="11"/>
        <v>4.0250939656832178E-3</v>
      </c>
      <c r="AT29" s="150">
        <f t="shared" si="12"/>
        <v>0.34181131828355032</v>
      </c>
      <c r="AU29" s="230">
        <f t="shared" si="13"/>
        <v>3.77638546762043E-9</v>
      </c>
      <c r="AV29" s="150">
        <f t="shared" si="14"/>
        <v>3.9900240830363851E-3</v>
      </c>
      <c r="AW29" s="230">
        <f t="shared" si="15"/>
        <v>2.0007337388514429E-3</v>
      </c>
      <c r="AX29" s="150">
        <f t="shared" si="16"/>
        <v>0.16990247746802795</v>
      </c>
    </row>
    <row r="30" spans="1:50">
      <c r="A30" t="s">
        <v>164</v>
      </c>
      <c r="S30" s="115" t="s">
        <v>317</v>
      </c>
      <c r="T30">
        <v>0</v>
      </c>
      <c r="U30">
        <v>5</v>
      </c>
      <c r="V30">
        <v>0</v>
      </c>
      <c r="W30">
        <v>0</v>
      </c>
      <c r="AB30" s="115" t="s">
        <v>317</v>
      </c>
      <c r="AC30" s="116">
        <v>3.5627586085908711E-4</v>
      </c>
      <c r="AD30" s="117">
        <v>2.1210238562243977</v>
      </c>
      <c r="AE30" s="116">
        <v>8.8537872689248478E-3</v>
      </c>
      <c r="AF30" s="117">
        <v>2.1181157134150861</v>
      </c>
      <c r="AG30" s="117"/>
      <c r="AH30" t="str">
        <f t="shared" si="0"/>
        <v>3Z</v>
      </c>
      <c r="AI30">
        <f t="shared" si="6"/>
        <v>6.0012042001133319E-5</v>
      </c>
      <c r="AJ30" s="227">
        <f t="shared" si="1"/>
        <v>1E-3</v>
      </c>
      <c r="AK30" s="227">
        <f t="shared" si="2"/>
        <v>20</v>
      </c>
      <c r="AL30">
        <f t="shared" si="7"/>
        <v>100.03664693975018</v>
      </c>
      <c r="AM30" s="227">
        <f t="shared" si="3"/>
        <v>1</v>
      </c>
      <c r="AN30" s="227">
        <f t="shared" si="4"/>
        <v>0.2</v>
      </c>
      <c r="AO30">
        <f t="shared" si="5"/>
        <v>400</v>
      </c>
      <c r="AP30">
        <f t="shared" si="8"/>
        <v>1</v>
      </c>
      <c r="AQ30" s="227">
        <f t="shared" si="20"/>
        <v>1.1183617809838689E-7</v>
      </c>
      <c r="AR30" s="150">
        <f t="shared" si="21"/>
        <v>0.31390332712611119</v>
      </c>
      <c r="AS30" s="227">
        <f t="shared" si="11"/>
        <v>1.4870900521830772E-3</v>
      </c>
      <c r="AT30" s="150">
        <f t="shared" si="12"/>
        <v>0.16796089707310766</v>
      </c>
      <c r="AU30" s="230">
        <f t="shared" si="13"/>
        <v>5.0084016858801586E-10</v>
      </c>
      <c r="AV30" s="150">
        <f t="shared" si="14"/>
        <v>1.405765092758014E-3</v>
      </c>
      <c r="AW30" s="230">
        <f t="shared" si="15"/>
        <v>2.0007329387950038E-3</v>
      </c>
      <c r="AX30" s="150">
        <f t="shared" si="16"/>
        <v>0.2259748148475631</v>
      </c>
    </row>
    <row r="31" spans="1:50">
      <c r="S31" s="115" t="s">
        <v>318</v>
      </c>
      <c r="T31">
        <v>0</v>
      </c>
      <c r="U31">
        <v>5</v>
      </c>
      <c r="V31">
        <v>0</v>
      </c>
      <c r="W31">
        <v>0</v>
      </c>
      <c r="AB31" s="115" t="s">
        <v>318</v>
      </c>
      <c r="AC31" s="116">
        <v>3.4671879435896981E-4</v>
      </c>
      <c r="AD31" s="117">
        <v>2.145513813926037</v>
      </c>
      <c r="AE31" s="116">
        <v>8.8170285725435466E-3</v>
      </c>
      <c r="AF31" s="117">
        <v>2.1221121413701569</v>
      </c>
      <c r="AG31" s="117"/>
      <c r="AH31" t="str">
        <f t="shared" si="0"/>
        <v>3Z</v>
      </c>
      <c r="AI31">
        <f t="shared" si="6"/>
        <v>6.0012042001133319E-5</v>
      </c>
      <c r="AJ31" s="227">
        <f t="shared" si="1"/>
        <v>1E-3</v>
      </c>
      <c r="AK31" s="227">
        <f t="shared" si="2"/>
        <v>20</v>
      </c>
      <c r="AL31">
        <f t="shared" si="7"/>
        <v>100.03666694116116</v>
      </c>
      <c r="AM31" s="227">
        <f t="shared" si="3"/>
        <v>1</v>
      </c>
      <c r="AN31" s="227">
        <f t="shared" si="4"/>
        <v>0.2</v>
      </c>
      <c r="AO31">
        <f t="shared" si="5"/>
        <v>1000</v>
      </c>
      <c r="AP31">
        <f t="shared" si="8"/>
        <v>1</v>
      </c>
      <c r="AQ31" s="227">
        <f t="shared" si="20"/>
        <v>1.0201634542269531E-7</v>
      </c>
      <c r="AR31" s="150">
        <f t="shared" si="21"/>
        <v>0.29423367605816692</v>
      </c>
      <c r="AS31" s="227">
        <f t="shared" si="11"/>
        <v>1.4147217421261993E-3</v>
      </c>
      <c r="AT31" s="150">
        <f t="shared" si="12"/>
        <v>0.16045334666734315</v>
      </c>
      <c r="AU31" s="230">
        <f t="shared" si="13"/>
        <v>2.0084016858801586E-10</v>
      </c>
      <c r="AV31" s="150">
        <f t="shared" si="14"/>
        <v>5.792595378607575E-4</v>
      </c>
      <c r="AW31" s="230">
        <f t="shared" si="15"/>
        <v>2.0007333388232231E-3</v>
      </c>
      <c r="AX31" s="150">
        <f t="shared" si="16"/>
        <v>0.2269169621445436</v>
      </c>
    </row>
    <row r="32" spans="1:50">
      <c r="S32" s="115" t="s">
        <v>299</v>
      </c>
      <c r="T32">
        <v>0</v>
      </c>
      <c r="U32">
        <v>0</v>
      </c>
      <c r="V32">
        <v>0</v>
      </c>
      <c r="W32">
        <v>0</v>
      </c>
      <c r="AB32" s="115" t="s">
        <v>299</v>
      </c>
      <c r="AC32" s="116">
        <v>9.319726350413015E-3</v>
      </c>
      <c r="AD32" s="117">
        <v>2.4474848500286539</v>
      </c>
      <c r="AE32" s="116">
        <v>9.3189772102435051E-2</v>
      </c>
      <c r="AF32" s="117">
        <v>2.4549187184154593</v>
      </c>
      <c r="AG32" s="117"/>
      <c r="AH32" t="str">
        <f t="shared" si="0"/>
        <v>1Z</v>
      </c>
      <c r="AI32">
        <f t="shared" si="6"/>
        <v>0</v>
      </c>
      <c r="AJ32" s="227">
        <f t="shared" si="1"/>
        <v>9.9999999999999995E-7</v>
      </c>
      <c r="AK32" s="227">
        <f t="shared" si="2"/>
        <v>0.2</v>
      </c>
      <c r="AL32">
        <f t="shared" si="7"/>
        <v>0</v>
      </c>
      <c r="AM32" s="227">
        <f t="shared" si="3"/>
        <v>1E-3</v>
      </c>
      <c r="AN32" s="227">
        <f t="shared" si="4"/>
        <v>2E-3</v>
      </c>
      <c r="AO32">
        <f t="shared" si="5"/>
        <v>53</v>
      </c>
      <c r="AP32">
        <f t="shared" si="8"/>
        <v>1</v>
      </c>
      <c r="AQ32" s="227">
        <f t="shared" si="20"/>
        <v>3.7735849056603775E-9</v>
      </c>
      <c r="AR32" s="150">
        <f t="shared" si="21"/>
        <v>0.40490297287464311</v>
      </c>
      <c r="AS32" s="227">
        <f t="shared" si="11"/>
        <v>3.7735849056603776E-5</v>
      </c>
      <c r="AT32" s="150">
        <f t="shared" si="12"/>
        <v>0.40493552248549536</v>
      </c>
      <c r="AU32" s="230">
        <f t="shared" si="13"/>
        <v>3.7735849056603775E-9</v>
      </c>
      <c r="AV32" s="150">
        <f t="shared" si="14"/>
        <v>0.40490297287464311</v>
      </c>
      <c r="AW32" s="230">
        <f t="shared" si="15"/>
        <v>0</v>
      </c>
      <c r="AX32" s="150">
        <f t="shared" si="16"/>
        <v>0</v>
      </c>
    </row>
    <row r="33" spans="1:50" ht="15.75">
      <c r="A33" s="40" t="s">
        <v>136</v>
      </c>
      <c r="B33" s="41"/>
      <c r="C33" s="42"/>
      <c r="D33" s="43"/>
      <c r="F33" s="29" t="s">
        <v>101</v>
      </c>
      <c r="S33" s="115" t="s">
        <v>300</v>
      </c>
      <c r="T33">
        <v>0</v>
      </c>
      <c r="U33">
        <v>0</v>
      </c>
      <c r="V33">
        <v>0</v>
      </c>
      <c r="W33">
        <v>0</v>
      </c>
      <c r="AB33" s="115" t="s">
        <v>300</v>
      </c>
      <c r="AC33" s="116">
        <v>1.55647834698406E-3</v>
      </c>
      <c r="AD33" s="117">
        <v>2.1795056296616311</v>
      </c>
      <c r="AE33" s="116">
        <v>1.4189409186396206E-2</v>
      </c>
      <c r="AF33" s="117">
        <v>2.1894733706359739</v>
      </c>
      <c r="AG33" s="117"/>
      <c r="AH33" t="str">
        <f t="shared" si="0"/>
        <v>1Z</v>
      </c>
      <c r="AI33">
        <f t="shared" si="6"/>
        <v>0</v>
      </c>
      <c r="AJ33" s="227">
        <f t="shared" si="1"/>
        <v>9.9999999999999995E-7</v>
      </c>
      <c r="AK33" s="227">
        <f t="shared" si="2"/>
        <v>0.2</v>
      </c>
      <c r="AL33">
        <f t="shared" si="7"/>
        <v>0</v>
      </c>
      <c r="AM33" s="227">
        <f t="shared" si="3"/>
        <v>1E-3</v>
      </c>
      <c r="AN33" s="227">
        <f t="shared" si="4"/>
        <v>2E-3</v>
      </c>
      <c r="AO33">
        <f t="shared" si="5"/>
        <v>400</v>
      </c>
      <c r="AP33">
        <f t="shared" si="8"/>
        <v>1</v>
      </c>
      <c r="AQ33" s="227">
        <f t="shared" si="20"/>
        <v>5.0000000000000003E-10</v>
      </c>
      <c r="AR33" s="150">
        <f t="shared" si="21"/>
        <v>0.32123800563550059</v>
      </c>
      <c r="AS33" s="227">
        <f t="shared" si="11"/>
        <v>5.0000000000000004E-6</v>
      </c>
      <c r="AT33" s="150">
        <f t="shared" si="12"/>
        <v>0.35237548895225629</v>
      </c>
      <c r="AU33" s="230">
        <f t="shared" si="13"/>
        <v>5.0000000000000003E-10</v>
      </c>
      <c r="AV33" s="150">
        <f t="shared" si="14"/>
        <v>0.32123800563550059</v>
      </c>
      <c r="AW33" s="230">
        <f t="shared" si="15"/>
        <v>0</v>
      </c>
      <c r="AX33" s="150">
        <f t="shared" si="16"/>
        <v>0</v>
      </c>
    </row>
    <row r="34" spans="1:50">
      <c r="A34" s="44"/>
      <c r="B34" s="45" t="s">
        <v>102</v>
      </c>
      <c r="C34" s="145" t="s">
        <v>103</v>
      </c>
      <c r="D34" s="200">
        <f>VLOOKUP(label,Results,4,FALSE)</f>
        <v>10</v>
      </c>
      <c r="E34" s="146" t="s">
        <v>211</v>
      </c>
      <c r="F34" s="147"/>
      <c r="G34" s="144" t="s">
        <v>215</v>
      </c>
      <c r="S34" s="115" t="s">
        <v>301</v>
      </c>
      <c r="T34">
        <v>0</v>
      </c>
      <c r="U34">
        <v>0</v>
      </c>
      <c r="V34">
        <v>0</v>
      </c>
      <c r="W34">
        <v>0</v>
      </c>
      <c r="AB34" s="115" t="s">
        <v>301</v>
      </c>
      <c r="AC34" s="116">
        <v>1.2600825713986663E-3</v>
      </c>
      <c r="AD34" s="117">
        <v>2.3005854934729308</v>
      </c>
      <c r="AE34" s="116">
        <v>1.0320244362409116E-2</v>
      </c>
      <c r="AF34" s="117">
        <v>2.2520619491649732</v>
      </c>
      <c r="AG34" s="117"/>
      <c r="AH34" t="str">
        <f t="shared" si="0"/>
        <v>1Z</v>
      </c>
      <c r="AI34">
        <f t="shared" si="6"/>
        <v>0</v>
      </c>
      <c r="AJ34" s="227">
        <f t="shared" si="1"/>
        <v>9.9999999999999995E-7</v>
      </c>
      <c r="AK34" s="227">
        <f t="shared" si="2"/>
        <v>0.2</v>
      </c>
      <c r="AL34">
        <f t="shared" si="7"/>
        <v>0</v>
      </c>
      <c r="AM34" s="227">
        <f t="shared" si="3"/>
        <v>1E-3</v>
      </c>
      <c r="AN34" s="227">
        <f t="shared" si="4"/>
        <v>2E-3</v>
      </c>
      <c r="AO34">
        <f t="shared" si="5"/>
        <v>1000</v>
      </c>
      <c r="AP34">
        <f t="shared" si="8"/>
        <v>1</v>
      </c>
      <c r="AQ34" s="227">
        <f t="shared" si="20"/>
        <v>2.0000000000000001E-10</v>
      </c>
      <c r="AR34" s="150">
        <f t="shared" si="21"/>
        <v>0.15871975737114119</v>
      </c>
      <c r="AS34" s="227">
        <f t="shared" si="11"/>
        <v>1.9999999999999999E-6</v>
      </c>
      <c r="AT34" s="150">
        <f t="shared" si="12"/>
        <v>0.19379386085903957</v>
      </c>
      <c r="AU34" s="230">
        <f t="shared" si="13"/>
        <v>2.0000000000000001E-10</v>
      </c>
      <c r="AV34" s="150">
        <f t="shared" si="14"/>
        <v>0.15871975737114119</v>
      </c>
      <c r="AW34" s="230">
        <f t="shared" si="15"/>
        <v>0</v>
      </c>
      <c r="AX34" s="150">
        <f t="shared" si="16"/>
        <v>0</v>
      </c>
    </row>
    <row r="35" spans="1:50">
      <c r="A35" s="48" t="s">
        <v>105</v>
      </c>
      <c r="B35" s="45" t="s">
        <v>106</v>
      </c>
      <c r="E35" s="48" t="s">
        <v>107</v>
      </c>
      <c r="S35" s="115" t="s">
        <v>319</v>
      </c>
      <c r="T35">
        <v>0</v>
      </c>
      <c r="U35">
        <v>5</v>
      </c>
      <c r="V35">
        <v>0</v>
      </c>
      <c r="W35">
        <v>0</v>
      </c>
      <c r="AB35" s="115" t="s">
        <v>319</v>
      </c>
      <c r="AC35" s="116">
        <v>9.4645027362346423E-3</v>
      </c>
      <c r="AD35" s="117">
        <v>2.3083590944567671</v>
      </c>
      <c r="AE35" s="116">
        <v>0.11775059787903941</v>
      </c>
      <c r="AF35" s="117">
        <v>2.099400571484817</v>
      </c>
      <c r="AG35" s="117">
        <f>AC35*VLOOKUP(VLOOKUP(AB35,Results,2,FALSE),multiplier,4,FALSE)/(VLOOKUP(AB35,Results,7,FALSE)*VLOOKUP(VLOOKUP(AB35,Results,2,FALSE),multiplier,7,FALSE))^2*1000000000000</f>
        <v>9.4599129742506136</v>
      </c>
      <c r="AH35" t="str">
        <f t="shared" si="0"/>
        <v>4Z</v>
      </c>
      <c r="AI35">
        <f t="shared" si="6"/>
        <v>-2.5005017500472214E-3</v>
      </c>
      <c r="AJ35" s="227">
        <f t="shared" si="1"/>
        <v>1E-3</v>
      </c>
      <c r="AK35" s="227">
        <f t="shared" si="2"/>
        <v>200</v>
      </c>
      <c r="AL35">
        <f t="shared" si="7"/>
        <v>1000.2425606565399</v>
      </c>
      <c r="AM35" s="227">
        <f t="shared" si="3"/>
        <v>1</v>
      </c>
      <c r="AN35" s="227">
        <f t="shared" si="4"/>
        <v>2</v>
      </c>
      <c r="AO35">
        <f t="shared" si="5"/>
        <v>53</v>
      </c>
      <c r="AP35">
        <f t="shared" si="8"/>
        <v>1</v>
      </c>
      <c r="AQ35" s="227">
        <f t="shared" si="20"/>
        <v>3.9038991049465002E-6</v>
      </c>
      <c r="AR35" s="150">
        <f t="shared" si="21"/>
        <v>0.41247799422155668</v>
      </c>
      <c r="AS35" s="227">
        <f t="shared" si="11"/>
        <v>4.0250334152581446E-2</v>
      </c>
      <c r="AT35" s="150">
        <f t="shared" si="12"/>
        <v>0.34182700451278425</v>
      </c>
      <c r="AU35" s="230">
        <f t="shared" si="13"/>
        <v>3.7385778811597157E-9</v>
      </c>
      <c r="AV35" s="150">
        <f t="shared" si="14"/>
        <v>3.9501049187155412E-4</v>
      </c>
      <c r="AW35" s="230">
        <f t="shared" si="15"/>
        <v>2.0004851213130802E-2</v>
      </c>
      <c r="AX35" s="150">
        <f t="shared" si="16"/>
        <v>0.1698917166746024</v>
      </c>
    </row>
    <row r="36" spans="1:50" ht="15.75">
      <c r="A36" s="50"/>
      <c r="B36" s="45" t="s">
        <v>108</v>
      </c>
      <c r="C36" s="48" t="s">
        <v>109</v>
      </c>
      <c r="D36" s="48" t="s">
        <v>110</v>
      </c>
      <c r="E36" s="48" t="s">
        <v>111</v>
      </c>
      <c r="F36" s="48" t="s">
        <v>112</v>
      </c>
      <c r="K36" s="142" t="s">
        <v>205</v>
      </c>
      <c r="S36" s="115" t="s">
        <v>320</v>
      </c>
      <c r="T36">
        <v>0</v>
      </c>
      <c r="U36">
        <v>5</v>
      </c>
      <c r="V36">
        <v>0</v>
      </c>
      <c r="W36">
        <v>0</v>
      </c>
      <c r="AB36" s="115" t="s">
        <v>320</v>
      </c>
      <c r="AC36" s="116">
        <v>3.5623486814690005E-3</v>
      </c>
      <c r="AD36" s="117">
        <v>2.1210179346639602</v>
      </c>
      <c r="AE36" s="116">
        <v>8.8527037353237456E-2</v>
      </c>
      <c r="AF36" s="117">
        <v>2.1181145322970458</v>
      </c>
      <c r="AG36" s="117">
        <f>AC36*VLOOKUP(VLOOKUP(AB36,Results,2,FALSE),multiplier,4,FALSE)/(VLOOKUP(AB36,Results,7,FALSE)*VLOOKUP(VLOOKUP(AB36,Results,2,FALSE),multiplier,7,FALSE))^2*1000000000000</f>
        <v>3.5606182907698942</v>
      </c>
      <c r="AH36" t="str">
        <f t="shared" si="0"/>
        <v>4Z</v>
      </c>
      <c r="AI36">
        <f t="shared" si="6"/>
        <v>5.0010035000944435E-4</v>
      </c>
      <c r="AJ36" s="227">
        <f t="shared" si="1"/>
        <v>1E-3</v>
      </c>
      <c r="AK36" s="227">
        <f t="shared" si="2"/>
        <v>200</v>
      </c>
      <c r="AL36">
        <f t="shared" si="7"/>
        <v>1000.2429606847594</v>
      </c>
      <c r="AM36" s="227">
        <f t="shared" si="3"/>
        <v>1</v>
      </c>
      <c r="AN36" s="227">
        <f t="shared" si="4"/>
        <v>2</v>
      </c>
      <c r="AO36">
        <f t="shared" si="5"/>
        <v>400</v>
      </c>
      <c r="AP36">
        <f t="shared" si="8"/>
        <v>1</v>
      </c>
      <c r="AQ36" s="227">
        <f t="shared" si="20"/>
        <v>1.1182513046933737E-6</v>
      </c>
      <c r="AR36" s="150">
        <f t="shared" si="21"/>
        <v>0.31390843645104444</v>
      </c>
      <c r="AS36" s="227">
        <f t="shared" si="11"/>
        <v>1.4869272079048992E-2</v>
      </c>
      <c r="AT36" s="150">
        <f t="shared" si="12"/>
        <v>0.16796305991488394</v>
      </c>
      <c r="AU36" s="230">
        <f t="shared" si="13"/>
        <v>5.0700140490013227E-10</v>
      </c>
      <c r="AV36" s="150">
        <f t="shared" si="14"/>
        <v>1.4232222902196671E-4</v>
      </c>
      <c r="AW36" s="230">
        <f t="shared" si="15"/>
        <v>2.000485921369519E-2</v>
      </c>
      <c r="AX36" s="150">
        <f t="shared" si="16"/>
        <v>0.22597457016292669</v>
      </c>
    </row>
    <row r="37" spans="1:50">
      <c r="A37" s="51" t="s">
        <v>137</v>
      </c>
      <c r="B37" s="52">
        <f>10*0.000016*D11</f>
        <v>6.3999999999999994E-3</v>
      </c>
      <c r="C37" s="53">
        <f t="shared" ref="C37:C45" si="22">B37^2</f>
        <v>4.0959999999999994E-5</v>
      </c>
      <c r="D37" s="64" t="s">
        <v>124</v>
      </c>
      <c r="E37" s="55">
        <v>13</v>
      </c>
      <c r="F37" s="53">
        <f t="shared" ref="F37:F45" si="23">B37^4/E37</f>
        <v>1.2905550769230767E-10</v>
      </c>
      <c r="G37" t="s">
        <v>138</v>
      </c>
      <c r="K37" s="144" t="s">
        <v>212</v>
      </c>
      <c r="L37" t="s">
        <v>450</v>
      </c>
      <c r="S37" s="115" t="s">
        <v>321</v>
      </c>
      <c r="T37">
        <v>0</v>
      </c>
      <c r="U37">
        <v>5</v>
      </c>
      <c r="V37">
        <v>0</v>
      </c>
      <c r="W37">
        <v>0</v>
      </c>
      <c r="AB37" s="115" t="s">
        <v>321</v>
      </c>
      <c r="AC37" s="116">
        <v>3.466748359582095E-3</v>
      </c>
      <c r="AD37" s="117">
        <v>2.1455119262647102</v>
      </c>
      <c r="AE37" s="116">
        <v>8.8158990254942532E-2</v>
      </c>
      <c r="AF37" s="117">
        <v>2.1221118878480323</v>
      </c>
      <c r="AG37" s="117">
        <f>AC37*VLOOKUP(VLOOKUP(AB37,Results,2,FALSE),multiplier,4,FALSE)/(VLOOKUP(AB37,Results,7,FALSE)*VLOOKUP(VLOOKUP(AB37,Results,2,FALSE),multiplier,7,FALSE))^2*1000000000000</f>
        <v>3.4650942008074561</v>
      </c>
      <c r="AH37" t="str">
        <f t="shared" ref="AH37:AH59" si="24">VLOOKUP(AB37, Results,2,FALSE)</f>
        <v>4Z</v>
      </c>
      <c r="AI37">
        <f t="shared" si="6"/>
        <v>6.0012042001133322E-4</v>
      </c>
      <c r="AJ37" s="227">
        <f t="shared" ref="AJ37:AJ59" si="25">VLOOKUP(AH37,multiplier,4,FALSE)</f>
        <v>1E-3</v>
      </c>
      <c r="AK37" s="227">
        <f t="shared" ref="AK37:AK59" si="26">VLOOKUP(AH37,multiplier,8,FALSE)</f>
        <v>200</v>
      </c>
      <c r="AL37">
        <f t="shared" si="7"/>
        <v>1000.2386603814008</v>
      </c>
      <c r="AM37" s="227">
        <f t="shared" ref="AM37:AM59" si="27">VLOOKUP(AH37,multiplier,7,FALSE)</f>
        <v>1</v>
      </c>
      <c r="AN37" s="227">
        <f t="shared" ref="AN37:AN59" si="28">VLOOKUP(AH37,multiplier,9,FALSE)</f>
        <v>2</v>
      </c>
      <c r="AO37">
        <f t="shared" ref="AO37:AO59" si="29">VLOOKUP(AB37,Results,9,FALSE)</f>
        <v>1000</v>
      </c>
      <c r="AP37">
        <f t="shared" si="8"/>
        <v>1</v>
      </c>
      <c r="AQ37" s="227">
        <f t="shared" si="20"/>
        <v>1.0200379295850561E-6</v>
      </c>
      <c r="AR37" s="150">
        <f t="shared" si="21"/>
        <v>0.29423477673701653</v>
      </c>
      <c r="AS37" s="227">
        <f t="shared" si="11"/>
        <v>1.4145443295882633E-2</v>
      </c>
      <c r="AT37" s="150">
        <f t="shared" si="12"/>
        <v>0.16045378077693653</v>
      </c>
      <c r="AU37" s="230">
        <f t="shared" si="13"/>
        <v>2.0840168588015867E-10</v>
      </c>
      <c r="AV37" s="150">
        <f t="shared" si="14"/>
        <v>6.0114454313978765E-5</v>
      </c>
      <c r="AW37" s="230">
        <f t="shared" si="15"/>
        <v>2.0004773207628019E-2</v>
      </c>
      <c r="AX37" s="150">
        <f t="shared" si="16"/>
        <v>0.2269169956436346</v>
      </c>
    </row>
    <row r="38" spans="1:50">
      <c r="A38" s="51" t="s">
        <v>115</v>
      </c>
      <c r="B38" s="190">
        <v>10</v>
      </c>
      <c r="C38" s="53">
        <f t="shared" si="22"/>
        <v>100</v>
      </c>
      <c r="D38" s="54">
        <v>50</v>
      </c>
      <c r="E38" s="55">
        <f t="shared" ref="E38:E44" si="30">0.5*(1/(0.01*D38)^2)</f>
        <v>2</v>
      </c>
      <c r="F38" s="53">
        <f t="shared" si="23"/>
        <v>5000</v>
      </c>
      <c r="K38" s="144" t="s">
        <v>213</v>
      </c>
      <c r="S38" s="115" t="s">
        <v>299</v>
      </c>
      <c r="T38">
        <v>0</v>
      </c>
      <c r="U38">
        <v>0</v>
      </c>
      <c r="V38">
        <v>0</v>
      </c>
      <c r="W38">
        <v>0</v>
      </c>
      <c r="AB38" s="115" t="s">
        <v>299</v>
      </c>
      <c r="AC38" s="116">
        <v>9.319726350413015E-3</v>
      </c>
      <c r="AD38" s="117">
        <v>2.4474848500286539</v>
      </c>
      <c r="AE38" s="116">
        <v>9.3189772102435051E-2</v>
      </c>
      <c r="AF38" s="117">
        <v>2.4549187184154593</v>
      </c>
      <c r="AG38" s="117"/>
      <c r="AH38" t="str">
        <f t="shared" si="24"/>
        <v>1Z</v>
      </c>
      <c r="AI38">
        <f t="shared" si="6"/>
        <v>0</v>
      </c>
      <c r="AJ38" s="227">
        <f t="shared" si="25"/>
        <v>9.9999999999999995E-7</v>
      </c>
      <c r="AK38" s="227">
        <f t="shared" si="26"/>
        <v>0.2</v>
      </c>
      <c r="AL38">
        <f t="shared" si="7"/>
        <v>0</v>
      </c>
      <c r="AM38" s="227">
        <f t="shared" si="27"/>
        <v>1E-3</v>
      </c>
      <c r="AN38" s="227">
        <f t="shared" si="28"/>
        <v>2E-3</v>
      </c>
      <c r="AO38">
        <f t="shared" si="29"/>
        <v>53</v>
      </c>
      <c r="AP38">
        <f t="shared" si="8"/>
        <v>1</v>
      </c>
      <c r="AQ38" s="227">
        <f t="shared" si="20"/>
        <v>3.7735849056603775E-9</v>
      </c>
      <c r="AR38" s="150">
        <f t="shared" si="21"/>
        <v>0.40490297287464311</v>
      </c>
      <c r="AS38" s="227">
        <f t="shared" si="11"/>
        <v>3.7735849056603776E-5</v>
      </c>
      <c r="AT38" s="150">
        <f t="shared" si="12"/>
        <v>0.40493552248549536</v>
      </c>
      <c r="AU38" s="230">
        <f t="shared" si="13"/>
        <v>3.7735849056603775E-9</v>
      </c>
      <c r="AV38" s="150">
        <f t="shared" si="14"/>
        <v>0.40490297287464311</v>
      </c>
      <c r="AW38" s="230">
        <f t="shared" si="15"/>
        <v>0</v>
      </c>
      <c r="AX38" s="150">
        <f t="shared" si="16"/>
        <v>0</v>
      </c>
    </row>
    <row r="39" spans="1:50">
      <c r="A39" s="51" t="s">
        <v>113</v>
      </c>
      <c r="B39" s="191">
        <f>2.5*0.000001*D34*10</f>
        <v>2.5000000000000001E-4</v>
      </c>
      <c r="C39" s="53">
        <f t="shared" si="22"/>
        <v>6.2499999999999997E-8</v>
      </c>
      <c r="D39" s="54">
        <v>30</v>
      </c>
      <c r="E39" s="55">
        <f t="shared" si="30"/>
        <v>5.5555555555555554</v>
      </c>
      <c r="F39" s="53">
        <f t="shared" si="23"/>
        <v>7.0312499999999996E-16</v>
      </c>
      <c r="G39" t="s">
        <v>114</v>
      </c>
      <c r="K39" s="143"/>
      <c r="S39" s="115" t="s">
        <v>300</v>
      </c>
      <c r="T39">
        <v>0</v>
      </c>
      <c r="U39">
        <v>0</v>
      </c>
      <c r="V39">
        <v>0</v>
      </c>
      <c r="W39">
        <v>0</v>
      </c>
      <c r="AB39" s="115" t="s">
        <v>300</v>
      </c>
      <c r="AC39" s="116">
        <v>1.55647834698406E-3</v>
      </c>
      <c r="AD39" s="117">
        <v>2.1795056296616311</v>
      </c>
      <c r="AE39" s="116">
        <v>1.4189409186396206E-2</v>
      </c>
      <c r="AF39" s="117">
        <v>2.1894733706359739</v>
      </c>
      <c r="AG39" s="117"/>
      <c r="AH39" t="str">
        <f t="shared" si="24"/>
        <v>1Z</v>
      </c>
      <c r="AI39">
        <f t="shared" si="6"/>
        <v>0</v>
      </c>
      <c r="AJ39" s="227">
        <f t="shared" si="25"/>
        <v>9.9999999999999995E-7</v>
      </c>
      <c r="AK39" s="227">
        <f t="shared" si="26"/>
        <v>0.2</v>
      </c>
      <c r="AL39">
        <f t="shared" si="7"/>
        <v>0</v>
      </c>
      <c r="AM39" s="227">
        <f t="shared" si="27"/>
        <v>1E-3</v>
      </c>
      <c r="AN39" s="227">
        <f t="shared" si="28"/>
        <v>2E-3</v>
      </c>
      <c r="AO39">
        <f t="shared" si="29"/>
        <v>400</v>
      </c>
      <c r="AP39">
        <f t="shared" si="8"/>
        <v>1</v>
      </c>
      <c r="AQ39" s="227">
        <f t="shared" si="20"/>
        <v>5.0000000000000003E-10</v>
      </c>
      <c r="AR39" s="150">
        <f t="shared" si="21"/>
        <v>0.32123800563550059</v>
      </c>
      <c r="AS39" s="227">
        <f t="shared" si="11"/>
        <v>5.0000000000000004E-6</v>
      </c>
      <c r="AT39" s="150">
        <f t="shared" si="12"/>
        <v>0.35237548895225629</v>
      </c>
      <c r="AU39" s="230">
        <f t="shared" si="13"/>
        <v>5.0000000000000003E-10</v>
      </c>
      <c r="AV39" s="150">
        <f t="shared" si="14"/>
        <v>0.32123800563550059</v>
      </c>
      <c r="AW39" s="230">
        <f t="shared" si="15"/>
        <v>0</v>
      </c>
      <c r="AX39" s="150">
        <f t="shared" si="16"/>
        <v>0</v>
      </c>
    </row>
    <row r="40" spans="1:50">
      <c r="A40" s="57" t="s">
        <v>125</v>
      </c>
      <c r="B40" s="194">
        <f>10*2000/(VLOOKUP(label,Results,9,FALSE))</f>
        <v>377.35849056603774</v>
      </c>
      <c r="C40" s="53">
        <f t="shared" si="22"/>
        <v>142399.43040227841</v>
      </c>
      <c r="D40" s="54">
        <v>30</v>
      </c>
      <c r="E40" s="55">
        <f t="shared" si="30"/>
        <v>5.5555555555555554</v>
      </c>
      <c r="F40" s="53">
        <f t="shared" si="23"/>
        <v>3649967600.2007995</v>
      </c>
      <c r="G40" t="s">
        <v>401</v>
      </c>
      <c r="K40" s="143"/>
      <c r="S40" s="115" t="s">
        <v>301</v>
      </c>
      <c r="T40">
        <v>0</v>
      </c>
      <c r="U40">
        <v>0</v>
      </c>
      <c r="V40">
        <v>0</v>
      </c>
      <c r="W40">
        <v>0</v>
      </c>
      <c r="AB40" s="115" t="s">
        <v>301</v>
      </c>
      <c r="AC40" s="116">
        <v>1.2600825713986663E-3</v>
      </c>
      <c r="AD40" s="117">
        <v>2.3005854934729308</v>
      </c>
      <c r="AE40" s="116">
        <v>1.0320244362409116E-2</v>
      </c>
      <c r="AF40" s="117">
        <v>2.2520619491649732</v>
      </c>
      <c r="AG40" s="117"/>
      <c r="AH40" t="str">
        <f t="shared" si="24"/>
        <v>1Z</v>
      </c>
      <c r="AI40">
        <f t="shared" si="6"/>
        <v>0</v>
      </c>
      <c r="AJ40" s="227">
        <f t="shared" si="25"/>
        <v>9.9999999999999995E-7</v>
      </c>
      <c r="AK40" s="227">
        <f t="shared" si="26"/>
        <v>0.2</v>
      </c>
      <c r="AL40">
        <f t="shared" si="7"/>
        <v>0</v>
      </c>
      <c r="AM40" s="227">
        <f t="shared" si="27"/>
        <v>1E-3</v>
      </c>
      <c r="AN40" s="227">
        <f t="shared" si="28"/>
        <v>2E-3</v>
      </c>
      <c r="AO40">
        <f t="shared" si="29"/>
        <v>1000</v>
      </c>
      <c r="AP40">
        <f t="shared" si="8"/>
        <v>1</v>
      </c>
      <c r="AQ40" s="227">
        <f t="shared" si="20"/>
        <v>2.0000000000000001E-10</v>
      </c>
      <c r="AR40" s="150">
        <f t="shared" si="21"/>
        <v>0.15871975737114119</v>
      </c>
      <c r="AS40" s="227">
        <f t="shared" si="11"/>
        <v>1.9999999999999999E-6</v>
      </c>
      <c r="AT40" s="150">
        <f t="shared" si="12"/>
        <v>0.19379386085903957</v>
      </c>
      <c r="AU40" s="230">
        <f t="shared" si="13"/>
        <v>2.0000000000000001E-10</v>
      </c>
      <c r="AV40" s="150">
        <f t="shared" si="14"/>
        <v>0.15871975737114119</v>
      </c>
      <c r="AW40" s="230">
        <f t="shared" si="15"/>
        <v>0</v>
      </c>
      <c r="AX40" s="150">
        <f t="shared" si="16"/>
        <v>0</v>
      </c>
    </row>
    <row r="41" spans="1:50">
      <c r="A41" s="51" t="s">
        <v>117</v>
      </c>
      <c r="B41" s="191">
        <f>17*0.000001*D34</f>
        <v>1.7000000000000001E-4</v>
      </c>
      <c r="C41" s="53">
        <f t="shared" si="22"/>
        <v>2.8900000000000004E-8</v>
      </c>
      <c r="D41" s="54">
        <v>30</v>
      </c>
      <c r="E41" s="55">
        <f t="shared" si="30"/>
        <v>5.5555555555555554</v>
      </c>
      <c r="F41" s="53">
        <f t="shared" si="23"/>
        <v>1.5033780000000004E-16</v>
      </c>
      <c r="G41" t="s">
        <v>166</v>
      </c>
      <c r="K41" s="144" t="s">
        <v>209</v>
      </c>
      <c r="S41" s="115" t="s">
        <v>322</v>
      </c>
      <c r="T41">
        <v>0</v>
      </c>
      <c r="U41">
        <v>5</v>
      </c>
      <c r="V41">
        <v>0</v>
      </c>
      <c r="W41">
        <v>0</v>
      </c>
      <c r="AB41" s="115" t="s">
        <v>322</v>
      </c>
      <c r="AC41" s="116">
        <v>9.4644833412895549E-2</v>
      </c>
      <c r="AD41" s="117">
        <v>2.308367301241768</v>
      </c>
      <c r="AE41" s="116">
        <v>1.1774846862171615</v>
      </c>
      <c r="AF41" s="117">
        <v>2.0994048623960708</v>
      </c>
      <c r="AG41" s="187">
        <f>AC41*VLOOKUP(VLOOKUP(AB41,Results,2,FALSE),multiplier,4,FALSE)/(VLOOKUP(AB41,Results,7,FALSE)*VLOOKUP(VLOOKUP(AB41,Results,2,FALSE),multiplier,7,FALSE))^2*1000000000000</f>
        <v>0.94605557021394571</v>
      </c>
      <c r="AH41" t="str">
        <f t="shared" si="24"/>
        <v>5Z</v>
      </c>
      <c r="AI41">
        <f t="shared" si="6"/>
        <v>-7.7015453901454423E-2</v>
      </c>
      <c r="AJ41" s="227">
        <f t="shared" si="25"/>
        <v>1E-3</v>
      </c>
      <c r="AK41" s="227">
        <f t="shared" si="26"/>
        <v>2000</v>
      </c>
      <c r="AL41">
        <f t="shared" si="7"/>
        <v>10002.075581873418</v>
      </c>
      <c r="AM41" s="227">
        <f t="shared" si="27"/>
        <v>1</v>
      </c>
      <c r="AN41" s="227">
        <f t="shared" si="28"/>
        <v>20</v>
      </c>
      <c r="AO41">
        <f t="shared" si="29"/>
        <v>53</v>
      </c>
      <c r="AP41">
        <f t="shared" si="8"/>
        <v>1</v>
      </c>
      <c r="AQ41" s="227">
        <f t="shared" si="20"/>
        <v>3.9038901382221848E-5</v>
      </c>
      <c r="AR41" s="150">
        <f t="shared" si="21"/>
        <v>0.4124778920779707</v>
      </c>
      <c r="AS41" s="227">
        <f t="shared" si="11"/>
        <v>0.40250163675059991</v>
      </c>
      <c r="AT41" s="150">
        <f t="shared" si="12"/>
        <v>0.34183173799371791</v>
      </c>
      <c r="AU41" s="230">
        <f t="shared" si="13"/>
        <v>2.6953685510400158E-9</v>
      </c>
      <c r="AV41" s="150">
        <f t="shared" si="14"/>
        <v>2.8478771147298213E-5</v>
      </c>
      <c r="AW41" s="230">
        <f t="shared" si="15"/>
        <v>0.20004151163746836</v>
      </c>
      <c r="AX41" s="150">
        <f t="shared" si="16"/>
        <v>0.16988884354847145</v>
      </c>
    </row>
    <row r="42" spans="1:50">
      <c r="A42" s="57" t="s">
        <v>118</v>
      </c>
      <c r="B42" s="192">
        <f>2*0.000001*D34*10</f>
        <v>1.9999999999999998E-4</v>
      </c>
      <c r="C42" s="53">
        <f t="shared" si="22"/>
        <v>3.9999999999999994E-8</v>
      </c>
      <c r="D42" s="54">
        <v>50</v>
      </c>
      <c r="E42" s="55">
        <f t="shared" si="30"/>
        <v>2</v>
      </c>
      <c r="F42" s="53">
        <f t="shared" si="23"/>
        <v>7.9999999999999979E-16</v>
      </c>
      <c r="G42" t="s">
        <v>119</v>
      </c>
      <c r="K42" s="143"/>
      <c r="S42" s="115" t="s">
        <v>323</v>
      </c>
      <c r="T42">
        <v>0</v>
      </c>
      <c r="U42">
        <v>5</v>
      </c>
      <c r="V42">
        <v>0</v>
      </c>
      <c r="W42">
        <v>0</v>
      </c>
      <c r="AB42" s="115" t="s">
        <v>323</v>
      </c>
      <c r="AC42" s="116">
        <v>3.5622250800819731E-2</v>
      </c>
      <c r="AD42" s="117">
        <v>2.1210161472868072</v>
      </c>
      <c r="AE42" s="116">
        <v>0.88523770130030466</v>
      </c>
      <c r="AF42" s="117">
        <v>2.1181141758735209</v>
      </c>
      <c r="AG42" s="187">
        <f>AC42*VLOOKUP(VLOOKUP(AB42,Results,2,FALSE),multiplier,4,FALSE)/(VLOOKUP(AB42,Results,7,FALSE)*VLOOKUP(VLOOKUP(AB42,Results,2,FALSE),multiplier,7,FALSE))^2*1000000000000</f>
        <v>0.35607496505887498</v>
      </c>
      <c r="AH42" t="str">
        <f t="shared" si="24"/>
        <v>5Z</v>
      </c>
      <c r="AI42">
        <f t="shared" si="6"/>
        <v>-6.301264410118998E-2</v>
      </c>
      <c r="AJ42" s="227">
        <f t="shared" si="25"/>
        <v>1E-3</v>
      </c>
      <c r="AK42" s="227">
        <f t="shared" si="26"/>
        <v>2000</v>
      </c>
      <c r="AL42">
        <f t="shared" si="7"/>
        <v>10002.071581591223</v>
      </c>
      <c r="AM42" s="227">
        <f t="shared" si="27"/>
        <v>1</v>
      </c>
      <c r="AN42" s="227">
        <f t="shared" si="28"/>
        <v>20</v>
      </c>
      <c r="AO42">
        <f t="shared" si="29"/>
        <v>400</v>
      </c>
      <c r="AP42">
        <f t="shared" si="8"/>
        <v>1</v>
      </c>
      <c r="AQ42" s="227">
        <f t="shared" si="20"/>
        <v>1.1182192839578067E-5</v>
      </c>
      <c r="AR42" s="150">
        <f t="shared" si="21"/>
        <v>0.31391033941405927</v>
      </c>
      <c r="AS42" s="227">
        <f t="shared" si="11"/>
        <v>0.14868800045957906</v>
      </c>
      <c r="AT42" s="150">
        <f t="shared" si="12"/>
        <v>0.1679639267974859</v>
      </c>
      <c r="AU42" s="230">
        <f t="shared" si="13"/>
        <v>-3.8217701741665961E-10</v>
      </c>
      <c r="AV42" s="150">
        <f t="shared" si="14"/>
        <v>-1.0728603859244768E-5</v>
      </c>
      <c r="AW42" s="230">
        <f t="shared" si="15"/>
        <v>0.20004143163182447</v>
      </c>
      <c r="AX42" s="150">
        <f t="shared" si="16"/>
        <v>0.22597482160778778</v>
      </c>
    </row>
    <row r="43" spans="1:50">
      <c r="A43" s="57" t="s">
        <v>122</v>
      </c>
      <c r="B43" s="192">
        <f>2*0.000001*D34*10</f>
        <v>1.9999999999999998E-4</v>
      </c>
      <c r="C43" s="193">
        <f t="shared" si="22"/>
        <v>3.9999999999999994E-8</v>
      </c>
      <c r="D43" s="54">
        <v>30</v>
      </c>
      <c r="E43" s="55">
        <f t="shared" si="30"/>
        <v>5.5555555555555554</v>
      </c>
      <c r="F43" s="53">
        <f t="shared" si="23"/>
        <v>2.8799999999999995E-16</v>
      </c>
      <c r="G43" t="s">
        <v>139</v>
      </c>
      <c r="K43" s="143"/>
      <c r="S43" s="115" t="s">
        <v>324</v>
      </c>
      <c r="T43">
        <v>0</v>
      </c>
      <c r="U43">
        <v>5</v>
      </c>
      <c r="V43">
        <v>0</v>
      </c>
      <c r="W43">
        <v>0</v>
      </c>
      <c r="AB43" s="115" t="s">
        <v>324</v>
      </c>
      <c r="AC43" s="116">
        <v>3.4666258016031536E-2</v>
      </c>
      <c r="AD43" s="117">
        <v>2.1455113980069549</v>
      </c>
      <c r="AE43" s="116">
        <v>0.88155840911658967</v>
      </c>
      <c r="AF43" s="117">
        <v>2.1221118169566999</v>
      </c>
      <c r="AG43" s="187">
        <f>AC43*VLOOKUP(VLOOKUP(AB43,Results,2,FALSE),multiplier,4,FALSE)/(VLOOKUP(AB43,Results,7,FALSE)*VLOOKUP(VLOOKUP(AB43,Results,2,FALSE),multiplier,7,FALSE))^2*1000000000000</f>
        <v>0.34652121424398524</v>
      </c>
      <c r="AH43" t="str">
        <f t="shared" si="24"/>
        <v>5Z</v>
      </c>
      <c r="AI43">
        <f t="shared" si="6"/>
        <v>-6.1012242701152207E-2</v>
      </c>
      <c r="AJ43" s="227">
        <f t="shared" si="25"/>
        <v>1E-3</v>
      </c>
      <c r="AK43" s="227">
        <f t="shared" si="26"/>
        <v>2000</v>
      </c>
      <c r="AL43">
        <f t="shared" si="7"/>
        <v>10002.03957933367</v>
      </c>
      <c r="AM43" s="227">
        <f t="shared" si="27"/>
        <v>1</v>
      </c>
      <c r="AN43" s="227">
        <f t="shared" si="28"/>
        <v>20</v>
      </c>
      <c r="AO43">
        <f t="shared" si="29"/>
        <v>1000</v>
      </c>
      <c r="AP43">
        <f t="shared" si="8"/>
        <v>1</v>
      </c>
      <c r="AQ43" s="227">
        <f t="shared" si="20"/>
        <v>1.0200039042874593E-5</v>
      </c>
      <c r="AR43" s="150">
        <f t="shared" si="21"/>
        <v>0.29423536391373845</v>
      </c>
      <c r="AS43" s="227">
        <f t="shared" si="11"/>
        <v>0.14144962355393584</v>
      </c>
      <c r="AT43" s="150">
        <f t="shared" si="12"/>
        <v>0.16045405737287743</v>
      </c>
      <c r="AU43" s="230">
        <f t="shared" si="13"/>
        <v>-6.5417139781613095E-10</v>
      </c>
      <c r="AV43" s="150">
        <f t="shared" si="14"/>
        <v>-1.8870551229198345E-5</v>
      </c>
      <c r="AW43" s="230">
        <f t="shared" si="15"/>
        <v>0.20004079158667343</v>
      </c>
      <c r="AX43" s="150">
        <f t="shared" si="16"/>
        <v>0.22691722921358604</v>
      </c>
    </row>
    <row r="44" spans="1:50">
      <c r="B44" s="56">
        <v>0</v>
      </c>
      <c r="C44" s="53">
        <f t="shared" si="22"/>
        <v>0</v>
      </c>
      <c r="D44" s="54">
        <v>50</v>
      </c>
      <c r="E44" s="55">
        <f t="shared" si="30"/>
        <v>2</v>
      </c>
      <c r="F44" s="53">
        <f t="shared" si="23"/>
        <v>0</v>
      </c>
      <c r="K44" s="144" t="s">
        <v>214</v>
      </c>
      <c r="S44" s="115" t="s">
        <v>299</v>
      </c>
      <c r="T44">
        <v>0</v>
      </c>
      <c r="U44">
        <v>0</v>
      </c>
      <c r="V44">
        <v>0</v>
      </c>
      <c r="W44">
        <v>0</v>
      </c>
      <c r="AB44" s="115" t="s">
        <v>299</v>
      </c>
      <c r="AC44" s="116">
        <v>9.319726350413015E-3</v>
      </c>
      <c r="AD44" s="117">
        <v>2.4474848500286539</v>
      </c>
      <c r="AE44" s="116">
        <v>9.3189772102435051E-2</v>
      </c>
      <c r="AF44" s="117">
        <v>2.4549187184154593</v>
      </c>
      <c r="AG44" s="117"/>
      <c r="AH44" t="str">
        <f t="shared" si="24"/>
        <v>1Z</v>
      </c>
      <c r="AI44">
        <f t="shared" si="6"/>
        <v>0</v>
      </c>
      <c r="AJ44" s="227">
        <f t="shared" si="25"/>
        <v>9.9999999999999995E-7</v>
      </c>
      <c r="AK44" s="227">
        <f t="shared" si="26"/>
        <v>0.2</v>
      </c>
      <c r="AL44">
        <f t="shared" si="7"/>
        <v>0</v>
      </c>
      <c r="AM44" s="227">
        <f t="shared" si="27"/>
        <v>1E-3</v>
      </c>
      <c r="AN44" s="227">
        <f t="shared" si="28"/>
        <v>2E-3</v>
      </c>
      <c r="AO44">
        <f t="shared" si="29"/>
        <v>53</v>
      </c>
      <c r="AP44">
        <f t="shared" si="8"/>
        <v>1</v>
      </c>
      <c r="AQ44" s="227">
        <f t="shared" si="20"/>
        <v>3.7735849056603775E-9</v>
      </c>
      <c r="AR44" s="150">
        <f t="shared" si="21"/>
        <v>0.40490297287464311</v>
      </c>
      <c r="AS44" s="227">
        <f t="shared" si="11"/>
        <v>3.7735849056603776E-5</v>
      </c>
      <c r="AT44" s="150">
        <f t="shared" si="12"/>
        <v>0.40493552248549536</v>
      </c>
      <c r="AU44" s="230">
        <f t="shared" si="13"/>
        <v>3.7735849056603775E-9</v>
      </c>
      <c r="AV44" s="150">
        <f t="shared" si="14"/>
        <v>0.40490297287464311</v>
      </c>
      <c r="AW44" s="230">
        <f t="shared" si="15"/>
        <v>0</v>
      </c>
      <c r="AX44" s="150">
        <f t="shared" si="16"/>
        <v>0</v>
      </c>
    </row>
    <row r="45" spans="1:50">
      <c r="A45" s="57"/>
      <c r="B45" s="56">
        <v>0</v>
      </c>
      <c r="C45" s="53">
        <f t="shared" si="22"/>
        <v>0</v>
      </c>
      <c r="D45" s="54">
        <v>1</v>
      </c>
      <c r="E45" s="55">
        <f>0.5*(1/(0.01*D45)^2)</f>
        <v>5000</v>
      </c>
      <c r="F45" s="53">
        <f t="shared" si="23"/>
        <v>0</v>
      </c>
      <c r="S45" s="115" t="s">
        <v>300</v>
      </c>
      <c r="T45">
        <v>0</v>
      </c>
      <c r="U45">
        <v>0</v>
      </c>
      <c r="V45">
        <v>0</v>
      </c>
      <c r="W45">
        <v>0</v>
      </c>
      <c r="AB45" s="115" t="s">
        <v>300</v>
      </c>
      <c r="AC45" s="116">
        <v>1.55647834698406E-3</v>
      </c>
      <c r="AD45" s="117">
        <v>2.1795056296616311</v>
      </c>
      <c r="AE45" s="116">
        <v>1.4189409186396206E-2</v>
      </c>
      <c r="AF45" s="117">
        <v>2.1894733706359739</v>
      </c>
      <c r="AG45" s="117"/>
      <c r="AH45" t="str">
        <f t="shared" si="24"/>
        <v>1Z</v>
      </c>
      <c r="AI45">
        <f t="shared" si="6"/>
        <v>0</v>
      </c>
      <c r="AJ45" s="227">
        <f t="shared" si="25"/>
        <v>9.9999999999999995E-7</v>
      </c>
      <c r="AK45" s="227">
        <f t="shared" si="26"/>
        <v>0.2</v>
      </c>
      <c r="AL45">
        <f t="shared" si="7"/>
        <v>0</v>
      </c>
      <c r="AM45" s="227">
        <f t="shared" si="27"/>
        <v>1E-3</v>
      </c>
      <c r="AN45" s="227">
        <f t="shared" si="28"/>
        <v>2E-3</v>
      </c>
      <c r="AO45">
        <f t="shared" si="29"/>
        <v>400</v>
      </c>
      <c r="AP45">
        <f t="shared" si="8"/>
        <v>1</v>
      </c>
      <c r="AQ45" s="227">
        <f t="shared" si="20"/>
        <v>5.0000000000000003E-10</v>
      </c>
      <c r="AR45" s="150">
        <f t="shared" si="21"/>
        <v>0.32123800563550059</v>
      </c>
      <c r="AS45" s="227">
        <f t="shared" si="11"/>
        <v>5.0000000000000004E-6</v>
      </c>
      <c r="AT45" s="150">
        <f t="shared" si="12"/>
        <v>0.35237548895225629</v>
      </c>
      <c r="AU45" s="230">
        <f t="shared" si="13"/>
        <v>5.0000000000000003E-10</v>
      </c>
      <c r="AV45" s="150">
        <f t="shared" si="14"/>
        <v>0.32123800563550059</v>
      </c>
      <c r="AW45" s="230">
        <f t="shared" si="15"/>
        <v>0</v>
      </c>
      <c r="AX45" s="150">
        <f t="shared" si="16"/>
        <v>0</v>
      </c>
    </row>
    <row r="46" spans="1:50" ht="13.5" thickBot="1">
      <c r="B46" s="59" t="s">
        <v>127</v>
      </c>
      <c r="C46" s="316">
        <f>SUM(C37:C45)</f>
        <v>142499.43044340977</v>
      </c>
      <c r="E46" s="27" t="s">
        <v>128</v>
      </c>
      <c r="F46" s="193">
        <f>SUM(F37:F45)</f>
        <v>3649972600.2007995</v>
      </c>
      <c r="S46" s="115" t="s">
        <v>301</v>
      </c>
      <c r="T46">
        <v>0</v>
      </c>
      <c r="U46">
        <v>0</v>
      </c>
      <c r="V46">
        <v>0</v>
      </c>
      <c r="W46">
        <v>0</v>
      </c>
      <c r="AB46" s="115" t="s">
        <v>301</v>
      </c>
      <c r="AC46" s="116">
        <v>1.2600825713986663E-3</v>
      </c>
      <c r="AD46" s="117">
        <v>2.3005854934729308</v>
      </c>
      <c r="AE46" s="116">
        <v>1.0320244362409116E-2</v>
      </c>
      <c r="AF46" s="117">
        <v>2.2520619491649732</v>
      </c>
      <c r="AG46" s="117"/>
      <c r="AH46" t="str">
        <f t="shared" si="24"/>
        <v>1Z</v>
      </c>
      <c r="AI46">
        <f t="shared" si="6"/>
        <v>0</v>
      </c>
      <c r="AJ46" s="227">
        <f t="shared" si="25"/>
        <v>9.9999999999999995E-7</v>
      </c>
      <c r="AK46" s="227">
        <f t="shared" si="26"/>
        <v>0.2</v>
      </c>
      <c r="AL46">
        <f t="shared" si="7"/>
        <v>0</v>
      </c>
      <c r="AM46" s="227">
        <f t="shared" si="27"/>
        <v>1E-3</v>
      </c>
      <c r="AN46" s="227">
        <f t="shared" si="28"/>
        <v>2E-3</v>
      </c>
      <c r="AO46">
        <f t="shared" si="29"/>
        <v>1000</v>
      </c>
      <c r="AP46">
        <f t="shared" si="8"/>
        <v>1</v>
      </c>
      <c r="AQ46" s="227">
        <f t="shared" si="20"/>
        <v>2.0000000000000001E-10</v>
      </c>
      <c r="AR46" s="150">
        <f t="shared" si="21"/>
        <v>0.15871975737114119</v>
      </c>
      <c r="AS46" s="227">
        <f t="shared" si="11"/>
        <v>1.9999999999999999E-6</v>
      </c>
      <c r="AT46" s="150">
        <f t="shared" si="12"/>
        <v>0.19379386085903957</v>
      </c>
      <c r="AU46" s="230">
        <f t="shared" si="13"/>
        <v>2.0000000000000001E-10</v>
      </c>
      <c r="AV46" s="150">
        <f t="shared" si="14"/>
        <v>0.15871975737114119</v>
      </c>
      <c r="AW46" s="230">
        <f t="shared" si="15"/>
        <v>0</v>
      </c>
      <c r="AX46" s="150">
        <f t="shared" si="16"/>
        <v>0</v>
      </c>
    </row>
    <row r="47" spans="1:50">
      <c r="B47" s="59" t="s">
        <v>129</v>
      </c>
      <c r="C47" s="318">
        <f>SQRT(C46)</f>
        <v>377.49096736665075</v>
      </c>
      <c r="E47" s="60" t="s">
        <v>130</v>
      </c>
      <c r="F47" s="196">
        <f>R_standard_uncertainty^4/F46</f>
        <v>5.5633534551955428</v>
      </c>
      <c r="S47" s="115" t="s">
        <v>325</v>
      </c>
      <c r="T47">
        <v>0</v>
      </c>
      <c r="U47">
        <v>5</v>
      </c>
      <c r="V47">
        <v>0</v>
      </c>
      <c r="W47">
        <v>0</v>
      </c>
      <c r="AB47" s="115" t="s">
        <v>325</v>
      </c>
      <c r="AC47" s="116">
        <v>9.4645551018672524E-4</v>
      </c>
      <c r="AD47" s="117">
        <v>2.3083369154489493</v>
      </c>
      <c r="AE47" s="116">
        <v>1.1775632861907534E-2</v>
      </c>
      <c r="AF47" s="117">
        <v>2.0993890156057242</v>
      </c>
      <c r="AG47" s="188">
        <f>AC47*VLOOKUP(VLOOKUP(AB47,Results,2,FALSE),multiplier,4,FALSE)/(VLOOKUP(AB47,Results,7,FALSE)*VLOOKUP(VLOOKUP(AB47,Results,2,FALSE),multiplier,7,FALSE))^2*1000000000000</f>
        <v>9.459308818911194E-2</v>
      </c>
      <c r="AH47" t="str">
        <f t="shared" si="24"/>
        <v>6Z</v>
      </c>
      <c r="AI47">
        <f t="shared" si="6"/>
        <v>-8.1011074257094483E-3</v>
      </c>
      <c r="AJ47" s="227">
        <f t="shared" si="25"/>
        <v>1</v>
      </c>
      <c r="AK47" s="227">
        <f t="shared" si="26"/>
        <v>20000</v>
      </c>
      <c r="AL47">
        <f t="shared" si="7"/>
        <v>100.02772695045779</v>
      </c>
      <c r="AM47" s="227">
        <f t="shared" si="27"/>
        <v>1000</v>
      </c>
      <c r="AN47" s="227">
        <f t="shared" si="28"/>
        <v>200</v>
      </c>
      <c r="AO47">
        <f t="shared" si="29"/>
        <v>53</v>
      </c>
      <c r="AP47">
        <f t="shared" si="8"/>
        <v>1</v>
      </c>
      <c r="AQ47" s="227">
        <f t="shared" si="20"/>
        <v>3.9039081626522708E-4</v>
      </c>
      <c r="AR47" s="150">
        <f t="shared" si="21"/>
        <v>0.41247666907048519</v>
      </c>
      <c r="AS47" s="227">
        <f t="shared" si="11"/>
        <v>4.0250504026219129</v>
      </c>
      <c r="AT47" s="150">
        <f t="shared" si="12"/>
        <v>0.34181181171522151</v>
      </c>
      <c r="AU47" s="230">
        <f t="shared" si="13"/>
        <v>-1.096419190542719E-7</v>
      </c>
      <c r="AV47" s="150">
        <f t="shared" si="14"/>
        <v>-1.1584476805744494E-4</v>
      </c>
      <c r="AW47" s="230">
        <f t="shared" si="15"/>
        <v>2.0005545390091557</v>
      </c>
      <c r="AX47" s="150">
        <f t="shared" si="16"/>
        <v>0.16988934373800493</v>
      </c>
    </row>
    <row r="48" spans="1:50">
      <c r="B48" s="34"/>
      <c r="E48" s="61" t="s">
        <v>94</v>
      </c>
      <c r="F48" s="197">
        <f>$G$3+$G$4/F47+$G$5/F47^2+$G$6/F47^3</f>
        <v>2.4687250836545642</v>
      </c>
      <c r="S48" s="115" t="s">
        <v>326</v>
      </c>
      <c r="T48">
        <v>0</v>
      </c>
      <c r="U48">
        <v>5</v>
      </c>
      <c r="V48">
        <v>0</v>
      </c>
      <c r="W48">
        <v>0</v>
      </c>
      <c r="AB48" s="115" t="s">
        <v>326</v>
      </c>
      <c r="AC48" s="116">
        <v>3.5626646729002969E-4</v>
      </c>
      <c r="AD48" s="117">
        <v>2.1210222502976253</v>
      </c>
      <c r="AE48" s="116">
        <v>8.8535370190378545E-3</v>
      </c>
      <c r="AF48" s="117">
        <v>2.1181154108355384</v>
      </c>
      <c r="AG48" s="188">
        <f>AC48*VLOOKUP(VLOOKUP(AB48,Results,2,FALSE),multiplier,4,FALSE)/(VLOOKUP(AB48,Results,7,FALSE)*VLOOKUP(VLOOKUP(AB48,Results,2,FALSE),multiplier,7,FALSE))^2*1000000000000</f>
        <v>3.5607133520440634E-2</v>
      </c>
      <c r="AH48" t="str">
        <f t="shared" si="24"/>
        <v>6Z</v>
      </c>
      <c r="AI48">
        <f t="shared" si="6"/>
        <v>-7.7710623083657292E-3</v>
      </c>
      <c r="AJ48" s="227">
        <f t="shared" si="25"/>
        <v>1</v>
      </c>
      <c r="AK48" s="227">
        <f t="shared" si="26"/>
        <v>20000</v>
      </c>
      <c r="AL48">
        <f t="shared" si="7"/>
        <v>100.02739694829044</v>
      </c>
      <c r="AM48" s="227">
        <f t="shared" si="27"/>
        <v>1000</v>
      </c>
      <c r="AN48" s="227">
        <f t="shared" si="28"/>
        <v>200</v>
      </c>
      <c r="AO48">
        <f t="shared" si="29"/>
        <v>400</v>
      </c>
      <c r="AP48">
        <f t="shared" si="8"/>
        <v>1</v>
      </c>
      <c r="AQ48" s="227">
        <f t="shared" si="20"/>
        <v>1.118279570437335E-4</v>
      </c>
      <c r="AR48" s="150">
        <f t="shared" si="21"/>
        <v>0.3138885281412031</v>
      </c>
      <c r="AS48" s="227">
        <f t="shared" si="11"/>
        <v>1.4869682953524139</v>
      </c>
      <c r="AT48" s="150">
        <f t="shared" si="12"/>
        <v>0.16795189223865786</v>
      </c>
      <c r="AU48" s="230">
        <f t="shared" si="13"/>
        <v>-1.0829487231712021E-7</v>
      </c>
      <c r="AV48" s="150">
        <f t="shared" si="14"/>
        <v>-3.0397155573151213E-4</v>
      </c>
      <c r="AW48" s="230">
        <f t="shared" si="15"/>
        <v>2.0005479389658092</v>
      </c>
      <c r="AX48" s="150">
        <f t="shared" si="16"/>
        <v>0.22596030656041868</v>
      </c>
    </row>
    <row r="49" spans="1:50" ht="13.5" thickBot="1">
      <c r="A49" s="27" t="s">
        <v>131</v>
      </c>
      <c r="B49" s="34"/>
      <c r="E49" s="62" t="s">
        <v>132</v>
      </c>
      <c r="F49" s="198">
        <f>F48*R_standard_uncertainty</f>
        <v>931.9214199910773</v>
      </c>
      <c r="S49" s="115" t="s">
        <v>327</v>
      </c>
      <c r="T49">
        <v>0</v>
      </c>
      <c r="U49">
        <v>5</v>
      </c>
      <c r="V49">
        <v>0</v>
      </c>
      <c r="W49">
        <v>0</v>
      </c>
      <c r="AB49" s="115" t="s">
        <v>327</v>
      </c>
      <c r="AC49" s="116">
        <v>3.4670507792476169E-4</v>
      </c>
      <c r="AD49" s="117">
        <v>2.1455129294813182</v>
      </c>
      <c r="AE49" s="116">
        <v>8.8166743112247491E-3</v>
      </c>
      <c r="AF49" s="117">
        <v>2.1221120317333484</v>
      </c>
      <c r="AG49" s="188">
        <f>AC49*VLOOKUP(VLOOKUP(AB49,Results,2,FALSE),multiplier,4,FALSE)/(VLOOKUP(AB49,Results,7,FALSE)*VLOOKUP(VLOOKUP(AB49,Results,2,FALSE),multiplier,7,FALSE))^2*1000000000000</f>
        <v>3.4652301202699819E-2</v>
      </c>
      <c r="AH49" t="str">
        <f t="shared" si="24"/>
        <v>6Z</v>
      </c>
      <c r="AI49">
        <f t="shared" si="6"/>
        <v>-7.681050003635624E-3</v>
      </c>
      <c r="AJ49" s="227">
        <f t="shared" si="25"/>
        <v>1</v>
      </c>
      <c r="AK49" s="227">
        <f t="shared" si="26"/>
        <v>20000</v>
      </c>
      <c r="AL49">
        <f t="shared" si="7"/>
        <v>100.02626694086891</v>
      </c>
      <c r="AM49" s="227">
        <f t="shared" si="27"/>
        <v>1000</v>
      </c>
      <c r="AN49" s="227">
        <f t="shared" si="28"/>
        <v>200</v>
      </c>
      <c r="AO49">
        <f t="shared" si="29"/>
        <v>1000</v>
      </c>
      <c r="AP49">
        <f t="shared" si="8"/>
        <v>1</v>
      </c>
      <c r="AQ49" s="227">
        <f t="shared" si="20"/>
        <v>1.0200620393798447E-4</v>
      </c>
      <c r="AR49" s="150">
        <f t="shared" si="21"/>
        <v>0.2942160655637146</v>
      </c>
      <c r="AS49" s="227">
        <f t="shared" si="11"/>
        <v>1.4145778130940625</v>
      </c>
      <c r="AT49" s="150">
        <f t="shared" si="12"/>
        <v>0.16044346917670813</v>
      </c>
      <c r="AU49" s="230">
        <f t="shared" si="13"/>
        <v>-1.0733470005089872E-7</v>
      </c>
      <c r="AV49" s="150">
        <f t="shared" si="14"/>
        <v>-3.0958502452101778E-4</v>
      </c>
      <c r="AW49" s="230">
        <f t="shared" si="15"/>
        <v>2.0005253388173783</v>
      </c>
      <c r="AX49" s="150">
        <f t="shared" si="16"/>
        <v>0.22690248819449468</v>
      </c>
    </row>
    <row r="50" spans="1:50">
      <c r="A50" s="29" t="s">
        <v>140</v>
      </c>
      <c r="B50" s="34"/>
      <c r="S50" s="115" t="s">
        <v>328</v>
      </c>
      <c r="T50">
        <v>0</v>
      </c>
      <c r="U50">
        <v>0</v>
      </c>
      <c r="V50">
        <v>0</v>
      </c>
      <c r="W50">
        <v>0</v>
      </c>
      <c r="AB50" s="115" t="s">
        <v>328</v>
      </c>
      <c r="AC50" s="116">
        <v>3.5234141974007613E-4</v>
      </c>
      <c r="AD50" s="117">
        <v>2.2010593993891501</v>
      </c>
      <c r="AE50" s="116">
        <v>3.755774001663869E-3</v>
      </c>
      <c r="AF50" s="117">
        <v>2.3462134179536989</v>
      </c>
      <c r="AG50" s="117"/>
      <c r="AH50" t="str">
        <f t="shared" si="24"/>
        <v>4Z</v>
      </c>
      <c r="AI50">
        <f t="shared" si="6"/>
        <v>0</v>
      </c>
      <c r="AJ50" s="227">
        <f t="shared" si="25"/>
        <v>1E-3</v>
      </c>
      <c r="AK50" s="227">
        <f t="shared" si="26"/>
        <v>200</v>
      </c>
      <c r="AL50">
        <f t="shared" si="7"/>
        <v>0</v>
      </c>
      <c r="AM50" s="227">
        <f t="shared" si="27"/>
        <v>1</v>
      </c>
      <c r="AN50" s="227">
        <f t="shared" si="28"/>
        <v>2</v>
      </c>
      <c r="AO50">
        <f t="shared" si="29"/>
        <v>1600</v>
      </c>
      <c r="AP50">
        <f t="shared" si="8"/>
        <v>1</v>
      </c>
      <c r="AQ50" s="227">
        <f t="shared" si="20"/>
        <v>1.2499999999999999E-7</v>
      </c>
      <c r="AR50" s="150">
        <f t="shared" si="21"/>
        <v>0.35476953033853659</v>
      </c>
      <c r="AS50" s="227">
        <f t="shared" si="11"/>
        <v>1.25E-3</v>
      </c>
      <c r="AT50" s="150">
        <f t="shared" si="12"/>
        <v>0.3328208777861047</v>
      </c>
      <c r="AU50" s="230">
        <f t="shared" si="13"/>
        <v>1.2500000000000001E-10</v>
      </c>
      <c r="AV50" s="150">
        <f t="shared" si="14"/>
        <v>3.547695303385366E-4</v>
      </c>
      <c r="AW50" s="230">
        <f t="shared" si="15"/>
        <v>0</v>
      </c>
      <c r="AX50" s="150">
        <f t="shared" si="16"/>
        <v>0</v>
      </c>
    </row>
    <row r="51" spans="1:50">
      <c r="A51" t="s">
        <v>165</v>
      </c>
      <c r="B51" s="34"/>
      <c r="E51" s="29"/>
      <c r="F51" s="63"/>
      <c r="S51" s="115" t="s">
        <v>329</v>
      </c>
      <c r="T51">
        <v>0</v>
      </c>
      <c r="U51">
        <v>5</v>
      </c>
      <c r="V51">
        <f>V53</f>
        <v>315.31513488614286</v>
      </c>
      <c r="W51">
        <f>0.1*V51</f>
        <v>31.531513488614287</v>
      </c>
      <c r="AB51" s="115" t="s">
        <v>329</v>
      </c>
      <c r="AC51" s="116">
        <v>2.1961169679918647E-3</v>
      </c>
      <c r="AD51" s="117">
        <v>2.143328365816437</v>
      </c>
      <c r="AE51" s="116">
        <v>5.5762394524713502E-2</v>
      </c>
      <c r="AF51" s="117">
        <v>2.1218344508292781</v>
      </c>
      <c r="AG51" s="117"/>
      <c r="AH51" t="str">
        <f t="shared" si="24"/>
        <v>4Z</v>
      </c>
      <c r="AI51">
        <f t="shared" si="6"/>
        <v>0.10022011014189265</v>
      </c>
      <c r="AJ51" s="227">
        <f t="shared" si="25"/>
        <v>1E-3</v>
      </c>
      <c r="AK51" s="227">
        <f t="shared" si="26"/>
        <v>200</v>
      </c>
      <c r="AL51">
        <f t="shared" si="7"/>
        <v>632.49641853984906</v>
      </c>
      <c r="AM51" s="227">
        <f t="shared" si="27"/>
        <v>1</v>
      </c>
      <c r="AN51" s="227">
        <f t="shared" si="28"/>
        <v>2</v>
      </c>
      <c r="AO51">
        <f t="shared" si="29"/>
        <v>1600</v>
      </c>
      <c r="AP51">
        <f t="shared" si="8"/>
        <v>1</v>
      </c>
      <c r="AQ51" s="227">
        <f t="shared" si="20"/>
        <v>6.4473148527394667E-7</v>
      </c>
      <c r="AR51" s="150">
        <f t="shared" si="21"/>
        <v>0.2935779353608341</v>
      </c>
      <c r="AS51" s="227">
        <f t="shared" si="11"/>
        <v>8.9427477575960423E-3</v>
      </c>
      <c r="AT51" s="150">
        <f t="shared" si="12"/>
        <v>0.16037237700817672</v>
      </c>
      <c r="AU51" s="230">
        <f t="shared" si="13"/>
        <v>1.528081541986497E-9</v>
      </c>
      <c r="AV51" s="150">
        <f t="shared" si="14"/>
        <v>6.9581063497896421E-4</v>
      </c>
      <c r="AW51" s="230">
        <f t="shared" si="15"/>
        <v>1.2649928370796983E-2</v>
      </c>
      <c r="AX51" s="150">
        <f t="shared" si="16"/>
        <v>0.22685410981034224</v>
      </c>
    </row>
    <row r="52" spans="1:50">
      <c r="B52" s="34"/>
      <c r="S52" s="115" t="s">
        <v>328</v>
      </c>
      <c r="T52">
        <v>0</v>
      </c>
      <c r="U52">
        <v>0</v>
      </c>
      <c r="V52">
        <v>0</v>
      </c>
      <c r="W52">
        <v>0</v>
      </c>
      <c r="AB52" s="115" t="s">
        <v>328</v>
      </c>
      <c r="AC52" s="116">
        <v>3.5234141974007613E-4</v>
      </c>
      <c r="AD52" s="117">
        <v>2.2010593993891501</v>
      </c>
      <c r="AE52" s="116">
        <v>3.755774001663869E-3</v>
      </c>
      <c r="AF52" s="117">
        <v>2.3462134179536989</v>
      </c>
      <c r="AG52" s="117"/>
      <c r="AH52" t="str">
        <f t="shared" si="24"/>
        <v>4Z</v>
      </c>
      <c r="AI52">
        <f t="shared" si="6"/>
        <v>0</v>
      </c>
      <c r="AJ52" s="227">
        <f t="shared" si="25"/>
        <v>1E-3</v>
      </c>
      <c r="AK52" s="227">
        <f t="shared" si="26"/>
        <v>200</v>
      </c>
      <c r="AL52">
        <f t="shared" si="7"/>
        <v>0</v>
      </c>
      <c r="AM52" s="227">
        <f t="shared" si="27"/>
        <v>1</v>
      </c>
      <c r="AN52" s="227">
        <f t="shared" si="28"/>
        <v>2</v>
      </c>
      <c r="AO52">
        <f t="shared" si="29"/>
        <v>1600</v>
      </c>
      <c r="AP52">
        <f t="shared" si="8"/>
        <v>1</v>
      </c>
      <c r="AQ52" s="227">
        <f t="shared" si="20"/>
        <v>1.2499999999999999E-7</v>
      </c>
      <c r="AR52" s="150">
        <f t="shared" si="21"/>
        <v>0.35476953033853659</v>
      </c>
      <c r="AS52" s="227">
        <f t="shared" si="11"/>
        <v>1.25E-3</v>
      </c>
      <c r="AT52" s="150">
        <f t="shared" si="12"/>
        <v>0.3328208777861047</v>
      </c>
      <c r="AU52" s="230">
        <f t="shared" si="13"/>
        <v>1.2500000000000001E-10</v>
      </c>
      <c r="AV52" s="150">
        <f t="shared" si="14"/>
        <v>3.547695303385366E-4</v>
      </c>
      <c r="AW52" s="230">
        <f t="shared" si="15"/>
        <v>0</v>
      </c>
      <c r="AX52" s="150">
        <f t="shared" si="16"/>
        <v>0</v>
      </c>
    </row>
    <row r="53" spans="1:50">
      <c r="S53" s="115" t="s">
        <v>330</v>
      </c>
      <c r="T53">
        <v>0</v>
      </c>
      <c r="U53">
        <v>5</v>
      </c>
      <c r="V53">
        <f>Results!H66</f>
        <v>315.31513488614286</v>
      </c>
      <c r="W53">
        <f>0.1*V53</f>
        <v>31.531513488614287</v>
      </c>
      <c r="AB53" s="115" t="s">
        <v>330</v>
      </c>
      <c r="AC53" s="116">
        <v>3.9143538865520897E-2</v>
      </c>
      <c r="AD53" s="117">
        <v>2.3982350656382971</v>
      </c>
      <c r="AE53" s="116">
        <v>0.1806645265998528</v>
      </c>
      <c r="AF53" s="117">
        <v>2.1009352643614219</v>
      </c>
      <c r="AG53" s="117"/>
      <c r="AH53" t="str">
        <f t="shared" si="24"/>
        <v>5Z</v>
      </c>
      <c r="AI53">
        <f t="shared" si="6"/>
        <v>99.883042505986282</v>
      </c>
      <c r="AJ53" s="227">
        <f t="shared" si="25"/>
        <v>1E-3</v>
      </c>
      <c r="AK53" s="227">
        <f t="shared" si="26"/>
        <v>2000</v>
      </c>
      <c r="AL53">
        <f t="shared" si="7"/>
        <v>2000.4741205370462</v>
      </c>
      <c r="AM53" s="227">
        <f t="shared" si="27"/>
        <v>1</v>
      </c>
      <c r="AN53" s="227">
        <f t="shared" si="28"/>
        <v>20</v>
      </c>
      <c r="AO53">
        <f t="shared" si="29"/>
        <v>1600</v>
      </c>
      <c r="AP53">
        <f t="shared" si="8"/>
        <v>1</v>
      </c>
      <c r="AQ53" s="227">
        <f t="shared" si="20"/>
        <v>2.7422280456351529E-6</v>
      </c>
      <c r="AR53" s="150">
        <f t="shared" si="21"/>
        <v>7.0055700764720855E-2</v>
      </c>
      <c r="AS53" s="227">
        <f t="shared" si="11"/>
        <v>3.2255045750432074E-2</v>
      </c>
      <c r="AT53" s="150">
        <f t="shared" si="12"/>
        <v>0.17853557838652293</v>
      </c>
      <c r="AU53" s="230">
        <f t="shared" si="13"/>
        <v>1.3984875950838078E-6</v>
      </c>
      <c r="AV53" s="150">
        <f t="shared" si="14"/>
        <v>3.5727163041858953E-2</v>
      </c>
      <c r="AW53" s="230">
        <f t="shared" si="15"/>
        <v>4.0009482410740926E-2</v>
      </c>
      <c r="AX53" s="150">
        <f t="shared" si="16"/>
        <v>0.22145732293842307</v>
      </c>
    </row>
    <row r="54" spans="1:50" ht="15.75">
      <c r="A54" s="40" t="s">
        <v>353</v>
      </c>
      <c r="B54" s="41"/>
      <c r="C54" s="42"/>
      <c r="D54" s="43"/>
      <c r="F54" s="29" t="s">
        <v>101</v>
      </c>
      <c r="I54" s="189"/>
      <c r="S54" s="115" t="s">
        <v>331</v>
      </c>
      <c r="T54">
        <v>0</v>
      </c>
      <c r="U54">
        <v>0</v>
      </c>
      <c r="V54">
        <v>0</v>
      </c>
      <c r="W54">
        <v>0</v>
      </c>
      <c r="AB54" s="115" t="s">
        <v>331</v>
      </c>
      <c r="AC54" s="116">
        <v>9.3192121073023496E-3</v>
      </c>
      <c r="AD54" s="117">
        <v>2.4687245294104456</v>
      </c>
      <c r="AE54" s="116">
        <v>9.3192141999251271E-2</v>
      </c>
      <c r="AF54" s="117">
        <v>2.4687250838135939</v>
      </c>
      <c r="AG54" s="117"/>
      <c r="AH54" t="str">
        <f t="shared" si="24"/>
        <v>7Y</v>
      </c>
      <c r="AI54">
        <f t="shared" si="6"/>
        <v>0</v>
      </c>
      <c r="AJ54" s="227">
        <f t="shared" si="25"/>
        <v>9.9999999999999998E-13</v>
      </c>
      <c r="AK54" s="227">
        <f t="shared" si="26"/>
        <v>0</v>
      </c>
      <c r="AL54">
        <f t="shared" si="7"/>
        <v>0</v>
      </c>
      <c r="AM54" s="227">
        <f t="shared" si="27"/>
        <v>1.0000000000000001E-9</v>
      </c>
      <c r="AN54" s="227">
        <f t="shared" si="28"/>
        <v>0</v>
      </c>
      <c r="AO54">
        <f t="shared" si="29"/>
        <v>53</v>
      </c>
      <c r="AP54">
        <f t="shared" si="8"/>
        <v>1</v>
      </c>
      <c r="AQ54" s="240">
        <f t="shared" ref="AQ54:AQ59" si="31">(0.2/AO54+22*AI54*AJ54*1000000)*0.000000000001</f>
        <v>3.7735849056603775E-15</v>
      </c>
      <c r="AR54" s="241">
        <f>AQ54/(AC54*AJ54)</f>
        <v>0.40492531581113722</v>
      </c>
      <c r="AT54" s="150">
        <f t="shared" si="12"/>
        <v>0</v>
      </c>
    </row>
    <row r="55" spans="1:50">
      <c r="A55" s="44"/>
      <c r="B55" s="45" t="s">
        <v>102</v>
      </c>
      <c r="C55" s="65"/>
      <c r="D55" s="66"/>
      <c r="E55" s="44"/>
      <c r="F55" s="44"/>
      <c r="S55" s="115" t="s">
        <v>332</v>
      </c>
      <c r="T55">
        <v>0</v>
      </c>
      <c r="U55">
        <v>0</v>
      </c>
      <c r="V55">
        <v>0</v>
      </c>
      <c r="W55">
        <v>0</v>
      </c>
      <c r="AB55" s="115" t="s">
        <v>332</v>
      </c>
      <c r="AC55" s="116">
        <v>1.2358154466422064E-3</v>
      </c>
      <c r="AD55" s="117">
        <v>2.4236334908227986</v>
      </c>
      <c r="AE55" s="116">
        <v>1.2366337979226903E-2</v>
      </c>
      <c r="AF55" s="117">
        <v>2.4252384096888298</v>
      </c>
      <c r="AG55" s="117"/>
      <c r="AH55" t="str">
        <f t="shared" si="24"/>
        <v>7Y</v>
      </c>
      <c r="AI55">
        <f t="shared" si="6"/>
        <v>0</v>
      </c>
      <c r="AJ55" s="227">
        <f t="shared" si="25"/>
        <v>9.9999999999999998E-13</v>
      </c>
      <c r="AK55" s="227">
        <f t="shared" si="26"/>
        <v>0</v>
      </c>
      <c r="AL55">
        <f t="shared" si="7"/>
        <v>0</v>
      </c>
      <c r="AM55" s="227">
        <f t="shared" si="27"/>
        <v>1.0000000000000001E-9</v>
      </c>
      <c r="AN55" s="227">
        <f t="shared" si="28"/>
        <v>0</v>
      </c>
      <c r="AO55">
        <f t="shared" si="29"/>
        <v>400</v>
      </c>
      <c r="AP55">
        <f t="shared" si="8"/>
        <v>1</v>
      </c>
      <c r="AQ55" s="228">
        <f t="shared" si="31"/>
        <v>5.0000000000000004E-16</v>
      </c>
      <c r="AR55" s="229">
        <f t="shared" si="21"/>
        <v>0.40459115587083305</v>
      </c>
      <c r="AT55" s="150">
        <f t="shared" si="12"/>
        <v>0</v>
      </c>
    </row>
    <row r="56" spans="1:50">
      <c r="A56" s="48" t="s">
        <v>105</v>
      </c>
      <c r="B56" s="45" t="s">
        <v>106</v>
      </c>
      <c r="E56" s="48" t="s">
        <v>107</v>
      </c>
      <c r="S56" s="115" t="s">
        <v>333</v>
      </c>
      <c r="T56">
        <v>0</v>
      </c>
      <c r="U56">
        <v>0</v>
      </c>
      <c r="V56">
        <v>0</v>
      </c>
      <c r="W56">
        <v>0</v>
      </c>
      <c r="AB56" s="115" t="s">
        <v>333</v>
      </c>
      <c r="AC56" s="116">
        <v>5.1036638243497719E-4</v>
      </c>
      <c r="AD56" s="117">
        <v>2.2824278462884511</v>
      </c>
      <c r="AE56" s="116">
        <v>5.1910618606380056E-3</v>
      </c>
      <c r="AF56" s="117">
        <v>2.3215134360004743</v>
      </c>
      <c r="AG56" s="117"/>
      <c r="AH56" t="str">
        <f t="shared" si="24"/>
        <v>7Y</v>
      </c>
      <c r="AI56">
        <f t="shared" si="6"/>
        <v>0</v>
      </c>
      <c r="AJ56" s="227">
        <f t="shared" si="25"/>
        <v>9.9999999999999998E-13</v>
      </c>
      <c r="AK56" s="227">
        <f t="shared" si="26"/>
        <v>0</v>
      </c>
      <c r="AL56">
        <f t="shared" si="7"/>
        <v>0</v>
      </c>
      <c r="AM56" s="227">
        <f t="shared" si="27"/>
        <v>1.0000000000000001E-9</v>
      </c>
      <c r="AN56" s="227">
        <f t="shared" si="28"/>
        <v>0</v>
      </c>
      <c r="AO56">
        <f t="shared" si="29"/>
        <v>1000</v>
      </c>
      <c r="AP56">
        <f t="shared" si="8"/>
        <v>1</v>
      </c>
      <c r="AQ56" s="228">
        <f t="shared" si="31"/>
        <v>2E-16</v>
      </c>
      <c r="AR56" s="229">
        <f t="shared" si="21"/>
        <v>0.39187534070287405</v>
      </c>
      <c r="AT56" s="150">
        <f t="shared" si="12"/>
        <v>0</v>
      </c>
    </row>
    <row r="57" spans="1:50" ht="15.75">
      <c r="A57" s="50"/>
      <c r="B57" s="45" t="s">
        <v>108</v>
      </c>
      <c r="C57" s="48" t="s">
        <v>109</v>
      </c>
      <c r="D57" s="48" t="s">
        <v>110</v>
      </c>
      <c r="E57" s="48" t="s">
        <v>111</v>
      </c>
      <c r="F57" s="48" t="s">
        <v>112</v>
      </c>
      <c r="S57" s="115" t="s">
        <v>334</v>
      </c>
      <c r="T57">
        <v>0</v>
      </c>
      <c r="U57">
        <v>0</v>
      </c>
      <c r="V57">
        <v>0</v>
      </c>
      <c r="W57">
        <v>0</v>
      </c>
      <c r="AB57" s="115" t="s">
        <v>334</v>
      </c>
      <c r="AC57" s="116">
        <v>9.3192121073023496E-3</v>
      </c>
      <c r="AD57" s="117">
        <v>2.4687245294104456</v>
      </c>
      <c r="AE57" s="116">
        <v>9.3192141999251271E-2</v>
      </c>
      <c r="AF57" s="117">
        <v>2.4687250838135939</v>
      </c>
      <c r="AG57" s="117"/>
      <c r="AH57" t="str">
        <f t="shared" si="24"/>
        <v>7Y</v>
      </c>
      <c r="AI57">
        <f t="shared" si="6"/>
        <v>0</v>
      </c>
      <c r="AJ57" s="227">
        <f t="shared" si="25"/>
        <v>9.9999999999999998E-13</v>
      </c>
      <c r="AK57" s="227">
        <f t="shared" si="26"/>
        <v>0</v>
      </c>
      <c r="AL57">
        <f t="shared" si="7"/>
        <v>0</v>
      </c>
      <c r="AM57" s="227">
        <f t="shared" si="27"/>
        <v>1.0000000000000001E-9</v>
      </c>
      <c r="AN57" s="227">
        <f t="shared" si="28"/>
        <v>0</v>
      </c>
      <c r="AO57">
        <f t="shared" si="29"/>
        <v>53</v>
      </c>
      <c r="AP57">
        <f t="shared" si="8"/>
        <v>1</v>
      </c>
      <c r="AQ57" s="228">
        <f t="shared" si="31"/>
        <v>3.7735849056603775E-15</v>
      </c>
      <c r="AR57" s="229">
        <f t="shared" si="21"/>
        <v>0.40492531581113722</v>
      </c>
      <c r="AT57" s="150">
        <f t="shared" si="12"/>
        <v>0</v>
      </c>
    </row>
    <row r="58" spans="1:50">
      <c r="A58" s="51" t="s">
        <v>141</v>
      </c>
      <c r="B58" s="194">
        <f>R_standard_uncertainty</f>
        <v>377.49096736665075</v>
      </c>
      <c r="C58" s="53">
        <f>B58^2</f>
        <v>142499.43044340977</v>
      </c>
      <c r="D58" s="64" t="s">
        <v>124</v>
      </c>
      <c r="E58" s="201">
        <f>R_v</f>
        <v>5.5633534551955428</v>
      </c>
      <c r="F58" s="53">
        <f>B58^4/E58</f>
        <v>3649972600.2007995</v>
      </c>
      <c r="G58" t="s">
        <v>354</v>
      </c>
      <c r="S58" s="115" t="s">
        <v>335</v>
      </c>
      <c r="T58">
        <v>0</v>
      </c>
      <c r="U58">
        <v>0</v>
      </c>
      <c r="V58">
        <v>0</v>
      </c>
      <c r="W58">
        <v>0</v>
      </c>
      <c r="AB58" s="115" t="s">
        <v>335</v>
      </c>
      <c r="AC58" s="116">
        <v>1.2358154466490319E-3</v>
      </c>
      <c r="AD58" s="117">
        <v>2.423633490639113</v>
      </c>
      <c r="AE58" s="116">
        <v>1.2366337979278063E-2</v>
      </c>
      <c r="AF58" s="117">
        <v>2.4252384095436486</v>
      </c>
      <c r="AG58" s="117"/>
      <c r="AH58" t="str">
        <f t="shared" si="24"/>
        <v>7Y</v>
      </c>
      <c r="AI58">
        <f t="shared" si="6"/>
        <v>1.0000574406645E-4</v>
      </c>
      <c r="AJ58" s="227">
        <f t="shared" si="25"/>
        <v>9.9999999999999998E-13</v>
      </c>
      <c r="AK58" s="227">
        <f t="shared" si="26"/>
        <v>0</v>
      </c>
      <c r="AL58">
        <f t="shared" si="7"/>
        <v>0</v>
      </c>
      <c r="AM58" s="227">
        <f t="shared" si="27"/>
        <v>1.0000000000000001E-9</v>
      </c>
      <c r="AN58" s="227">
        <f t="shared" si="28"/>
        <v>0</v>
      </c>
      <c r="AO58">
        <f t="shared" si="29"/>
        <v>400</v>
      </c>
      <c r="AP58">
        <f t="shared" si="8"/>
        <v>1</v>
      </c>
      <c r="AQ58" s="228">
        <f t="shared" si="31"/>
        <v>5.0000220012636954E-16</v>
      </c>
      <c r="AR58" s="229">
        <f t="shared" si="21"/>
        <v>0.4045929361719402</v>
      </c>
      <c r="AT58" s="150">
        <f t="shared" si="12"/>
        <v>0</v>
      </c>
    </row>
    <row r="59" spans="1:50">
      <c r="A59" s="51" t="s">
        <v>142</v>
      </c>
      <c r="B59" s="195">
        <v>0</v>
      </c>
      <c r="C59" s="53">
        <f>B59^2</f>
        <v>0</v>
      </c>
      <c r="D59" s="54">
        <v>30</v>
      </c>
      <c r="E59" s="55">
        <f>0.5*(1/(0.01*D59)^2)</f>
        <v>5.5555555555555554</v>
      </c>
      <c r="F59" s="53">
        <f>B59^4/E59</f>
        <v>0</v>
      </c>
      <c r="S59" s="115" t="s">
        <v>336</v>
      </c>
      <c r="T59">
        <v>0</v>
      </c>
      <c r="U59">
        <v>0</v>
      </c>
      <c r="V59">
        <v>0</v>
      </c>
      <c r="W59">
        <v>0</v>
      </c>
      <c r="AB59" s="115" t="s">
        <v>336</v>
      </c>
      <c r="AC59" s="116">
        <v>5.1036638243497719E-4</v>
      </c>
      <c r="AD59" s="117">
        <v>2.2824278462884511</v>
      </c>
      <c r="AE59" s="116">
        <v>5.1910618606380056E-3</v>
      </c>
      <c r="AF59" s="117">
        <v>2.3215134360004743</v>
      </c>
      <c r="AG59" s="117"/>
      <c r="AH59" t="str">
        <f t="shared" si="24"/>
        <v>7Y</v>
      </c>
      <c r="AI59">
        <f t="shared" si="6"/>
        <v>0</v>
      </c>
      <c r="AJ59" s="227">
        <f t="shared" si="25"/>
        <v>9.9999999999999998E-13</v>
      </c>
      <c r="AK59" s="227">
        <f t="shared" si="26"/>
        <v>0</v>
      </c>
      <c r="AL59">
        <f t="shared" si="7"/>
        <v>0</v>
      </c>
      <c r="AM59" s="227">
        <f t="shared" si="27"/>
        <v>1.0000000000000001E-9</v>
      </c>
      <c r="AN59" s="227">
        <f t="shared" si="28"/>
        <v>0</v>
      </c>
      <c r="AO59">
        <f t="shared" si="29"/>
        <v>1000</v>
      </c>
      <c r="AP59">
        <f t="shared" si="8"/>
        <v>1</v>
      </c>
      <c r="AQ59" s="228">
        <f t="shared" si="31"/>
        <v>2E-16</v>
      </c>
      <c r="AR59" s="229">
        <f t="shared" si="21"/>
        <v>0.39187534070287405</v>
      </c>
      <c r="AT59" s="150">
        <f t="shared" si="12"/>
        <v>0</v>
      </c>
    </row>
    <row r="60" spans="1:50">
      <c r="A60" s="51" t="s">
        <v>143</v>
      </c>
      <c r="B60" s="191">
        <f>SQRT((VLOOKUP(label, Params,2,FALSE)*0.5)^2+(0.5*VLOOKUP(label, Params,3,FALSE))^2)*0.000001*D34</f>
        <v>0</v>
      </c>
      <c r="C60" s="53">
        <f>B60^2</f>
        <v>0</v>
      </c>
      <c r="D60" s="54">
        <v>20</v>
      </c>
      <c r="E60" s="55">
        <f>0.5*(1/(0.01*D60)^2)</f>
        <v>12.499999999999998</v>
      </c>
      <c r="F60" s="53">
        <f>B60^4/E60</f>
        <v>0</v>
      </c>
      <c r="G60" t="s">
        <v>363</v>
      </c>
    </row>
    <row r="61" spans="1:50">
      <c r="A61" s="51" t="s">
        <v>407</v>
      </c>
      <c r="B61" s="191">
        <f>VLOOKUP(label,Params,7,FALSE)</f>
        <v>40</v>
      </c>
      <c r="C61" s="193">
        <f>B61^2</f>
        <v>1600</v>
      </c>
      <c r="D61" s="54">
        <v>30</v>
      </c>
      <c r="E61" s="55">
        <f>0.5*(1/(0.01*D61)^2)</f>
        <v>5.5555555555555554</v>
      </c>
      <c r="F61" s="53">
        <f>B61^4/E61</f>
        <v>460800</v>
      </c>
      <c r="G61" t="s">
        <v>402</v>
      </c>
      <c r="AQ61" s="29" t="s">
        <v>420</v>
      </c>
    </row>
    <row r="62" spans="1:50" ht="13.5" thickBot="1">
      <c r="B62" s="59" t="s">
        <v>127</v>
      </c>
      <c r="C62" s="316">
        <f>SUM(C58:C61)</f>
        <v>144099.43044340977</v>
      </c>
      <c r="E62" s="27" t="s">
        <v>128</v>
      </c>
      <c r="F62" s="53">
        <f>SUM(F58:F61)</f>
        <v>3650433400.2007995</v>
      </c>
    </row>
    <row r="63" spans="1:50">
      <c r="B63" s="59" t="s">
        <v>129</v>
      </c>
      <c r="C63" s="317">
        <f>SQRT(C62)</f>
        <v>379.60430772504384</v>
      </c>
      <c r="E63" s="60" t="s">
        <v>130</v>
      </c>
      <c r="F63" s="196">
        <f>C63^4/F62</f>
        <v>5.6882686458470628</v>
      </c>
      <c r="G63" s="189"/>
    </row>
    <row r="64" spans="1:50">
      <c r="B64" s="34"/>
      <c r="E64" s="61" t="s">
        <v>94</v>
      </c>
      <c r="F64" s="202">
        <f>$G$3+$G$4/F63+$G$5/F63^2+$G$6/F63^3</f>
        <v>2.4549187194625501</v>
      </c>
      <c r="G64" s="189"/>
    </row>
    <row r="65" spans="1:7" ht="13.5" thickBot="1">
      <c r="A65" s="27" t="s">
        <v>131</v>
      </c>
      <c r="B65" s="34"/>
      <c r="E65" s="62" t="s">
        <v>132</v>
      </c>
      <c r="F65" s="312">
        <f>F64*C63</f>
        <v>931.89772102283246</v>
      </c>
      <c r="G65" s="302"/>
    </row>
    <row r="66" spans="1:7">
      <c r="A66" s="29" t="s">
        <v>144</v>
      </c>
      <c r="B66" s="34"/>
      <c r="F66" s="313">
        <f>F65*VLOOKUP(VLOOKUP(label,Results,2,FALSE),multiplier,5,FALSE)</f>
        <v>9.3189772102283255E-2</v>
      </c>
      <c r="G66" s="313" t="str">
        <f>VLOOKUP(label,Results,8,FALSE)</f>
        <v>milliohm</v>
      </c>
    </row>
    <row r="67" spans="1:7">
      <c r="B67" s="34"/>
      <c r="E67" s="29"/>
      <c r="F67" s="63"/>
    </row>
    <row r="68" spans="1:7" ht="15.75">
      <c r="A68" s="40" t="s">
        <v>359</v>
      </c>
      <c r="B68" s="41"/>
      <c r="C68" s="42"/>
      <c r="D68" s="67"/>
      <c r="F68" s="29" t="s">
        <v>101</v>
      </c>
    </row>
    <row r="69" spans="1:7">
      <c r="A69" s="44"/>
      <c r="B69" s="45" t="s">
        <v>102</v>
      </c>
      <c r="C69" s="44"/>
      <c r="D69" s="44"/>
      <c r="E69" s="44"/>
      <c r="F69" s="44"/>
    </row>
    <row r="70" spans="1:7">
      <c r="A70" s="48" t="s">
        <v>105</v>
      </c>
      <c r="B70" s="45" t="s">
        <v>106</v>
      </c>
      <c r="E70" s="48" t="s">
        <v>107</v>
      </c>
    </row>
    <row r="71" spans="1:7" ht="15.75">
      <c r="A71" s="50"/>
      <c r="B71" s="45" t="s">
        <v>108</v>
      </c>
      <c r="C71" s="48" t="s">
        <v>109</v>
      </c>
      <c r="D71" s="48" t="s">
        <v>110</v>
      </c>
      <c r="E71" s="48" t="s">
        <v>111</v>
      </c>
      <c r="F71" s="48" t="s">
        <v>112</v>
      </c>
    </row>
    <row r="72" spans="1:7">
      <c r="A72" s="51" t="s">
        <v>141</v>
      </c>
      <c r="B72" s="203">
        <f>L_standard_uncertainty</f>
        <v>37.749096738113352</v>
      </c>
      <c r="C72" s="193">
        <f>B72^2</f>
        <v>1424.99430454344</v>
      </c>
      <c r="D72" s="64" t="s">
        <v>124</v>
      </c>
      <c r="E72" s="201">
        <f>L_v</f>
        <v>5.5633583335507693</v>
      </c>
      <c r="F72" s="193">
        <f>B72^4/E72</f>
        <v>364996.94002007996</v>
      </c>
      <c r="G72" s="189"/>
    </row>
    <row r="73" spans="1:7">
      <c r="A73" s="51" t="s">
        <v>143</v>
      </c>
      <c r="B73" s="191">
        <f>SQRT((VLOOKUP(label, Params,4,FALSE)*0.5)^2+(0.5*VLOOKUP(label, Params,5,FALSE))^2)*0.000001*D11</f>
        <v>0</v>
      </c>
      <c r="C73" s="193">
        <f>B73^2</f>
        <v>0</v>
      </c>
      <c r="D73" s="54">
        <v>30</v>
      </c>
      <c r="E73" s="201">
        <f>0.5*(1/(0.01*D73)^2)</f>
        <v>5.5555555555555554</v>
      </c>
      <c r="F73" s="193">
        <f>B73^4/E73</f>
        <v>0</v>
      </c>
      <c r="G73" s="189" t="s">
        <v>145</v>
      </c>
    </row>
    <row r="74" spans="1:7">
      <c r="A74" s="51" t="s">
        <v>146</v>
      </c>
      <c r="B74" s="191">
        <v>0</v>
      </c>
      <c r="C74" s="193">
        <f>B74^2</f>
        <v>0</v>
      </c>
      <c r="D74" s="54">
        <v>30</v>
      </c>
      <c r="E74" s="201">
        <f>0.5*(1/(0.01*D74)^2)</f>
        <v>5.5555555555555554</v>
      </c>
      <c r="F74" s="193">
        <f>B74^4/E74</f>
        <v>0</v>
      </c>
      <c r="G74" s="189"/>
    </row>
    <row r="75" spans="1:7">
      <c r="A75" s="51" t="s">
        <v>408</v>
      </c>
      <c r="B75" s="191">
        <f>VLOOKUP(label,Params,6,FALSE)</f>
        <v>5</v>
      </c>
      <c r="C75" s="193">
        <f>B75^2</f>
        <v>25</v>
      </c>
      <c r="D75" s="54">
        <v>30</v>
      </c>
      <c r="E75" s="201">
        <f>0.5*(1/(0.01*D75)^2)</f>
        <v>5.5555555555555554</v>
      </c>
      <c r="F75" s="193">
        <f>B75^4/E75</f>
        <v>112.5</v>
      </c>
      <c r="G75" s="189" t="s">
        <v>402</v>
      </c>
    </row>
    <row r="76" spans="1:7" ht="13.5" thickBot="1">
      <c r="B76" s="204" t="s">
        <v>127</v>
      </c>
      <c r="C76" s="316">
        <f>SUM(C72:C75)</f>
        <v>1449.99430454344</v>
      </c>
      <c r="E76" s="205" t="s">
        <v>128</v>
      </c>
      <c r="F76" s="193">
        <f>SUM(F72:F75)</f>
        <v>365109.44002007996</v>
      </c>
      <c r="G76" s="189"/>
    </row>
    <row r="77" spans="1:7">
      <c r="B77" s="204" t="s">
        <v>355</v>
      </c>
      <c r="C77" s="318">
        <f>SQRT(C76)</f>
        <v>38.078790744237665</v>
      </c>
      <c r="E77" s="206" t="s">
        <v>130</v>
      </c>
      <c r="F77" s="196">
        <f>C77^4/F76</f>
        <v>5.7585021167702033</v>
      </c>
      <c r="G77" s="189"/>
    </row>
    <row r="78" spans="1:7">
      <c r="B78" s="34"/>
      <c r="E78" s="207" t="s">
        <v>94</v>
      </c>
      <c r="F78" s="202">
        <f>$G$3+$G$4/F77+$G$5/F77^2+$G$6/F77^3</f>
        <v>2.4474848513217937</v>
      </c>
      <c r="G78" s="189"/>
    </row>
    <row r="79" spans="1:7" ht="13.5" thickBot="1">
      <c r="A79" s="27" t="s">
        <v>131</v>
      </c>
      <c r="B79" s="34"/>
      <c r="E79" s="208" t="s">
        <v>356</v>
      </c>
      <c r="F79" s="314">
        <f>F78*C77</f>
        <v>93.197263503174213</v>
      </c>
      <c r="G79" s="302"/>
    </row>
    <row r="80" spans="1:7">
      <c r="A80" s="29" t="s">
        <v>144</v>
      </c>
      <c r="B80" s="34"/>
      <c r="E80" s="189"/>
      <c r="F80" s="313">
        <f>F79*VLOOKUP(VLOOKUP(label,Results,2,FALSE),multiplier,2,FALSE)</f>
        <v>9.3197263503174213E-3</v>
      </c>
      <c r="G80" s="315" t="str">
        <f>VLOOKUP(label,Results,6,FALSE)</f>
        <v>microH</v>
      </c>
    </row>
  </sheetData>
  <phoneticPr fontId="17" type="noConversion"/>
  <conditionalFormatting sqref="AR5:AR59 AT5:AT59 AV5:AV53 AX5:AX53">
    <cfRule type="cellIs" dxfId="2" priority="1" stopIfTrue="1" operator="lessThan">
      <formula>1</formula>
    </cfRule>
    <cfRule type="cellIs" dxfId="1" priority="2" stopIfTrue="1" operator="greaterThanOrEqual">
      <formula>1</formula>
    </cfRule>
  </conditionalFormatting>
  <pageMargins left="0.75" right="0.75" top="1" bottom="1" header="0.5" footer="0.5"/>
  <pageSetup paperSize="9" scale="35" orientation="landscape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48"/>
  <sheetViews>
    <sheetView showGridLines="0" topLeftCell="A16" zoomScaleNormal="100" workbookViewId="0">
      <selection activeCell="C26" sqref="C26"/>
    </sheetView>
  </sheetViews>
  <sheetFormatPr defaultRowHeight="12.75"/>
  <cols>
    <col min="1" max="1" width="14.28515625" customWidth="1"/>
    <col min="3" max="3" width="10.28515625" customWidth="1"/>
    <col min="4" max="4" width="11.140625" customWidth="1"/>
    <col min="5" max="5" width="9.85546875" customWidth="1"/>
    <col min="6" max="6" width="3.42578125" customWidth="1"/>
    <col min="7" max="7" width="11.5703125" customWidth="1"/>
    <col min="8" max="8" width="3.28515625" customWidth="1"/>
    <col min="10" max="10" width="7.42578125" customWidth="1"/>
    <col min="11" max="11" width="3.28515625" customWidth="1"/>
    <col min="12" max="12" width="9.7109375" customWidth="1"/>
    <col min="13" max="13" width="3" customWidth="1"/>
    <col min="14" max="14" width="12.28515625" customWidth="1"/>
    <col min="15" max="15" width="14.28515625" customWidth="1"/>
    <col min="16" max="16" width="10.28515625" customWidth="1"/>
    <col min="23" max="23" width="3.5703125" customWidth="1"/>
    <col min="25" max="25" width="3.140625" customWidth="1"/>
    <col min="28" max="28" width="2.7109375" customWidth="1"/>
    <col min="30" max="30" width="3.28515625" customWidth="1"/>
  </cols>
  <sheetData>
    <row r="1" spans="1:31">
      <c r="T1" s="276" t="s">
        <v>438</v>
      </c>
    </row>
    <row r="2" spans="1:31" ht="15" customHeight="1">
      <c r="C2" s="185">
        <f>Date</f>
        <v>41948</v>
      </c>
      <c r="T2" s="220">
        <v>40668</v>
      </c>
      <c r="U2" s="276" t="s">
        <v>439</v>
      </c>
    </row>
    <row r="3" spans="1:31" ht="31.5" customHeight="1">
      <c r="C3" s="379" t="s">
        <v>337</v>
      </c>
      <c r="D3" s="380" t="s">
        <v>312</v>
      </c>
      <c r="E3" s="472" t="s">
        <v>7</v>
      </c>
      <c r="F3" s="473"/>
      <c r="G3" s="474" t="s">
        <v>466</v>
      </c>
      <c r="H3" s="473"/>
      <c r="I3" s="381" t="s">
        <v>467</v>
      </c>
      <c r="J3" s="472" t="s">
        <v>6</v>
      </c>
      <c r="K3" s="473"/>
      <c r="L3" s="474" t="s">
        <v>466</v>
      </c>
      <c r="M3" s="473"/>
      <c r="N3" s="382" t="s">
        <v>467</v>
      </c>
      <c r="Q3" s="276" t="s">
        <v>441</v>
      </c>
      <c r="T3" t="s">
        <v>337</v>
      </c>
      <c r="U3" t="s">
        <v>312</v>
      </c>
      <c r="V3" t="s">
        <v>7</v>
      </c>
      <c r="X3" t="s">
        <v>338</v>
      </c>
      <c r="Z3" t="s">
        <v>148</v>
      </c>
      <c r="AA3" t="s">
        <v>6</v>
      </c>
      <c r="AC3" t="s">
        <v>338</v>
      </c>
      <c r="AE3" t="s">
        <v>148</v>
      </c>
    </row>
    <row r="4" spans="1:31" ht="15">
      <c r="C4" s="296"/>
      <c r="D4" s="295" t="s">
        <v>339</v>
      </c>
      <c r="E4" s="470" t="s">
        <v>424</v>
      </c>
      <c r="F4" s="471"/>
      <c r="G4" s="470" t="s">
        <v>424</v>
      </c>
      <c r="H4" s="471"/>
      <c r="I4" s="296"/>
      <c r="J4" s="470" t="s">
        <v>426</v>
      </c>
      <c r="K4" s="471"/>
      <c r="L4" s="470" t="s">
        <v>426</v>
      </c>
      <c r="M4" s="471"/>
      <c r="N4" s="295"/>
      <c r="Q4" s="280" t="s">
        <v>404</v>
      </c>
      <c r="R4" s="280" t="s">
        <v>403</v>
      </c>
      <c r="U4" t="s">
        <v>339</v>
      </c>
      <c r="V4" t="s">
        <v>424</v>
      </c>
      <c r="X4" t="s">
        <v>424</v>
      </c>
      <c r="Z4" t="s">
        <v>150</v>
      </c>
      <c r="AA4" t="s">
        <v>426</v>
      </c>
      <c r="AC4" t="s">
        <v>426</v>
      </c>
      <c r="AE4" t="s">
        <v>150</v>
      </c>
    </row>
    <row r="5" spans="1:31" ht="15">
      <c r="A5" t="s">
        <v>296</v>
      </c>
      <c r="C5" s="383" t="s">
        <v>340</v>
      </c>
      <c r="D5" s="327">
        <v>53</v>
      </c>
      <c r="E5" s="328">
        <f t="shared" ref="E5:E22" si="0">VLOOKUP(A5,Results,7,FALSE)</f>
        <v>3.0002116455665824E-3</v>
      </c>
      <c r="F5" s="329" t="s">
        <v>341</v>
      </c>
      <c r="G5" s="328">
        <f t="shared" ref="G5:G10" si="1">VLOOKUP(A5,Uncertainty,4,FALSE())</f>
        <v>9.3189772102283255E-2</v>
      </c>
      <c r="H5" s="330" t="s">
        <v>341</v>
      </c>
      <c r="I5" s="331">
        <f>VLOOKUP(A5,Uncertainty,5,FALSE())</f>
        <v>2.4549187194625501</v>
      </c>
      <c r="J5" s="332">
        <f t="shared" ref="J5:J16" si="2">VLOOKUP(A5,Results,5,FALSE)</f>
        <v>-4.0008028000755548E-3</v>
      </c>
      <c r="K5" s="333"/>
      <c r="L5" s="332">
        <f t="shared" ref="L5:L19" si="3">VLOOKUP(A5,Uncertainty,2,FALSE)</f>
        <v>9.3197263503174213E-3</v>
      </c>
      <c r="M5" s="334"/>
      <c r="N5" s="371">
        <f>VLOOKUP(A5,Uncertainty,3,FALSE())</f>
        <v>2.4474848513217937</v>
      </c>
      <c r="Q5">
        <f>ABS((E5-V5)/G5)</f>
        <v>9.6583121545878531E-2</v>
      </c>
      <c r="R5">
        <f>ABS((J5-AA5)/L5)</f>
        <v>0.30050152301510247</v>
      </c>
      <c r="T5" t="s">
        <v>340</v>
      </c>
      <c r="U5" s="244">
        <v>53</v>
      </c>
      <c r="V5" s="245">
        <v>-6.0003474402209609E-3</v>
      </c>
      <c r="W5" s="246" t="s">
        <v>341</v>
      </c>
      <c r="X5" s="245">
        <v>1.0185678597389025E-2</v>
      </c>
      <c r="Y5" s="247" t="s">
        <v>341</v>
      </c>
      <c r="Z5" s="248">
        <v>2.2463558875487664</v>
      </c>
      <c r="AA5" s="245">
        <v>-1.2002108377211873E-3</v>
      </c>
      <c r="AB5" s="249"/>
      <c r="AC5" s="245">
        <v>1.5978889665899408E-2</v>
      </c>
      <c r="AD5" s="246"/>
      <c r="AE5" s="250">
        <v>4.1962702471197133</v>
      </c>
    </row>
    <row r="6" spans="1:31" ht="15">
      <c r="A6" t="s">
        <v>297</v>
      </c>
      <c r="C6" s="384"/>
      <c r="D6" s="335">
        <v>400</v>
      </c>
      <c r="E6" s="336">
        <f t="shared" si="0"/>
        <v>1.0000705485221941E-3</v>
      </c>
      <c r="F6" s="337" t="s">
        <v>341</v>
      </c>
      <c r="G6" s="336">
        <f t="shared" si="1"/>
        <v>1.4189409186091852E-2</v>
      </c>
      <c r="H6" s="338" t="s">
        <v>341</v>
      </c>
      <c r="I6" s="339">
        <f t="shared" ref="I6:I22" si="4">VLOOKUP(A6,Uncertainty,5,FALSE())</f>
        <v>2.1894733706755267</v>
      </c>
      <c r="J6" s="340">
        <f t="shared" si="2"/>
        <v>1.0002007000188887E-4</v>
      </c>
      <c r="K6" s="341"/>
      <c r="L6" s="340">
        <f t="shared" si="3"/>
        <v>1.5564783469280469E-3</v>
      </c>
      <c r="M6" s="337"/>
      <c r="N6" s="366">
        <f t="shared" ref="N6:N22" si="5">VLOOKUP(A6,Uncertainty,3,FALSE())</f>
        <v>2.1795056297225797</v>
      </c>
      <c r="Q6">
        <f t="shared" ref="Q6:Q22" si="6">ABS((E6-V6)/G6)</f>
        <v>0.21143842725107245</v>
      </c>
      <c r="R6">
        <f t="shared" ref="R6:R22" si="7">ABS((J6-AA6)/L6)</f>
        <v>0.12851617230859883</v>
      </c>
      <c r="U6" s="244">
        <v>400</v>
      </c>
      <c r="V6" s="245">
        <v>-2.000115813406987E-3</v>
      </c>
      <c r="W6" s="246" t="s">
        <v>341</v>
      </c>
      <c r="X6" s="245">
        <v>9.918524428206215E-3</v>
      </c>
      <c r="Y6" s="247" t="s">
        <v>341</v>
      </c>
      <c r="Z6" s="248">
        <v>2.401185626442992</v>
      </c>
      <c r="AA6" s="251">
        <v>3.0005270943029682E-4</v>
      </c>
      <c r="AB6" s="246"/>
      <c r="AC6" s="251">
        <v>1.7230685733258132E-3</v>
      </c>
      <c r="AD6" s="246"/>
      <c r="AE6" s="250">
        <v>2.4127786049110211</v>
      </c>
    </row>
    <row r="7" spans="1:31" ht="15">
      <c r="A7" t="s">
        <v>298</v>
      </c>
      <c r="C7" s="296"/>
      <c r="D7" s="342" t="s">
        <v>342</v>
      </c>
      <c r="E7" s="343">
        <f t="shared" si="0"/>
        <v>-5.0003527426109706E-3</v>
      </c>
      <c r="F7" s="344" t="s">
        <v>341</v>
      </c>
      <c r="G7" s="343">
        <f t="shared" si="1"/>
        <v>1.0320244368272016E-2</v>
      </c>
      <c r="H7" s="345" t="s">
        <v>341</v>
      </c>
      <c r="I7" s="346">
        <f t="shared" si="4"/>
        <v>2.2520619473780199</v>
      </c>
      <c r="J7" s="347">
        <f t="shared" si="2"/>
        <v>-2.0004014000377774E-4</v>
      </c>
      <c r="K7" s="348"/>
      <c r="L7" s="347">
        <f t="shared" si="3"/>
        <v>1.2600825715636083E-3</v>
      </c>
      <c r="M7" s="344"/>
      <c r="N7" s="369">
        <f t="shared" si="5"/>
        <v>2.3005854928302956</v>
      </c>
      <c r="Q7">
        <f t="shared" si="6"/>
        <v>0.29071374883600087</v>
      </c>
      <c r="R7">
        <f t="shared" si="7"/>
        <v>0.15875161240866334</v>
      </c>
      <c r="U7" s="244" t="s">
        <v>342</v>
      </c>
      <c r="V7" s="245">
        <v>-2.000115813406987E-3</v>
      </c>
      <c r="W7" s="246" t="s">
        <v>341</v>
      </c>
      <c r="X7" s="245">
        <v>9.9168352307363958E-3</v>
      </c>
      <c r="Y7" s="247" t="s">
        <v>341</v>
      </c>
      <c r="Z7" s="248">
        <v>2.4044787341808309</v>
      </c>
      <c r="AA7" s="251">
        <v>0</v>
      </c>
      <c r="AB7" s="246"/>
      <c r="AC7" s="251">
        <v>1.2696581066036672E-3</v>
      </c>
      <c r="AD7" s="246"/>
      <c r="AE7" s="250">
        <v>2.3180679485504752</v>
      </c>
    </row>
    <row r="8" spans="1:31" ht="15">
      <c r="A8" t="s">
        <v>293</v>
      </c>
      <c r="C8" s="384" t="s">
        <v>429</v>
      </c>
      <c r="D8" s="327">
        <v>53</v>
      </c>
      <c r="E8" s="332">
        <f t="shared" si="0"/>
        <v>3.8312702713885258</v>
      </c>
      <c r="F8" s="334" t="s">
        <v>341</v>
      </c>
      <c r="G8" s="332">
        <f t="shared" si="1"/>
        <v>9.3189775214891274E-2</v>
      </c>
      <c r="H8" s="330" t="s">
        <v>341</v>
      </c>
      <c r="I8" s="331">
        <f t="shared" si="4"/>
        <v>2.454897394771173</v>
      </c>
      <c r="J8" s="332">
        <f t="shared" si="2"/>
        <v>1.0002007000188887E-3</v>
      </c>
      <c r="K8" s="333"/>
      <c r="L8" s="332">
        <f t="shared" si="3"/>
        <v>9.3197265801968562E-3</v>
      </c>
      <c r="M8" s="334"/>
      <c r="N8" s="371">
        <f t="shared" si="5"/>
        <v>2.4474817422834705</v>
      </c>
      <c r="Q8">
        <f t="shared" si="6"/>
        <v>1.0211711500175399E-2</v>
      </c>
      <c r="R8">
        <f t="shared" si="7"/>
        <v>0.78341972067436993</v>
      </c>
      <c r="T8" t="s">
        <v>429</v>
      </c>
      <c r="U8" s="244">
        <v>53</v>
      </c>
      <c r="V8" s="245">
        <v>3.8322218984877865</v>
      </c>
      <c r="W8" s="246" t="s">
        <v>341</v>
      </c>
      <c r="X8" s="245">
        <v>1.0188356511560991E-2</v>
      </c>
      <c r="Y8" s="247" t="s">
        <v>341</v>
      </c>
      <c r="Z8" s="248">
        <v>2.2455724028446933</v>
      </c>
      <c r="AA8" s="245">
        <v>8.3014582942382113E-3</v>
      </c>
      <c r="AB8" s="249"/>
      <c r="AC8" s="245">
        <v>1.5978883640538642E-2</v>
      </c>
      <c r="AD8" s="246"/>
      <c r="AE8" s="250">
        <v>4.1962681250411578</v>
      </c>
    </row>
    <row r="9" spans="1:31" ht="15">
      <c r="A9" t="s">
        <v>294</v>
      </c>
      <c r="C9" s="384"/>
      <c r="D9" s="335">
        <v>400</v>
      </c>
      <c r="E9" s="336">
        <f t="shared" si="0"/>
        <v>3.8262699186459148</v>
      </c>
      <c r="F9" s="337" t="s">
        <v>341</v>
      </c>
      <c r="G9" s="336">
        <f t="shared" si="1"/>
        <v>1.4191711247338151E-2</v>
      </c>
      <c r="H9" s="338" t="s">
        <v>341</v>
      </c>
      <c r="I9" s="339">
        <f t="shared" si="4"/>
        <v>2.18917473215605</v>
      </c>
      <c r="J9" s="349">
        <f t="shared" si="2"/>
        <v>8.1016256701529985E-3</v>
      </c>
      <c r="K9" s="341"/>
      <c r="L9" s="340">
        <f t="shared" si="3"/>
        <v>1.5565105426545958E-3</v>
      </c>
      <c r="M9" s="337"/>
      <c r="N9" s="366">
        <f t="shared" si="5"/>
        <v>2.1794706046797665</v>
      </c>
      <c r="Q9">
        <f t="shared" si="6"/>
        <v>0.70126930397858322</v>
      </c>
      <c r="R9">
        <f t="shared" si="7"/>
        <v>6.4387668826297664E-2</v>
      </c>
      <c r="U9" s="244">
        <v>400</v>
      </c>
      <c r="V9" s="245">
        <v>3.8362221301146007</v>
      </c>
      <c r="W9" s="246" t="s">
        <v>341</v>
      </c>
      <c r="X9" s="245">
        <v>9.9193730195802927E-3</v>
      </c>
      <c r="Y9" s="247" t="s">
        <v>341</v>
      </c>
      <c r="Z9" s="248">
        <v>2.3996172622803447</v>
      </c>
      <c r="AA9" s="252">
        <v>8.0014055848079135E-3</v>
      </c>
      <c r="AB9" s="246"/>
      <c r="AC9" s="251">
        <v>1.7230691357806585E-3</v>
      </c>
      <c r="AD9" s="246"/>
      <c r="AE9" s="250">
        <v>2.4127706582611057</v>
      </c>
    </row>
    <row r="10" spans="1:31" ht="15">
      <c r="A10" t="s">
        <v>295</v>
      </c>
      <c r="C10" s="296"/>
      <c r="D10" s="342" t="s">
        <v>342</v>
      </c>
      <c r="E10" s="343">
        <f t="shared" si="0"/>
        <v>3.8472714001648805</v>
      </c>
      <c r="F10" s="344" t="s">
        <v>341</v>
      </c>
      <c r="G10" s="343">
        <f t="shared" si="1"/>
        <v>1.0322850112408074E-2</v>
      </c>
      <c r="H10" s="345" t="s">
        <v>341</v>
      </c>
      <c r="I10" s="346">
        <f t="shared" si="4"/>
        <v>2.2512712544956233</v>
      </c>
      <c r="J10" s="347">
        <f t="shared" si="2"/>
        <v>7.8015654601473316E-3</v>
      </c>
      <c r="K10" s="348"/>
      <c r="L10" s="347">
        <f t="shared" si="3"/>
        <v>1.2601079772146776E-3</v>
      </c>
      <c r="M10" s="344"/>
      <c r="N10" s="369">
        <f t="shared" si="5"/>
        <v>2.3004865696857788</v>
      </c>
      <c r="Q10">
        <f t="shared" si="6"/>
        <v>1.5547604982179537</v>
      </c>
      <c r="R10">
        <f t="shared" si="7"/>
        <v>7.9526982275933536E-2</v>
      </c>
      <c r="U10" s="244" t="s">
        <v>342</v>
      </c>
      <c r="V10" s="245">
        <v>3.8312218405810836</v>
      </c>
      <c r="W10" s="246" t="s">
        <v>341</v>
      </c>
      <c r="X10" s="245">
        <v>9.9176340425199318E-3</v>
      </c>
      <c r="Y10" s="247" t="s">
        <v>341</v>
      </c>
      <c r="Z10" s="248">
        <v>2.4028969275627823</v>
      </c>
      <c r="AA10" s="251">
        <v>7.7013528753776175E-3</v>
      </c>
      <c r="AB10" s="246"/>
      <c r="AC10" s="251">
        <v>1.2696603149349806E-3</v>
      </c>
      <c r="AD10" s="246"/>
      <c r="AE10" s="250">
        <v>2.318057762748019</v>
      </c>
    </row>
    <row r="11" spans="1:31" ht="15">
      <c r="A11" t="s">
        <v>302</v>
      </c>
      <c r="C11" s="384" t="s">
        <v>430</v>
      </c>
      <c r="D11" s="327">
        <v>53</v>
      </c>
      <c r="E11" s="350">
        <f t="shared" ref="E11:E16" si="8">VLOOKUP(A11,Results,7,FALSE)/1000</f>
        <v>0.105079412674324</v>
      </c>
      <c r="F11" s="351"/>
      <c r="G11" s="350">
        <f t="shared" ref="G11:G16" si="9">VLOOKUP(A11,Uncertainty,4,FALSE)/1000</f>
        <v>9.3212691792046379E-5</v>
      </c>
      <c r="H11" s="334"/>
      <c r="I11" s="331">
        <f t="shared" si="4"/>
        <v>2.4338129827551058</v>
      </c>
      <c r="J11" s="332">
        <f t="shared" si="2"/>
        <v>1.0002007000188886E-2</v>
      </c>
      <c r="K11" s="333"/>
      <c r="L11" s="332">
        <f t="shared" si="3"/>
        <v>9.3187785480177976E-3</v>
      </c>
      <c r="M11" s="334"/>
      <c r="N11" s="371">
        <f t="shared" si="5"/>
        <v>2.4607854110550367</v>
      </c>
      <c r="Q11">
        <f t="shared" si="6"/>
        <v>6.5158872784390303</v>
      </c>
      <c r="R11">
        <f t="shared" si="7"/>
        <v>0.18248622361697811</v>
      </c>
      <c r="T11" t="s">
        <v>430</v>
      </c>
      <c r="U11" s="244">
        <v>53</v>
      </c>
      <c r="V11" s="253">
        <v>0.10447204928168714</v>
      </c>
      <c r="W11" s="246"/>
      <c r="X11" s="253">
        <v>1.073032432630233E-5</v>
      </c>
      <c r="Y11" s="246"/>
      <c r="Z11" s="248">
        <v>2.0447823095965112</v>
      </c>
      <c r="AA11" s="245">
        <v>8.3014582942382113E-3</v>
      </c>
      <c r="AB11" s="249"/>
      <c r="AC11" s="245">
        <v>1.6287396025112574E-2</v>
      </c>
      <c r="AD11" s="246"/>
      <c r="AE11" s="250">
        <v>4.3048039767403887</v>
      </c>
    </row>
    <row r="12" spans="1:31" ht="15">
      <c r="A12" t="s">
        <v>343</v>
      </c>
      <c r="C12" s="384"/>
      <c r="D12" s="335">
        <v>400</v>
      </c>
      <c r="E12" s="352">
        <f t="shared" si="8"/>
        <v>0.10512641599010453</v>
      </c>
      <c r="F12" s="337"/>
      <c r="G12" s="352">
        <f t="shared" si="9"/>
        <v>1.6957431502343223E-5</v>
      </c>
      <c r="H12" s="337"/>
      <c r="I12" s="339">
        <f t="shared" si="4"/>
        <v>2.0587229967224885</v>
      </c>
      <c r="J12" s="340">
        <f t="shared" si="2"/>
        <v>7.3014651101378876E-3</v>
      </c>
      <c r="K12" s="341"/>
      <c r="L12" s="340">
        <f t="shared" si="3"/>
        <v>1.3093751023697049E-3</v>
      </c>
      <c r="M12" s="337"/>
      <c r="N12" s="366">
        <f t="shared" si="5"/>
        <v>2.2107603494644521</v>
      </c>
      <c r="Q12">
        <f t="shared" si="6"/>
        <v>34.637487911249394</v>
      </c>
      <c r="R12">
        <f t="shared" si="7"/>
        <v>1.2984179779301956</v>
      </c>
      <c r="U12" s="244">
        <v>400</v>
      </c>
      <c r="V12" s="253">
        <v>0.10453905316143627</v>
      </c>
      <c r="W12" s="246"/>
      <c r="X12" s="253">
        <v>1.0165362543790265E-5</v>
      </c>
      <c r="Y12" s="246"/>
      <c r="Z12" s="248">
        <v>2.0721842436224098</v>
      </c>
      <c r="AA12" s="251">
        <v>9.0015812829089027E-3</v>
      </c>
      <c r="AB12" s="246"/>
      <c r="AC12" s="251">
        <v>1.7047616227449454E-3</v>
      </c>
      <c r="AD12" s="246"/>
      <c r="AE12" s="250">
        <v>2.9892836118224193</v>
      </c>
    </row>
    <row r="13" spans="1:31" ht="15">
      <c r="A13" t="s">
        <v>303</v>
      </c>
      <c r="C13" s="296"/>
      <c r="D13" s="342" t="s">
        <v>342</v>
      </c>
      <c r="E13" s="353">
        <f t="shared" si="8"/>
        <v>0.10511941549626487</v>
      </c>
      <c r="F13" s="344"/>
      <c r="G13" s="353">
        <f t="shared" si="9"/>
        <v>1.3996884331464708E-5</v>
      </c>
      <c r="H13" s="344"/>
      <c r="I13" s="346">
        <f t="shared" si="4"/>
        <v>2.0450844848001313</v>
      </c>
      <c r="J13" s="347">
        <f t="shared" si="2"/>
        <v>8.0016056001511095E-3</v>
      </c>
      <c r="K13" s="348"/>
      <c r="L13" s="347">
        <f t="shared" si="3"/>
        <v>7.8530722497293401E-4</v>
      </c>
      <c r="M13" s="344"/>
      <c r="N13" s="369">
        <f t="shared" si="5"/>
        <v>2.0929677915213221</v>
      </c>
      <c r="Q13">
        <f t="shared" si="6"/>
        <v>41.177885703186618</v>
      </c>
      <c r="R13">
        <f t="shared" si="7"/>
        <v>0.8917821990470346</v>
      </c>
      <c r="U13" s="244" t="s">
        <v>342</v>
      </c>
      <c r="V13" s="253">
        <v>0.10454305339306309</v>
      </c>
      <c r="W13" s="246"/>
      <c r="X13" s="253">
        <v>1.0156942945162977E-5</v>
      </c>
      <c r="Y13" s="246"/>
      <c r="Z13" s="248">
        <v>2.0726939846730783</v>
      </c>
      <c r="AA13" s="252">
        <v>7.3012825961372221E-3</v>
      </c>
      <c r="AB13" s="246"/>
      <c r="AC13" s="251">
        <v>7.6691710354425476E-4</v>
      </c>
      <c r="AD13" s="246"/>
      <c r="AE13" s="250">
        <v>2.2592377103178434</v>
      </c>
    </row>
    <row r="14" spans="1:31" ht="15">
      <c r="A14" t="s">
        <v>304</v>
      </c>
      <c r="C14" s="384" t="s">
        <v>431</v>
      </c>
      <c r="D14" s="327">
        <v>53</v>
      </c>
      <c r="E14" s="350">
        <f t="shared" si="8"/>
        <v>0.98805670102279719</v>
      </c>
      <c r="F14" s="334"/>
      <c r="G14" s="350">
        <f t="shared" si="9"/>
        <v>1.3294809627579203E-4</v>
      </c>
      <c r="H14" s="334"/>
      <c r="I14" s="331">
        <f t="shared" si="4"/>
        <v>2.048464814482696</v>
      </c>
      <c r="J14" s="332">
        <f t="shared" si="2"/>
        <v>2.0004014000377774E-3</v>
      </c>
      <c r="K14" s="333"/>
      <c r="L14" s="332">
        <f t="shared" si="3"/>
        <v>9.4590106603537755E-3</v>
      </c>
      <c r="M14" s="334"/>
      <c r="N14" s="371">
        <f t="shared" si="5"/>
        <v>2.3105975570330854</v>
      </c>
      <c r="Q14">
        <f t="shared" si="6"/>
        <v>1.1094387514338435</v>
      </c>
      <c r="R14">
        <f t="shared" si="7"/>
        <v>0.52868409458818744</v>
      </c>
      <c r="T14" t="s">
        <v>431</v>
      </c>
      <c r="U14" s="244">
        <v>53</v>
      </c>
      <c r="V14" s="254">
        <v>0.98790920325285947</v>
      </c>
      <c r="W14" s="246"/>
      <c r="X14" s="254">
        <v>1.0390541722119293E-4</v>
      </c>
      <c r="Y14" s="246"/>
      <c r="Z14" s="248">
        <v>2.0515211325975122</v>
      </c>
      <c r="AA14" s="245">
        <v>7.0012298867069252E-3</v>
      </c>
      <c r="AB14" s="249"/>
      <c r="AC14" s="245">
        <v>1.5971463960407929E-2</v>
      </c>
      <c r="AD14" s="246"/>
      <c r="AE14" s="250">
        <v>4.1937471056989892</v>
      </c>
    </row>
    <row r="15" spans="1:31" ht="15">
      <c r="A15" t="s">
        <v>305</v>
      </c>
      <c r="C15" s="384"/>
      <c r="D15" s="335">
        <v>400</v>
      </c>
      <c r="E15" s="354">
        <f t="shared" si="8"/>
        <v>0.98806370151663669</v>
      </c>
      <c r="F15" s="337"/>
      <c r="G15" s="354">
        <f t="shared" si="9"/>
        <v>1.0853771429215519E-4</v>
      </c>
      <c r="H15" s="337"/>
      <c r="I15" s="339">
        <f t="shared" si="4"/>
        <v>2.0463376808009466</v>
      </c>
      <c r="J15" s="340">
        <f t="shared" si="2"/>
        <v>5.4010837801019987E-3</v>
      </c>
      <c r="K15" s="341"/>
      <c r="L15" s="340">
        <f t="shared" si="3"/>
        <v>3.5263713914005851E-3</v>
      </c>
      <c r="M15" s="337"/>
      <c r="N15" s="366">
        <f t="shared" si="5"/>
        <v>2.1192125048247124</v>
      </c>
      <c r="Q15">
        <f t="shared" si="6"/>
        <v>1.4510941060856057</v>
      </c>
      <c r="R15">
        <f t="shared" si="7"/>
        <v>0.17013817942347936</v>
      </c>
      <c r="U15" s="244">
        <v>400</v>
      </c>
      <c r="V15" s="254">
        <v>0.98790620307913934</v>
      </c>
      <c r="W15" s="246"/>
      <c r="X15" s="254">
        <v>1.0384736225830839E-4</v>
      </c>
      <c r="Y15" s="246"/>
      <c r="Z15" s="248">
        <v>2.0517782373420035</v>
      </c>
      <c r="AA15" s="251">
        <v>6.001054188605936E-3</v>
      </c>
      <c r="AB15" s="246"/>
      <c r="AC15" s="251">
        <v>1.6655867547403561E-3</v>
      </c>
      <c r="AD15" s="246"/>
      <c r="AE15" s="250">
        <v>2.3232812676394929</v>
      </c>
    </row>
    <row r="16" spans="1:31" ht="15">
      <c r="A16" t="s">
        <v>306</v>
      </c>
      <c r="C16" s="296"/>
      <c r="D16" s="342" t="s">
        <v>342</v>
      </c>
      <c r="E16" s="355">
        <f t="shared" si="8"/>
        <v>0.9880457002467633</v>
      </c>
      <c r="F16" s="344"/>
      <c r="G16" s="355">
        <f t="shared" si="9"/>
        <v>1.0819874295228952E-4</v>
      </c>
      <c r="H16" s="344"/>
      <c r="I16" s="346">
        <f t="shared" si="4"/>
        <v>2.0476407387398754</v>
      </c>
      <c r="J16" s="347">
        <f t="shared" si="2"/>
        <v>5.6011239201057767E-3</v>
      </c>
      <c r="K16" s="348"/>
      <c r="L16" s="347">
        <f t="shared" si="3"/>
        <v>3.42926948571836E-3</v>
      </c>
      <c r="M16" s="344"/>
      <c r="N16" s="369">
        <f t="shared" si="5"/>
        <v>2.1437929059074747</v>
      </c>
      <c r="Q16">
        <f t="shared" si="6"/>
        <v>1.4094241416307274</v>
      </c>
      <c r="R16">
        <f t="shared" si="7"/>
        <v>0.11670424026089525</v>
      </c>
      <c r="U16" s="244" t="s">
        <v>342</v>
      </c>
      <c r="V16" s="254">
        <v>0.98789320232635225</v>
      </c>
      <c r="W16" s="246"/>
      <c r="X16" s="254">
        <v>1.0384494955129747E-4</v>
      </c>
      <c r="Y16" s="246"/>
      <c r="Z16" s="248">
        <v>2.0517821006930346</v>
      </c>
      <c r="AA16" s="251">
        <v>5.2009136301251445E-3</v>
      </c>
      <c r="AB16" s="246"/>
      <c r="AC16" s="251">
        <v>1.1604210541228648E-3</v>
      </c>
      <c r="AD16" s="246"/>
      <c r="AE16" s="250">
        <v>2.1048017888771096</v>
      </c>
    </row>
    <row r="17" spans="1:31" ht="15">
      <c r="A17" t="s">
        <v>307</v>
      </c>
      <c r="C17" s="384" t="s">
        <v>463</v>
      </c>
      <c r="D17" s="327">
        <v>53</v>
      </c>
      <c r="E17" s="356">
        <f>VLOOKUP(A17,Results,7,FALSE)</f>
        <v>9.9137893538498769</v>
      </c>
      <c r="F17" s="334"/>
      <c r="G17" s="356">
        <f t="shared" ref="G17:G22" si="10">VLOOKUP(A17,Uncertainty,4,FALSE())</f>
        <v>1.3301721501168371E-3</v>
      </c>
      <c r="H17" s="334"/>
      <c r="I17" s="331">
        <f t="shared" si="4"/>
        <v>2.0488771523373699</v>
      </c>
      <c r="J17" s="328">
        <f>VLOOKUP(A17,Results,5,FALSE)</f>
        <v>2.0004014000377771E-2</v>
      </c>
      <c r="K17" s="357"/>
      <c r="L17" s="328">
        <f t="shared" si="3"/>
        <v>9.459878912365248E-2</v>
      </c>
      <c r="M17" s="334"/>
      <c r="N17" s="371">
        <f t="shared" si="5"/>
        <v>2.31033768638473</v>
      </c>
      <c r="Q17">
        <f t="shared" si="6"/>
        <v>0.61297287129186717</v>
      </c>
      <c r="R17">
        <f t="shared" si="7"/>
        <v>0.63437431367092212</v>
      </c>
      <c r="T17" t="s">
        <v>432</v>
      </c>
      <c r="U17" s="244">
        <v>53</v>
      </c>
      <c r="V17" s="251">
        <v>9.9129739944077073</v>
      </c>
      <c r="W17" s="246"/>
      <c r="X17" s="251">
        <v>1.0424466322547768E-3</v>
      </c>
      <c r="Y17" s="246"/>
      <c r="Z17" s="248">
        <v>2.051596746989516</v>
      </c>
      <c r="AA17" s="255">
        <v>-4.0007027924039568E-2</v>
      </c>
      <c r="AB17" s="256"/>
      <c r="AC17" s="255">
        <v>0.15984915351888396</v>
      </c>
      <c r="AD17" s="246"/>
      <c r="AE17" s="250">
        <v>4.1984840531437744</v>
      </c>
    </row>
    <row r="18" spans="1:31" ht="15">
      <c r="A18" t="s">
        <v>308</v>
      </c>
      <c r="C18" s="384"/>
      <c r="D18" s="335">
        <v>400</v>
      </c>
      <c r="E18" s="340">
        <f>VLOOKUP(A18,Results,7,FALSE)</f>
        <v>9.9137703525094558</v>
      </c>
      <c r="F18" s="337"/>
      <c r="G18" s="340">
        <f t="shared" si="10"/>
        <v>1.0864186996645624E-3</v>
      </c>
      <c r="H18" s="337"/>
      <c r="I18" s="339">
        <f t="shared" si="4"/>
        <v>2.0473503445180388</v>
      </c>
      <c r="J18" s="349">
        <f>VLOOKUP(A18,Results,5,FALSE)</f>
        <v>4.0008028000755548E-3</v>
      </c>
      <c r="K18" s="341"/>
      <c r="L18" s="336">
        <f t="shared" si="3"/>
        <v>3.5329843366005448E-2</v>
      </c>
      <c r="M18" s="337"/>
      <c r="N18" s="366">
        <f t="shared" si="5"/>
        <v>2.1205900476010155</v>
      </c>
      <c r="Q18">
        <f t="shared" si="6"/>
        <v>0.70355586568036055</v>
      </c>
      <c r="R18">
        <f t="shared" si="7"/>
        <v>2.830682491481604E-2</v>
      </c>
      <c r="U18" s="244">
        <v>400</v>
      </c>
      <c r="V18" s="251">
        <v>9.913005996260722</v>
      </c>
      <c r="W18" s="246"/>
      <c r="X18" s="251">
        <v>1.0418734923354123E-3</v>
      </c>
      <c r="Y18" s="246"/>
      <c r="Z18" s="248">
        <v>2.0518524156796829</v>
      </c>
      <c r="AA18" s="252">
        <v>5.000878490504946E-3</v>
      </c>
      <c r="AB18" s="246"/>
      <c r="AC18" s="245">
        <v>1.6624696929605817E-2</v>
      </c>
      <c r="AD18" s="246"/>
      <c r="AE18" s="250">
        <v>2.3379364103923703</v>
      </c>
    </row>
    <row r="19" spans="1:31" ht="15">
      <c r="A19" t="s">
        <v>309</v>
      </c>
      <c r="C19" s="296"/>
      <c r="D19" s="342" t="s">
        <v>342</v>
      </c>
      <c r="E19" s="347">
        <f>VLOOKUP(A19,Results,7,FALSE)</f>
        <v>9.913637343126501</v>
      </c>
      <c r="F19" s="344"/>
      <c r="G19" s="347">
        <f t="shared" si="10"/>
        <v>1.083041859335662E-3</v>
      </c>
      <c r="H19" s="344"/>
      <c r="I19" s="346">
        <f t="shared" si="4"/>
        <v>2.0486684116034093</v>
      </c>
      <c r="J19" s="358">
        <f>VLOOKUP(A19,Results,5,FALSE)</f>
        <v>7.0014049001322206E-3</v>
      </c>
      <c r="K19" s="348"/>
      <c r="L19" s="343">
        <f t="shared" si="3"/>
        <v>3.4363695765442508E-2</v>
      </c>
      <c r="M19" s="344"/>
      <c r="N19" s="369">
        <f t="shared" si="5"/>
        <v>2.1453797983810055</v>
      </c>
      <c r="Q19">
        <f t="shared" si="6"/>
        <v>0.55708395681315148</v>
      </c>
      <c r="R19">
        <f t="shared" si="7"/>
        <v>0.11642745975689534</v>
      </c>
      <c r="U19" s="244" t="s">
        <v>342</v>
      </c>
      <c r="V19" s="251">
        <v>9.913033997882108</v>
      </c>
      <c r="W19" s="246"/>
      <c r="X19" s="251">
        <v>1.041866729144513E-3</v>
      </c>
      <c r="Y19" s="246"/>
      <c r="Z19" s="248">
        <v>2.0518562619758147</v>
      </c>
      <c r="AA19" s="252">
        <v>3.000527094302968E-3</v>
      </c>
      <c r="AB19" s="246"/>
      <c r="AC19" s="245">
        <v>1.1499123337948102E-2</v>
      </c>
      <c r="AD19" s="246"/>
      <c r="AE19" s="250">
        <v>2.1148614177193279</v>
      </c>
    </row>
    <row r="20" spans="1:31" ht="15">
      <c r="A20" t="s">
        <v>316</v>
      </c>
      <c r="C20" s="384" t="s">
        <v>433</v>
      </c>
      <c r="D20" s="327">
        <v>53</v>
      </c>
      <c r="E20" s="332">
        <f t="shared" si="0"/>
        <v>100.03668694257213</v>
      </c>
      <c r="F20" s="334"/>
      <c r="G20" s="332">
        <f t="shared" si="10"/>
        <v>1.1775777308650126E-2</v>
      </c>
      <c r="H20" s="334"/>
      <c r="I20" s="331">
        <f t="shared" si="4"/>
        <v>2.0993861171555226</v>
      </c>
      <c r="J20" s="359">
        <f>VLOOKUP(A20,Results,5,FALSE)*1000</f>
        <v>0.20004014000377773</v>
      </c>
      <c r="K20" s="360"/>
      <c r="L20" s="359">
        <f>VLOOKUP(A20,Uncertainty,2,FALSE)*1000</f>
        <v>0.94645681054301356</v>
      </c>
      <c r="M20" s="334"/>
      <c r="N20" s="371">
        <f t="shared" si="5"/>
        <v>2.308331439091805</v>
      </c>
      <c r="Q20">
        <f t="shared" si="6"/>
        <v>7.5963989318067346E-2</v>
      </c>
      <c r="R20">
        <f t="shared" si="7"/>
        <v>0.10567050531248075</v>
      </c>
      <c r="T20" t="s">
        <v>433</v>
      </c>
      <c r="U20" s="244">
        <v>53</v>
      </c>
      <c r="V20" s="245">
        <v>100.03579240755045</v>
      </c>
      <c r="W20" s="246"/>
      <c r="X20" s="245">
        <v>8.8059083261186402E-3</v>
      </c>
      <c r="Y20" s="246"/>
      <c r="Z20" s="248">
        <v>2.1233947319278905</v>
      </c>
      <c r="AA20" s="264">
        <v>0.30005270943029683</v>
      </c>
      <c r="AB20" s="246"/>
      <c r="AC20" s="264">
        <v>1.5977651245011155</v>
      </c>
      <c r="AD20" s="246"/>
      <c r="AE20" s="250">
        <v>4.195923386642507</v>
      </c>
    </row>
    <row r="21" spans="1:31" ht="15">
      <c r="A21" t="s">
        <v>317</v>
      </c>
      <c r="C21" s="384"/>
      <c r="D21" s="335">
        <v>400</v>
      </c>
      <c r="E21" s="336">
        <f t="shared" si="0"/>
        <v>100.03664693975018</v>
      </c>
      <c r="F21" s="337"/>
      <c r="G21" s="336">
        <f t="shared" si="10"/>
        <v>8.8537872689248478E-3</v>
      </c>
      <c r="H21" s="337"/>
      <c r="I21" s="339">
        <f t="shared" si="4"/>
        <v>2.1181157134150861</v>
      </c>
      <c r="J21" s="361">
        <f>VLOOKUP(A21,Results,5,FALSE)*1000</f>
        <v>6.0012042001133317E-2</v>
      </c>
      <c r="K21" s="341"/>
      <c r="L21" s="361">
        <f>VLOOKUP(A21,Uncertainty,2,FALSE)*1000</f>
        <v>0.35627586085908713</v>
      </c>
      <c r="M21" s="337"/>
      <c r="N21" s="366">
        <f t="shared" si="5"/>
        <v>2.1210238562243977</v>
      </c>
      <c r="Q21">
        <f t="shared" si="6"/>
        <v>9.6516007645463225E-2</v>
      </c>
      <c r="R21">
        <f t="shared" si="7"/>
        <v>5.61503494198448E-2</v>
      </c>
      <c r="U21" s="244">
        <v>400</v>
      </c>
      <c r="V21" s="245">
        <v>100.03579240755045</v>
      </c>
      <c r="W21" s="246"/>
      <c r="X21" s="245">
        <v>8.7998741896239217E-3</v>
      </c>
      <c r="Y21" s="246"/>
      <c r="Z21" s="248">
        <v>2.1241003930150244</v>
      </c>
      <c r="AA21" s="255">
        <v>4.0007027924039568E-2</v>
      </c>
      <c r="AB21" s="246"/>
      <c r="AC21" s="255">
        <v>0.16658012000687741</v>
      </c>
      <c r="AD21" s="246"/>
      <c r="AE21" s="250">
        <v>2.3322462697601249</v>
      </c>
    </row>
    <row r="22" spans="1:31" ht="15.75" thickBot="1">
      <c r="A22" t="s">
        <v>318</v>
      </c>
      <c r="C22" s="296"/>
      <c r="D22" s="342" t="s">
        <v>342</v>
      </c>
      <c r="E22" s="343">
        <f t="shared" si="0"/>
        <v>100.03666694116116</v>
      </c>
      <c r="F22" s="344"/>
      <c r="G22" s="343">
        <f t="shared" si="10"/>
        <v>8.8170285725435466E-3</v>
      </c>
      <c r="H22" s="344"/>
      <c r="I22" s="346">
        <f t="shared" si="4"/>
        <v>2.1221121413701569</v>
      </c>
      <c r="J22" s="375">
        <f>VLOOKUP(A22,Results,5,FALSE)*1000</f>
        <v>6.0012042001133317E-2</v>
      </c>
      <c r="K22" s="348"/>
      <c r="L22" s="375">
        <f>VLOOKUP(A22,Uncertainty,2,FALSE)*1000</f>
        <v>0.3467187943589698</v>
      </c>
      <c r="M22" s="344"/>
      <c r="N22" s="369">
        <f t="shared" si="5"/>
        <v>2.145513813926037</v>
      </c>
      <c r="Q22">
        <f t="shared" si="6"/>
        <v>0.1309454557271304</v>
      </c>
      <c r="R22">
        <f t="shared" si="7"/>
        <v>0.11539186421400432</v>
      </c>
      <c r="U22" s="257" t="s">
        <v>342</v>
      </c>
      <c r="V22" s="258">
        <v>100.03551239133657</v>
      </c>
      <c r="W22" s="259"/>
      <c r="X22" s="258">
        <v>8.7997590107029913E-3</v>
      </c>
      <c r="Y22" s="259"/>
      <c r="Z22" s="260">
        <v>2.1241110202475877</v>
      </c>
      <c r="AA22" s="261">
        <v>2.0003513962019784E-2</v>
      </c>
      <c r="AB22" s="259"/>
      <c r="AC22" s="261">
        <v>0.11587094438165103</v>
      </c>
      <c r="AD22" s="259"/>
      <c r="AE22" s="262">
        <v>2.1149820959754395</v>
      </c>
    </row>
    <row r="23" spans="1:31" ht="15.75" thickTop="1"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3"/>
      <c r="N23" s="263"/>
    </row>
    <row r="24" spans="1:31" ht="31.5" customHeight="1">
      <c r="C24" s="379" t="s">
        <v>337</v>
      </c>
      <c r="D24" s="380" t="s">
        <v>312</v>
      </c>
      <c r="E24" s="472" t="s">
        <v>7</v>
      </c>
      <c r="F24" s="473"/>
      <c r="G24" s="474" t="s">
        <v>466</v>
      </c>
      <c r="H24" s="473"/>
      <c r="I24" s="381" t="s">
        <v>467</v>
      </c>
      <c r="J24" s="472" t="s">
        <v>345</v>
      </c>
      <c r="K24" s="473"/>
      <c r="L24" s="474" t="s">
        <v>466</v>
      </c>
      <c r="M24" s="473"/>
      <c r="N24" s="382" t="s">
        <v>467</v>
      </c>
      <c r="T24" t="s">
        <v>337</v>
      </c>
      <c r="U24" t="s">
        <v>312</v>
      </c>
      <c r="V24" t="s">
        <v>7</v>
      </c>
      <c r="X24" t="s">
        <v>338</v>
      </c>
      <c r="Z24" t="s">
        <v>148</v>
      </c>
      <c r="AA24" t="s">
        <v>345</v>
      </c>
      <c r="AC24" t="s">
        <v>338</v>
      </c>
      <c r="AE24" t="s">
        <v>148</v>
      </c>
    </row>
    <row r="25" spans="1:31" ht="15">
      <c r="C25" s="296"/>
      <c r="D25" s="296" t="s">
        <v>339</v>
      </c>
      <c r="E25" s="470" t="s">
        <v>425</v>
      </c>
      <c r="F25" s="471"/>
      <c r="G25" s="470" t="s">
        <v>425</v>
      </c>
      <c r="H25" s="471"/>
      <c r="I25" s="296"/>
      <c r="J25" s="470" t="s">
        <v>346</v>
      </c>
      <c r="K25" s="471"/>
      <c r="L25" s="470" t="s">
        <v>346</v>
      </c>
      <c r="M25" s="471"/>
      <c r="N25" s="295"/>
      <c r="U25" t="s">
        <v>339</v>
      </c>
      <c r="V25" t="s">
        <v>425</v>
      </c>
      <c r="X25" t="s">
        <v>425</v>
      </c>
      <c r="Z25" t="s">
        <v>150</v>
      </c>
      <c r="AA25" t="s">
        <v>346</v>
      </c>
      <c r="AC25" t="s">
        <v>346</v>
      </c>
      <c r="AE25" t="s">
        <v>150</v>
      </c>
    </row>
    <row r="26" spans="1:31" ht="15">
      <c r="A26" t="s">
        <v>319</v>
      </c>
      <c r="C26" s="384" t="s">
        <v>434</v>
      </c>
      <c r="D26" s="327">
        <v>53</v>
      </c>
      <c r="E26" s="350">
        <f t="shared" ref="E26:E31" si="11">VLOOKUP(A26,Results,7,FALSE)/1000</f>
        <v>1.0002425606565399</v>
      </c>
      <c r="F26" s="351"/>
      <c r="G26" s="350">
        <f t="shared" ref="G26:G31" si="12">VLOOKUP(A26,Uncertainty,4,FALSE())/1000</f>
        <v>1.1775059787903941E-4</v>
      </c>
      <c r="H26" s="351"/>
      <c r="I26" s="331">
        <f t="shared" ref="I26:I34" si="13">VLOOKUP(A26,Uncertainty,5,FALSE())</f>
        <v>2.099400571484817</v>
      </c>
      <c r="J26" s="362">
        <f>VLOOKUP(A26,Results,10,FALSE)</f>
        <v>2.4992891445682854</v>
      </c>
      <c r="K26" s="363"/>
      <c r="L26" s="362">
        <f t="shared" ref="L26:L34" si="14">VLOOKUP(A26,Uncertainty,6,FALSE)</f>
        <v>9.4599129742506136</v>
      </c>
      <c r="M26" s="363"/>
      <c r="N26" s="371">
        <f t="shared" ref="N26:N34" si="15">VLOOKUP(A26,Uncertainty,3,FALSE())</f>
        <v>2.3083590944567671</v>
      </c>
      <c r="Q26">
        <f>ABS((E26-V26)/G26)</f>
        <v>0.11587245624320254</v>
      </c>
      <c r="R26">
        <f>ABS((J26-AA26)/L26)</f>
        <v>0.2536299601207056</v>
      </c>
      <c r="T26" t="s">
        <v>434</v>
      </c>
      <c r="U26" s="244">
        <v>53</v>
      </c>
      <c r="V26" s="460">
        <v>1.0002289166055396</v>
      </c>
      <c r="W26" s="461" t="e">
        <v>#N/A</v>
      </c>
      <c r="X26" s="460">
        <v>8.8047747347056465E-5</v>
      </c>
      <c r="Y26" s="461"/>
      <c r="Z26" s="248">
        <v>2.1233944956082156</v>
      </c>
      <c r="AA26" s="462">
        <v>9.99717941637564E-2</v>
      </c>
      <c r="AB26" s="463"/>
      <c r="AC26" s="462">
        <v>15.970442421850175</v>
      </c>
      <c r="AD26" s="463"/>
      <c r="AE26" s="250">
        <v>4.1959599841492805</v>
      </c>
    </row>
    <row r="27" spans="1:31" ht="15">
      <c r="A27" t="s">
        <v>320</v>
      </c>
      <c r="C27" s="384"/>
      <c r="D27" s="335">
        <v>400</v>
      </c>
      <c r="E27" s="354">
        <f t="shared" si="11"/>
        <v>1.0002429606847594</v>
      </c>
      <c r="F27" s="364"/>
      <c r="G27" s="354">
        <f t="shared" si="12"/>
        <v>8.8527037353237461E-5</v>
      </c>
      <c r="H27" s="364"/>
      <c r="I27" s="339">
        <f t="shared" si="13"/>
        <v>2.1181145322970458</v>
      </c>
      <c r="J27" s="365">
        <f t="shared" ref="J27:J34" si="16">VLOOKUP(A27,Results,10,FALSE)</f>
        <v>-0.49985742909640252</v>
      </c>
      <c r="K27" s="366"/>
      <c r="L27" s="365">
        <f t="shared" si="14"/>
        <v>3.5606182907698942</v>
      </c>
      <c r="M27" s="366"/>
      <c r="N27" s="366">
        <f t="shared" si="15"/>
        <v>2.1210179346639602</v>
      </c>
      <c r="Q27">
        <f t="shared" ref="Q27:Q34" si="17">ABS((E27-V27)/G27)</f>
        <v>0.15864169455654595</v>
      </c>
      <c r="R27">
        <f t="shared" ref="R27:R34" si="18">ABS((J27-AA27)/L27)</f>
        <v>5.6153743613416296E-2</v>
      </c>
      <c r="U27" s="244">
        <v>400</v>
      </c>
      <c r="V27" s="460">
        <v>1.0002289166055396</v>
      </c>
      <c r="W27" s="461" t="e">
        <v>#N/A</v>
      </c>
      <c r="X27" s="460">
        <v>8.7987398189674507E-5</v>
      </c>
      <c r="Y27" s="461"/>
      <c r="Z27" s="248">
        <v>2.1241003377589718</v>
      </c>
      <c r="AA27" s="458">
        <v>-0.29991538249126931</v>
      </c>
      <c r="AB27" s="459"/>
      <c r="AC27" s="458">
        <v>1.6649906453220498</v>
      </c>
      <c r="AD27" s="459"/>
      <c r="AE27" s="250">
        <v>2.3323262962309159</v>
      </c>
    </row>
    <row r="28" spans="1:31" ht="15">
      <c r="A28" t="s">
        <v>321</v>
      </c>
      <c r="C28" s="296"/>
      <c r="D28" s="342" t="s">
        <v>342</v>
      </c>
      <c r="E28" s="355">
        <f t="shared" si="11"/>
        <v>1.0002386603814009</v>
      </c>
      <c r="F28" s="367"/>
      <c r="G28" s="355">
        <f t="shared" si="12"/>
        <v>8.8158990254942531E-5</v>
      </c>
      <c r="H28" s="367"/>
      <c r="I28" s="346">
        <f t="shared" si="13"/>
        <v>2.1221118878480323</v>
      </c>
      <c r="J28" s="368">
        <f t="shared" si="16"/>
        <v>-0.59983407258843535</v>
      </c>
      <c r="K28" s="369"/>
      <c r="L28" s="368">
        <f t="shared" si="14"/>
        <v>3.4650942008074561</v>
      </c>
      <c r="M28" s="369"/>
      <c r="N28" s="369">
        <f t="shared" si="15"/>
        <v>2.1455119262647102</v>
      </c>
      <c r="Q28">
        <f t="shared" si="17"/>
        <v>0.14909395747364299</v>
      </c>
      <c r="R28">
        <f t="shared" si="18"/>
        <v>0.1154049794019627</v>
      </c>
      <c r="U28" s="244" t="s">
        <v>342</v>
      </c>
      <c r="V28" s="460">
        <v>1.0002255164086569</v>
      </c>
      <c r="W28" s="461" t="e">
        <v>#N/A</v>
      </c>
      <c r="X28" s="460">
        <v>8.7986202315322773E-5</v>
      </c>
      <c r="Y28" s="461"/>
      <c r="Z28" s="248">
        <v>2.1241109675239245</v>
      </c>
      <c r="AA28" s="458">
        <v>-0.19994494771839047</v>
      </c>
      <c r="AB28" s="459"/>
      <c r="AC28" s="458">
        <v>1.1580610552363195</v>
      </c>
      <c r="AD28" s="459"/>
      <c r="AE28" s="250">
        <v>2.1149802921589331</v>
      </c>
    </row>
    <row r="29" spans="1:31" ht="15">
      <c r="A29" t="s">
        <v>322</v>
      </c>
      <c r="C29" s="384" t="s">
        <v>435</v>
      </c>
      <c r="D29" s="327">
        <v>53</v>
      </c>
      <c r="E29" s="356">
        <f t="shared" si="11"/>
        <v>10.002075581873418</v>
      </c>
      <c r="F29" s="370"/>
      <c r="G29" s="356">
        <f t="shared" si="12"/>
        <v>1.1774846862171616E-3</v>
      </c>
      <c r="H29" s="370"/>
      <c r="I29" s="331">
        <f t="shared" si="13"/>
        <v>2.0994048623960708</v>
      </c>
      <c r="J29" s="359">
        <f t="shared" si="16"/>
        <v>0.76983493476252307</v>
      </c>
      <c r="K29" s="371"/>
      <c r="L29" s="359">
        <f t="shared" si="14"/>
        <v>0.94605557021394571</v>
      </c>
      <c r="M29" s="371"/>
      <c r="N29" s="371">
        <f t="shared" si="15"/>
        <v>2.308367301241768</v>
      </c>
      <c r="Q29">
        <f t="shared" si="17"/>
        <v>0.32480280626433766</v>
      </c>
      <c r="R29">
        <f t="shared" si="18"/>
        <v>5.2884299202800286E-2</v>
      </c>
      <c r="T29" t="s">
        <v>435</v>
      </c>
      <c r="U29" s="244">
        <v>53</v>
      </c>
      <c r="V29" s="456">
        <v>10.001693131543002</v>
      </c>
      <c r="W29" s="457" t="e">
        <v>#N/A</v>
      </c>
      <c r="X29" s="456">
        <v>8.8042351805616608E-4</v>
      </c>
      <c r="Y29" s="457"/>
      <c r="Z29" s="248">
        <v>2.1233943830807589</v>
      </c>
      <c r="AA29" s="458">
        <v>0.81986642060019321</v>
      </c>
      <c r="AB29" s="459"/>
      <c r="AC29" s="458">
        <v>1.5972395319096648</v>
      </c>
      <c r="AD29" s="459"/>
      <c r="AE29" s="250">
        <v>4.1959773966900737</v>
      </c>
    </row>
    <row r="30" spans="1:31" ht="15">
      <c r="A30" t="s">
        <v>323</v>
      </c>
      <c r="C30" s="384"/>
      <c r="D30" s="335">
        <v>400</v>
      </c>
      <c r="E30" s="340">
        <f t="shared" si="11"/>
        <v>10.002071581591222</v>
      </c>
      <c r="F30" s="372"/>
      <c r="G30" s="340">
        <f t="shared" si="12"/>
        <v>8.852377013003047E-4</v>
      </c>
      <c r="H30" s="372"/>
      <c r="I30" s="339">
        <f t="shared" si="13"/>
        <v>2.1181141758735209</v>
      </c>
      <c r="J30" s="361">
        <f t="shared" si="16"/>
        <v>0.6298654504471185</v>
      </c>
      <c r="K30" s="373"/>
      <c r="L30" s="361">
        <f t="shared" si="14"/>
        <v>0.35607496505887498</v>
      </c>
      <c r="M30" s="373"/>
      <c r="N30" s="366">
        <f t="shared" si="15"/>
        <v>2.1210161472868072</v>
      </c>
      <c r="Q30">
        <f t="shared" si="17"/>
        <v>0.42977175901660802</v>
      </c>
      <c r="R30">
        <f t="shared" si="18"/>
        <v>2.8169765848475681E-2</v>
      </c>
      <c r="U30" s="244">
        <v>400</v>
      </c>
      <c r="V30" s="456">
        <v>10.001691131427187</v>
      </c>
      <c r="W30" s="457" t="e">
        <v>#N/A</v>
      </c>
      <c r="X30" s="456">
        <v>8.7981998939067898E-4</v>
      </c>
      <c r="Y30" s="457"/>
      <c r="Z30" s="248">
        <v>2.1241003114306687</v>
      </c>
      <c r="AA30" s="454">
        <v>0.63989599883733117</v>
      </c>
      <c r="AB30" s="455"/>
      <c r="AC30" s="454">
        <v>0.16651668506289735</v>
      </c>
      <c r="AD30" s="455"/>
      <c r="AE30" s="250">
        <v>2.3323643740866609</v>
      </c>
    </row>
    <row r="31" spans="1:31" ht="15">
      <c r="A31" t="s">
        <v>324</v>
      </c>
      <c r="C31" s="296"/>
      <c r="D31" s="342" t="s">
        <v>342</v>
      </c>
      <c r="E31" s="347">
        <f t="shared" si="11"/>
        <v>10.002039579333671</v>
      </c>
      <c r="F31" s="374"/>
      <c r="G31" s="347">
        <f t="shared" si="12"/>
        <v>8.8155840911658962E-4</v>
      </c>
      <c r="H31" s="374"/>
      <c r="I31" s="346">
        <f t="shared" si="13"/>
        <v>2.1221118169566999</v>
      </c>
      <c r="J31" s="375">
        <f t="shared" si="16"/>
        <v>0.60987362451334604</v>
      </c>
      <c r="K31" s="376"/>
      <c r="L31" s="375">
        <f t="shared" si="14"/>
        <v>0.34652121424398524</v>
      </c>
      <c r="M31" s="376"/>
      <c r="N31" s="369">
        <f t="shared" si="15"/>
        <v>2.1455113980069549</v>
      </c>
      <c r="Q31">
        <f t="shared" si="17"/>
        <v>0.41227985726685829</v>
      </c>
      <c r="R31">
        <f t="shared" si="18"/>
        <v>0.11549855284867212</v>
      </c>
      <c r="U31" s="244" t="s">
        <v>342</v>
      </c>
      <c r="V31" s="456">
        <v>10.001676130558588</v>
      </c>
      <c r="W31" s="457" t="e">
        <v>#N/A</v>
      </c>
      <c r="X31" s="456">
        <v>8.7980970088718266E-4</v>
      </c>
      <c r="Y31" s="457"/>
      <c r="Z31" s="248">
        <v>2.1241109432713281</v>
      </c>
      <c r="AA31" s="454">
        <v>0.649896323289891</v>
      </c>
      <c r="AB31" s="455"/>
      <c r="AC31" s="454">
        <v>0.1158137292250174</v>
      </c>
      <c r="AD31" s="455"/>
      <c r="AE31" s="250">
        <v>2.1149794491578868</v>
      </c>
    </row>
    <row r="32" spans="1:31" ht="15">
      <c r="A32" t="s">
        <v>325</v>
      </c>
      <c r="C32" s="384" t="s">
        <v>436</v>
      </c>
      <c r="D32" s="327">
        <v>53</v>
      </c>
      <c r="E32" s="332">
        <f>VLOOKUP(A32,Results,7,FALSE)</f>
        <v>100.02772695045779</v>
      </c>
      <c r="F32" s="377"/>
      <c r="G32" s="332">
        <f>VLOOKUP(A32,Uncertainty,4,FALSE())</f>
        <v>1.1775632861907534E-2</v>
      </c>
      <c r="H32" s="377"/>
      <c r="I32" s="331">
        <f t="shared" si="13"/>
        <v>2.0993890156057242</v>
      </c>
      <c r="J32" s="328">
        <f t="shared" si="16"/>
        <v>0.80966169133340371</v>
      </c>
      <c r="K32" s="329"/>
      <c r="L32" s="328">
        <f t="shared" si="14"/>
        <v>9.459308818911194E-2</v>
      </c>
      <c r="M32" s="329"/>
      <c r="N32" s="371">
        <f t="shared" si="15"/>
        <v>2.3083369154489493</v>
      </c>
      <c r="Q32">
        <f t="shared" si="17"/>
        <v>0.25768124570341244</v>
      </c>
      <c r="R32">
        <f t="shared" si="18"/>
        <v>0.10537868184779964</v>
      </c>
      <c r="T32" t="s">
        <v>436</v>
      </c>
      <c r="U32" s="244">
        <v>53</v>
      </c>
      <c r="V32" s="452">
        <v>100.02469259071299</v>
      </c>
      <c r="W32" s="453" t="e">
        <v>#N/A</v>
      </c>
      <c r="X32" s="452">
        <v>8.8055041271744416E-3</v>
      </c>
      <c r="Y32" s="453"/>
      <c r="Z32" s="248">
        <v>2.1233946444676275</v>
      </c>
      <c r="AA32" s="454">
        <v>0.79969359638812243</v>
      </c>
      <c r="AB32" s="455"/>
      <c r="AC32" s="454">
        <v>0.15969797232734037</v>
      </c>
      <c r="AD32" s="455"/>
      <c r="AE32" s="250">
        <v>4.1959352592676078</v>
      </c>
    </row>
    <row r="33" spans="1:31" ht="15">
      <c r="A33" t="s">
        <v>326</v>
      </c>
      <c r="C33" s="384"/>
      <c r="D33" s="335">
        <v>400</v>
      </c>
      <c r="E33" s="336">
        <f>VLOOKUP(A33,Results,7,FALSE)</f>
        <v>100.02739694829044</v>
      </c>
      <c r="F33" s="378"/>
      <c r="G33" s="336">
        <f>VLOOKUP(A33,Uncertainty,4,FALSE())</f>
        <v>8.8535370190378545E-3</v>
      </c>
      <c r="H33" s="378"/>
      <c r="I33" s="339">
        <f t="shared" si="13"/>
        <v>2.1181154108355384</v>
      </c>
      <c r="J33" s="336">
        <f t="shared" si="16"/>
        <v>0.77668059897532171</v>
      </c>
      <c r="K33" s="378"/>
      <c r="L33" s="336">
        <f t="shared" si="14"/>
        <v>3.5607133520440634E-2</v>
      </c>
      <c r="M33" s="378"/>
      <c r="N33" s="366">
        <f t="shared" si="15"/>
        <v>2.1210222502976253</v>
      </c>
      <c r="Q33">
        <f t="shared" si="17"/>
        <v>0.33708060301652926</v>
      </c>
      <c r="R33">
        <f t="shared" si="18"/>
        <v>0.1411028472903737</v>
      </c>
      <c r="U33" s="244">
        <v>400</v>
      </c>
      <c r="V33" s="452">
        <v>100.02441259269324</v>
      </c>
      <c r="W33" s="453" t="e">
        <v>#N/A</v>
      </c>
      <c r="X33" s="452">
        <v>8.7994442104342672E-3</v>
      </c>
      <c r="Y33" s="453"/>
      <c r="Z33" s="248">
        <v>2.1241003689686417</v>
      </c>
      <c r="AA33" s="452">
        <v>0.78170486689890439</v>
      </c>
      <c r="AB33" s="453"/>
      <c r="AC33" s="452">
        <v>1.6649707390396271E-2</v>
      </c>
      <c r="AD33" s="453"/>
      <c r="AE33" s="250">
        <v>2.3322732044148275</v>
      </c>
    </row>
    <row r="34" spans="1:31" ht="15.75" thickBot="1">
      <c r="A34" t="s">
        <v>327</v>
      </c>
      <c r="C34" s="296"/>
      <c r="D34" s="342" t="s">
        <v>342</v>
      </c>
      <c r="E34" s="343">
        <f>VLOOKUP(A34,Results,7,FALSE)</f>
        <v>100.02626694086891</v>
      </c>
      <c r="F34" s="385"/>
      <c r="G34" s="343">
        <f>VLOOKUP(A34,Uncertainty,4,FALSE())</f>
        <v>8.8166743112247491E-3</v>
      </c>
      <c r="H34" s="385"/>
      <c r="I34" s="346">
        <f t="shared" si="13"/>
        <v>2.1221120317333484</v>
      </c>
      <c r="J34" s="343">
        <f t="shared" si="16"/>
        <v>0.76770164392210249</v>
      </c>
      <c r="K34" s="385"/>
      <c r="L34" s="343">
        <f t="shared" si="14"/>
        <v>3.4652301202699819E-2</v>
      </c>
      <c r="M34" s="385"/>
      <c r="N34" s="369">
        <f t="shared" si="15"/>
        <v>2.1455129294813182</v>
      </c>
      <c r="Q34">
        <f t="shared" si="17"/>
        <v>0.32034089225110107</v>
      </c>
      <c r="R34">
        <f t="shared" si="18"/>
        <v>0.23145743008934744</v>
      </c>
      <c r="U34" s="257" t="s">
        <v>342</v>
      </c>
      <c r="V34" s="464">
        <v>100.02344259955336</v>
      </c>
      <c r="W34" s="465" t="e">
        <v>#N/A</v>
      </c>
      <c r="X34" s="464">
        <v>8.7992674709835121E-3</v>
      </c>
      <c r="Y34" s="465"/>
      <c r="Z34" s="265">
        <v>2.1241109944432002</v>
      </c>
      <c r="AA34" s="464">
        <v>0.7757221765051614</v>
      </c>
      <c r="AB34" s="465"/>
      <c r="AC34" s="464">
        <v>1.1581146156231771E-2</v>
      </c>
      <c r="AD34" s="465"/>
      <c r="AE34" s="262">
        <v>2.1149791841142682</v>
      </c>
    </row>
    <row r="35" spans="1:31" ht="15.75" thickTop="1"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</row>
    <row r="36" spans="1:31" ht="31.5" customHeight="1">
      <c r="C36" s="379" t="s">
        <v>337</v>
      </c>
      <c r="D36" s="380" t="s">
        <v>312</v>
      </c>
      <c r="E36" s="472" t="s">
        <v>347</v>
      </c>
      <c r="F36" s="473"/>
      <c r="G36" s="474" t="s">
        <v>466</v>
      </c>
      <c r="H36" s="473"/>
      <c r="I36" s="381" t="s">
        <v>467</v>
      </c>
      <c r="J36" s="472" t="s">
        <v>345</v>
      </c>
      <c r="K36" s="473"/>
      <c r="L36" s="474" t="s">
        <v>466</v>
      </c>
      <c r="M36" s="473"/>
      <c r="N36" s="382" t="s">
        <v>467</v>
      </c>
      <c r="T36" t="s">
        <v>337</v>
      </c>
      <c r="U36" t="s">
        <v>312</v>
      </c>
      <c r="V36" t="s">
        <v>347</v>
      </c>
      <c r="X36" t="s">
        <v>338</v>
      </c>
      <c r="Z36" t="s">
        <v>148</v>
      </c>
      <c r="AA36" t="s">
        <v>345</v>
      </c>
      <c r="AC36" t="s">
        <v>338</v>
      </c>
      <c r="AE36" t="s">
        <v>148</v>
      </c>
    </row>
    <row r="37" spans="1:31" ht="15">
      <c r="C37" s="296"/>
      <c r="D37" s="296" t="s">
        <v>339</v>
      </c>
      <c r="E37" s="475" t="s">
        <v>348</v>
      </c>
      <c r="F37" s="475"/>
      <c r="G37" s="475" t="s">
        <v>348</v>
      </c>
      <c r="H37" s="475"/>
      <c r="I37" s="296"/>
      <c r="J37" s="475" t="s">
        <v>346</v>
      </c>
      <c r="K37" s="475"/>
      <c r="L37" s="475" t="s">
        <v>346</v>
      </c>
      <c r="M37" s="475"/>
      <c r="N37" s="295"/>
      <c r="U37" t="s">
        <v>339</v>
      </c>
      <c r="V37" t="s">
        <v>348</v>
      </c>
      <c r="X37" t="s">
        <v>348</v>
      </c>
      <c r="Z37" t="s">
        <v>150</v>
      </c>
      <c r="AA37" t="s">
        <v>346</v>
      </c>
      <c r="AC37" t="s">
        <v>346</v>
      </c>
      <c r="AE37" t="s">
        <v>150</v>
      </c>
    </row>
    <row r="38" spans="1:31" ht="15">
      <c r="A38" t="s">
        <v>334</v>
      </c>
      <c r="C38" s="384" t="s">
        <v>349</v>
      </c>
      <c r="D38" s="327">
        <v>53</v>
      </c>
      <c r="E38" s="328">
        <f>VLOOKUP(A38,Results,7,FALSE)</f>
        <v>0</v>
      </c>
      <c r="F38" s="329"/>
      <c r="G38" s="328">
        <f>VLOOKUP(A38,Uncertainty,4,FALSE())</f>
        <v>9.3192141999251271E-2</v>
      </c>
      <c r="H38" s="329"/>
      <c r="I38" s="331">
        <f>VLOOKUP(A38,Uncertainty,5,FALSE())</f>
        <v>2.4687250838135939</v>
      </c>
      <c r="J38" s="332">
        <f>VLOOKUP(A38,Results,5,FALSE())</f>
        <v>0</v>
      </c>
      <c r="K38" s="377"/>
      <c r="L38" s="332">
        <f>VLOOKUP(A38,Uncertainty,2,FALSE)</f>
        <v>9.3192121073023496E-3</v>
      </c>
      <c r="M38" s="329"/>
      <c r="N38" s="371">
        <f>VLOOKUP(A38,Uncertainty,3,FALSE())</f>
        <v>2.4687245294104456</v>
      </c>
      <c r="Q38" s="300">
        <f>ABS((E38-V38)/G38)</f>
        <v>0</v>
      </c>
      <c r="R38" s="300">
        <f>ABS((J38-AA38)/L38)</f>
        <v>0</v>
      </c>
      <c r="T38" t="s">
        <v>349</v>
      </c>
      <c r="U38" s="244">
        <v>53</v>
      </c>
      <c r="V38" s="467">
        <v>0</v>
      </c>
      <c r="W38" s="467" t="e">
        <v>#N/A</v>
      </c>
      <c r="X38" s="467">
        <v>4.3096259485113607E-2</v>
      </c>
      <c r="Y38" s="467"/>
      <c r="Z38" s="248">
        <v>2.0181704041098869</v>
      </c>
      <c r="AA38" s="467">
        <v>0</v>
      </c>
      <c r="AB38" s="467"/>
      <c r="AC38" s="467">
        <v>0.16402607691069304</v>
      </c>
      <c r="AD38" s="467"/>
      <c r="AE38" s="250">
        <v>4.3451656091733968</v>
      </c>
    </row>
    <row r="39" spans="1:31" ht="15">
      <c r="A39" t="s">
        <v>335</v>
      </c>
      <c r="C39" s="384"/>
      <c r="D39" s="335">
        <v>400</v>
      </c>
      <c r="E39" s="336">
        <f>VLOOKUP(A39,Results,7,FALSE)</f>
        <v>0</v>
      </c>
      <c r="F39" s="378"/>
      <c r="G39" s="336">
        <f>VLOOKUP(A39,Uncertainty,4,FALSE())</f>
        <v>1.2366337979278063E-2</v>
      </c>
      <c r="H39" s="373"/>
      <c r="I39" s="339">
        <f>VLOOKUP(A39,Uncertainty,5,FALSE())</f>
        <v>2.4252384095436486</v>
      </c>
      <c r="J39" s="340">
        <f>VLOOKUP(A39,Results,5,FALSE())</f>
        <v>1.0000574406645E-4</v>
      </c>
      <c r="K39" s="372"/>
      <c r="L39" s="340">
        <f>VLOOKUP(A39,Uncertainty,2,FALSE)</f>
        <v>1.2358154466490319E-3</v>
      </c>
      <c r="M39" s="378"/>
      <c r="N39" s="366">
        <f>VLOOKUP(A39,Uncertainty,3,FALSE())</f>
        <v>2.423633490639113</v>
      </c>
      <c r="Q39" s="300">
        <f>ABS((E39-V39)/G39)</f>
        <v>0</v>
      </c>
      <c r="R39" s="300">
        <f>ABS((J39-AA39)/L39)</f>
        <v>8.0922879170688466E-2</v>
      </c>
      <c r="U39" s="244">
        <v>400</v>
      </c>
      <c r="V39" s="467">
        <v>0</v>
      </c>
      <c r="W39" s="467" t="e">
        <v>#N/A</v>
      </c>
      <c r="X39" s="467">
        <v>3.9962974480765669E-2</v>
      </c>
      <c r="Y39" s="467"/>
      <c r="Z39" s="248">
        <v>3.8769779905197672</v>
      </c>
      <c r="AA39" s="468">
        <v>0</v>
      </c>
      <c r="AB39" s="468"/>
      <c r="AC39" s="468">
        <v>2.0558740666523925E-2</v>
      </c>
      <c r="AD39" s="468"/>
      <c r="AE39" s="250">
        <v>4.0319007627973056</v>
      </c>
    </row>
    <row r="40" spans="1:31" ht="15.75" thickBot="1">
      <c r="A40" t="s">
        <v>336</v>
      </c>
      <c r="C40" s="296"/>
      <c r="D40" s="342" t="s">
        <v>342</v>
      </c>
      <c r="E40" s="343">
        <f>VLOOKUP(A40,Results,7,FALSE)</f>
        <v>0</v>
      </c>
      <c r="F40" s="385"/>
      <c r="G40" s="343">
        <f>VLOOKUP(A40,Uncertainty,4,FALSE())</f>
        <v>5.1910618606380056E-3</v>
      </c>
      <c r="H40" s="376"/>
      <c r="I40" s="346">
        <f>VLOOKUP(A40,Uncertainty,5,FALSE())</f>
        <v>2.3215134360004743</v>
      </c>
      <c r="J40" s="347">
        <f>VLOOKUP(A40,Results,5,FALSE())</f>
        <v>0</v>
      </c>
      <c r="K40" s="374"/>
      <c r="L40" s="347">
        <f>VLOOKUP(A40,Uncertainty,2,FALSE)</f>
        <v>5.1036638243497719E-4</v>
      </c>
      <c r="M40" s="385"/>
      <c r="N40" s="369">
        <f>VLOOKUP(A40,Uncertainty,3,FALSE())</f>
        <v>2.2824278462884511</v>
      </c>
      <c r="Q40" s="300">
        <f>ABS((E40-V40)/G40)</f>
        <v>0</v>
      </c>
      <c r="R40" s="300">
        <f>ABS((J40-AA40)/L40)</f>
        <v>0</v>
      </c>
      <c r="U40" s="257" t="s">
        <v>342</v>
      </c>
      <c r="V40" s="469">
        <v>0</v>
      </c>
      <c r="W40" s="469" t="e">
        <v>#N/A</v>
      </c>
      <c r="X40" s="469">
        <v>4.2855173127340558E-2</v>
      </c>
      <c r="Y40" s="469"/>
      <c r="Z40" s="265">
        <v>4.2642490983673316</v>
      </c>
      <c r="AA40" s="466">
        <v>0</v>
      </c>
      <c r="AB40" s="466"/>
      <c r="AC40" s="466">
        <v>6.9789029027105031E-3</v>
      </c>
      <c r="AD40" s="466"/>
      <c r="AE40" s="262">
        <v>3.1210602597509638</v>
      </c>
    </row>
    <row r="41" spans="1:31" ht="15.75" thickTop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</row>
    <row r="42" spans="1:31" ht="15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1:31" ht="15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1:31" ht="31.5" customHeight="1">
      <c r="C44" s="379" t="s">
        <v>337</v>
      </c>
      <c r="D44" s="380" t="s">
        <v>312</v>
      </c>
      <c r="E44" s="472" t="s">
        <v>7</v>
      </c>
      <c r="F44" s="473"/>
      <c r="G44" s="474" t="s">
        <v>466</v>
      </c>
      <c r="H44" s="473"/>
      <c r="I44" s="381" t="s">
        <v>467</v>
      </c>
      <c r="J44" s="472" t="s">
        <v>6</v>
      </c>
      <c r="K44" s="473"/>
      <c r="L44" s="474" t="s">
        <v>466</v>
      </c>
      <c r="M44" s="473"/>
      <c r="N44" s="382" t="s">
        <v>467</v>
      </c>
      <c r="T44" t="s">
        <v>337</v>
      </c>
      <c r="U44" t="s">
        <v>312</v>
      </c>
      <c r="V44" t="s">
        <v>7</v>
      </c>
      <c r="X44" t="s">
        <v>338</v>
      </c>
      <c r="Z44" t="s">
        <v>148</v>
      </c>
      <c r="AA44" t="s">
        <v>6</v>
      </c>
      <c r="AC44" t="s">
        <v>338</v>
      </c>
      <c r="AE44" t="s">
        <v>148</v>
      </c>
    </row>
    <row r="45" spans="1:31" ht="15">
      <c r="C45" s="296"/>
      <c r="D45" s="296" t="s">
        <v>350</v>
      </c>
      <c r="E45" s="470" t="s">
        <v>424</v>
      </c>
      <c r="F45" s="471"/>
      <c r="G45" s="470" t="s">
        <v>424</v>
      </c>
      <c r="H45" s="471"/>
      <c r="I45" s="296"/>
      <c r="J45" s="470" t="s">
        <v>351</v>
      </c>
      <c r="K45" s="471"/>
      <c r="L45" s="470" t="s">
        <v>351</v>
      </c>
      <c r="M45" s="471"/>
      <c r="N45" s="295"/>
      <c r="U45" t="s">
        <v>350</v>
      </c>
      <c r="V45" t="s">
        <v>424</v>
      </c>
      <c r="X45" t="s">
        <v>424</v>
      </c>
      <c r="Z45" t="s">
        <v>150</v>
      </c>
      <c r="AA45" t="s">
        <v>351</v>
      </c>
      <c r="AC45" t="s">
        <v>351</v>
      </c>
      <c r="AE45" t="s">
        <v>150</v>
      </c>
    </row>
    <row r="46" spans="1:31" ht="15">
      <c r="A46" t="s">
        <v>329</v>
      </c>
      <c r="C46" s="327" t="s">
        <v>428</v>
      </c>
      <c r="D46" s="327">
        <v>1.6</v>
      </c>
      <c r="E46" s="332">
        <f>VLOOKUP(A46,Results,7,FALSE)</f>
        <v>632.49641853984906</v>
      </c>
      <c r="F46" s="334"/>
      <c r="G46" s="332">
        <f>VLOOKUP(A46,Uncertainty,4,FALSE())</f>
        <v>5.5762394524713502E-2</v>
      </c>
      <c r="H46" s="334"/>
      <c r="I46" s="331">
        <f>VLOOKUP(A46,Uncertainty,5,FALSE())</f>
        <v>2.1218344508292781</v>
      </c>
      <c r="J46" s="359">
        <f>VLOOKUP(A46,Results,5,FALSE())*1000</f>
        <v>100.22011014189265</v>
      </c>
      <c r="K46" s="330" t="s">
        <v>427</v>
      </c>
      <c r="L46" s="359">
        <f>VLOOKUP(A46,Uncertainty,2,FALSE)*1000</f>
        <v>2.1961169679918648</v>
      </c>
      <c r="M46" s="330" t="s">
        <v>427</v>
      </c>
      <c r="N46" s="371">
        <f>VLOOKUP(A46,Uncertainty,3,FALSE())</f>
        <v>2.143328365816437</v>
      </c>
      <c r="Q46">
        <f>ABS((E46-V46)/G46)</f>
        <v>8.9579497348178147E-2</v>
      </c>
      <c r="R46">
        <f>ABS((J46-AA46)/L46)</f>
        <v>9.2226568414029764E-2</v>
      </c>
      <c r="T46" s="267" t="s">
        <v>428</v>
      </c>
      <c r="U46" s="244">
        <v>1.6</v>
      </c>
      <c r="V46" s="245">
        <v>632.49142337257661</v>
      </c>
      <c r="W46" s="246"/>
      <c r="X46" s="245">
        <v>5.5654370841251591E-2</v>
      </c>
      <c r="Y46" s="246"/>
      <c r="Z46" s="248">
        <v>2.1238098455000705</v>
      </c>
      <c r="AA46" s="264">
        <v>100.01756981009893</v>
      </c>
      <c r="AB46" s="247" t="s">
        <v>427</v>
      </c>
      <c r="AC46" s="264">
        <v>0.74512103082614667</v>
      </c>
      <c r="AD46" s="247" t="s">
        <v>427</v>
      </c>
      <c r="AE46" s="250">
        <v>2.1022464596538657</v>
      </c>
    </row>
    <row r="47" spans="1:31" ht="15.75" thickBot="1">
      <c r="A47" t="s">
        <v>330</v>
      </c>
      <c r="C47" s="342" t="s">
        <v>352</v>
      </c>
      <c r="D47" s="342">
        <v>1.6</v>
      </c>
      <c r="E47" s="355">
        <f>VLOOKUP(A47,Results,7,FALSE)/1000</f>
        <v>2.0004741205370462</v>
      </c>
      <c r="F47" s="345" t="s">
        <v>94</v>
      </c>
      <c r="G47" s="355">
        <f>VLOOKUP(A47,Uncertainty,4,FALSE())/1000</f>
        <v>1.8066452659985281E-4</v>
      </c>
      <c r="H47" s="345" t="s">
        <v>94</v>
      </c>
      <c r="I47" s="346">
        <f>VLOOKUP(A47,Uncertainty,5,FALSE())</f>
        <v>2.1009352643614219</v>
      </c>
      <c r="J47" s="343">
        <f>VLOOKUP(A47,Results,5,FALSE())</f>
        <v>99.883042505986282</v>
      </c>
      <c r="K47" s="345" t="s">
        <v>341</v>
      </c>
      <c r="L47" s="343">
        <f>VLOOKUP(A47,Uncertainty,2,FALSE)</f>
        <v>3.9143538865520897E-2</v>
      </c>
      <c r="M47" s="345" t="s">
        <v>341</v>
      </c>
      <c r="N47" s="369">
        <f>VLOOKUP(A47,Uncertainty,3,FALSE())</f>
        <v>2.3982350656382971</v>
      </c>
      <c r="Q47">
        <f>ABS((E47-V47)/G47)</f>
        <v>5.9304600165461935E-2</v>
      </c>
      <c r="R47">
        <f>ABS((J47-AA47)/L47)</f>
        <v>0.49816020625786417</v>
      </c>
      <c r="T47" s="268" t="s">
        <v>352</v>
      </c>
      <c r="U47" s="257">
        <v>1.6</v>
      </c>
      <c r="V47" s="269">
        <v>2.0004848347745603</v>
      </c>
      <c r="W47" s="270" t="s">
        <v>94</v>
      </c>
      <c r="X47" s="269">
        <v>1.7704540832701694E-4</v>
      </c>
      <c r="Y47" s="270" t="s">
        <v>94</v>
      </c>
      <c r="Z47" s="265">
        <v>2.1184147825112221</v>
      </c>
      <c r="AA47" s="258">
        <v>99.863542752591371</v>
      </c>
      <c r="AB47" s="270" t="s">
        <v>341</v>
      </c>
      <c r="AC47" s="258">
        <v>5.6049341349194131E-3</v>
      </c>
      <c r="AD47" s="270" t="s">
        <v>341</v>
      </c>
      <c r="AE47" s="262">
        <v>2.1098841532459649</v>
      </c>
    </row>
    <row r="48" spans="1:31" ht="13.5" thickTop="1"/>
  </sheetData>
  <mergeCells count="80">
    <mergeCell ref="E4:F4"/>
    <mergeCell ref="G4:H4"/>
    <mergeCell ref="J4:K4"/>
    <mergeCell ref="L4:M4"/>
    <mergeCell ref="E3:F3"/>
    <mergeCell ref="G3:H3"/>
    <mergeCell ref="J3:K3"/>
    <mergeCell ref="L3:M3"/>
    <mergeCell ref="E25:F25"/>
    <mergeCell ref="G25:H25"/>
    <mergeCell ref="J25:K25"/>
    <mergeCell ref="L25:M25"/>
    <mergeCell ref="E24:F24"/>
    <mergeCell ref="G24:H24"/>
    <mergeCell ref="J24:K24"/>
    <mergeCell ref="L24:M24"/>
    <mergeCell ref="E36:F36"/>
    <mergeCell ref="G36:H36"/>
    <mergeCell ref="J36:K36"/>
    <mergeCell ref="L36:M36"/>
    <mergeCell ref="E37:F37"/>
    <mergeCell ref="G37:H37"/>
    <mergeCell ref="J37:K37"/>
    <mergeCell ref="L37:M37"/>
    <mergeCell ref="E45:F45"/>
    <mergeCell ref="G45:H45"/>
    <mergeCell ref="J45:K45"/>
    <mergeCell ref="L45:M45"/>
    <mergeCell ref="E44:F44"/>
    <mergeCell ref="G44:H44"/>
    <mergeCell ref="J44:K44"/>
    <mergeCell ref="L44:M44"/>
    <mergeCell ref="V34:W34"/>
    <mergeCell ref="X34:Y34"/>
    <mergeCell ref="AA40:AB40"/>
    <mergeCell ref="AC40:AD40"/>
    <mergeCell ref="AA38:AB38"/>
    <mergeCell ref="AC38:AD38"/>
    <mergeCell ref="V39:W39"/>
    <mergeCell ref="X39:Y39"/>
    <mergeCell ref="AA39:AB39"/>
    <mergeCell ref="AC39:AD39"/>
    <mergeCell ref="AA34:AB34"/>
    <mergeCell ref="AC34:AD34"/>
    <mergeCell ref="V40:W40"/>
    <mergeCell ref="X40:Y40"/>
    <mergeCell ref="V38:W38"/>
    <mergeCell ref="X38:Y38"/>
    <mergeCell ref="V27:W27"/>
    <mergeCell ref="X27:Y27"/>
    <mergeCell ref="AA27:AB27"/>
    <mergeCell ref="AC27:AD27"/>
    <mergeCell ref="V26:W26"/>
    <mergeCell ref="X26:Y26"/>
    <mergeCell ref="AA26:AB26"/>
    <mergeCell ref="AC26:AD26"/>
    <mergeCell ref="AA28:AB28"/>
    <mergeCell ref="AC28:AD28"/>
    <mergeCell ref="V29:W29"/>
    <mergeCell ref="X29:Y29"/>
    <mergeCell ref="AA29:AB29"/>
    <mergeCell ref="AC29:AD29"/>
    <mergeCell ref="V28:W28"/>
    <mergeCell ref="X28:Y28"/>
    <mergeCell ref="AA30:AB30"/>
    <mergeCell ref="AC30:AD30"/>
    <mergeCell ref="V32:W32"/>
    <mergeCell ref="X32:Y32"/>
    <mergeCell ref="V31:W31"/>
    <mergeCell ref="X31:Y31"/>
    <mergeCell ref="AA31:AB31"/>
    <mergeCell ref="AC31:AD31"/>
    <mergeCell ref="V30:W30"/>
    <mergeCell ref="X30:Y30"/>
    <mergeCell ref="V33:W33"/>
    <mergeCell ref="X33:Y33"/>
    <mergeCell ref="AA33:AB33"/>
    <mergeCell ref="AC33:AD33"/>
    <mergeCell ref="AA32:AB32"/>
    <mergeCell ref="AC32:AD32"/>
  </mergeCells>
  <phoneticPr fontId="17" type="noConversion"/>
  <conditionalFormatting sqref="Q5:R47">
    <cfRule type="cellIs" dxfId="0" priority="1" stopIfTrue="1" operator="greaterThan">
      <formula>1</formula>
    </cfRule>
  </conditionalFormatting>
  <pageMargins left="0.75" right="0.75" top="1" bottom="1" header="0.5" footer="0.5"/>
  <pageSetup paperSize="9" scale="93"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77"/>
  <sheetViews>
    <sheetView topLeftCell="A49" workbookViewId="0">
      <selection activeCell="A51" sqref="A51"/>
    </sheetView>
  </sheetViews>
  <sheetFormatPr defaultRowHeight="12.75"/>
  <cols>
    <col min="1" max="1" width="19.28515625" customWidth="1"/>
    <col min="2" max="2" width="13.85546875" customWidth="1"/>
    <col min="3" max="3" width="12.42578125" bestFit="1" customWidth="1"/>
    <col min="23" max="23" width="11" customWidth="1"/>
    <col min="24" max="24" width="10.140625" bestFit="1" customWidth="1"/>
    <col min="27" max="28" width="10.7109375" customWidth="1"/>
    <col min="29" max="29" width="12" bestFit="1" customWidth="1"/>
    <col min="39" max="39" width="12.42578125" bestFit="1" customWidth="1"/>
  </cols>
  <sheetData>
    <row r="1" spans="1:4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</row>
    <row r="3" spans="1:44">
      <c r="B3" s="185">
        <f>Date</f>
        <v>41948</v>
      </c>
      <c r="K3" s="220">
        <v>40668</v>
      </c>
      <c r="L3" s="276" t="s">
        <v>439</v>
      </c>
      <c r="T3" s="185">
        <v>38398</v>
      </c>
      <c r="AC3" s="1">
        <v>37231</v>
      </c>
      <c r="AD3" t="s">
        <v>390</v>
      </c>
      <c r="AE3" s="148"/>
      <c r="AF3" s="3"/>
      <c r="AH3" s="148"/>
      <c r="AI3" s="3"/>
      <c r="AK3" s="217">
        <v>36143</v>
      </c>
      <c r="AL3" s="3"/>
    </row>
    <row r="4" spans="1:44">
      <c r="B4" s="3" t="s">
        <v>337</v>
      </c>
      <c r="C4" s="3" t="s">
        <v>312</v>
      </c>
      <c r="D4" s="3" t="s">
        <v>7</v>
      </c>
      <c r="E4" s="3" t="s">
        <v>338</v>
      </c>
      <c r="F4" s="3" t="s">
        <v>148</v>
      </c>
      <c r="G4" s="3" t="s">
        <v>6</v>
      </c>
      <c r="H4" s="3" t="s">
        <v>338</v>
      </c>
      <c r="I4" s="3" t="s">
        <v>148</v>
      </c>
      <c r="K4" t="s">
        <v>337</v>
      </c>
      <c r="L4" t="s">
        <v>312</v>
      </c>
      <c r="M4" t="s">
        <v>7</v>
      </c>
      <c r="N4" t="s">
        <v>338</v>
      </c>
      <c r="O4" t="s">
        <v>148</v>
      </c>
      <c r="P4" t="s">
        <v>6</v>
      </c>
      <c r="Q4" t="s">
        <v>338</v>
      </c>
      <c r="R4" t="s">
        <v>148</v>
      </c>
      <c r="T4" s="3" t="s">
        <v>337</v>
      </c>
      <c r="U4" s="3" t="s">
        <v>312</v>
      </c>
      <c r="V4" s="3" t="s">
        <v>7</v>
      </c>
      <c r="W4" s="3" t="s">
        <v>338</v>
      </c>
      <c r="X4" s="3" t="s">
        <v>148</v>
      </c>
      <c r="Y4" s="3" t="s">
        <v>6</v>
      </c>
      <c r="Z4" s="3" t="s">
        <v>338</v>
      </c>
      <c r="AA4" s="3" t="s">
        <v>148</v>
      </c>
      <c r="AC4" t="s">
        <v>312</v>
      </c>
      <c r="AD4" t="s">
        <v>7</v>
      </c>
      <c r="AE4" t="s">
        <v>338</v>
      </c>
      <c r="AF4" t="s">
        <v>148</v>
      </c>
      <c r="AG4" t="s">
        <v>6</v>
      </c>
      <c r="AH4" t="s">
        <v>338</v>
      </c>
      <c r="AI4" t="s">
        <v>148</v>
      </c>
      <c r="AK4" s="3" t="s">
        <v>337</v>
      </c>
      <c r="AL4" s="3" t="s">
        <v>312</v>
      </c>
      <c r="AM4" t="s">
        <v>7</v>
      </c>
      <c r="AN4" t="s">
        <v>338</v>
      </c>
      <c r="AO4" t="s">
        <v>148</v>
      </c>
      <c r="AP4" t="s">
        <v>6</v>
      </c>
      <c r="AQ4" t="s">
        <v>338</v>
      </c>
      <c r="AR4" t="s">
        <v>148</v>
      </c>
    </row>
    <row r="5" spans="1:44" ht="15.75">
      <c r="B5" s="3"/>
      <c r="C5" s="3" t="s">
        <v>339</v>
      </c>
      <c r="D5" s="3" t="s">
        <v>378</v>
      </c>
      <c r="E5" s="3" t="s">
        <v>378</v>
      </c>
      <c r="F5" s="3" t="s">
        <v>150</v>
      </c>
      <c r="G5" s="3" t="s">
        <v>379</v>
      </c>
      <c r="H5" s="3" t="s">
        <v>379</v>
      </c>
      <c r="I5" s="3" t="s">
        <v>150</v>
      </c>
      <c r="L5" t="s">
        <v>339</v>
      </c>
      <c r="M5" t="s">
        <v>424</v>
      </c>
      <c r="N5" t="s">
        <v>424</v>
      </c>
      <c r="O5" t="s">
        <v>150</v>
      </c>
      <c r="P5" t="s">
        <v>426</v>
      </c>
      <c r="Q5" t="s">
        <v>426</v>
      </c>
      <c r="R5" t="s">
        <v>150</v>
      </c>
      <c r="T5" s="3"/>
      <c r="U5" s="3" t="s">
        <v>339</v>
      </c>
      <c r="V5" s="3" t="s">
        <v>378</v>
      </c>
      <c r="W5" s="3" t="s">
        <v>378</v>
      </c>
      <c r="X5" s="3" t="s">
        <v>150</v>
      </c>
      <c r="Y5" s="3" t="s">
        <v>379</v>
      </c>
      <c r="Z5" s="3" t="s">
        <v>379</v>
      </c>
      <c r="AA5" s="3" t="s">
        <v>150</v>
      </c>
      <c r="AC5" t="s">
        <v>339</v>
      </c>
      <c r="AF5" t="s">
        <v>150</v>
      </c>
      <c r="AI5" t="s">
        <v>150</v>
      </c>
      <c r="AK5" s="3"/>
      <c r="AL5" s="3" t="s">
        <v>339</v>
      </c>
      <c r="AM5" t="s">
        <v>273</v>
      </c>
      <c r="AN5" t="s">
        <v>273</v>
      </c>
      <c r="AO5" t="s">
        <v>150</v>
      </c>
      <c r="AP5" t="s">
        <v>8</v>
      </c>
      <c r="AQ5" t="s">
        <v>8</v>
      </c>
      <c r="AR5" t="s">
        <v>150</v>
      </c>
    </row>
    <row r="6" spans="1:44" ht="15">
      <c r="A6" s="222" t="s">
        <v>296</v>
      </c>
      <c r="B6" s="3" t="s">
        <v>340</v>
      </c>
      <c r="C6" s="209">
        <v>53</v>
      </c>
      <c r="D6" s="210">
        <f>Report!E5</f>
        <v>3.0002116455665824E-3</v>
      </c>
      <c r="E6" s="210">
        <f>Report!G5</f>
        <v>9.3189772102283255E-2</v>
      </c>
      <c r="F6" s="211">
        <f>Report!I5</f>
        <v>2.4549187194625501</v>
      </c>
      <c r="G6" s="212">
        <f>Report!J5</f>
        <v>-4.0008028000755548E-3</v>
      </c>
      <c r="H6" s="210">
        <f>Report!L5</f>
        <v>9.3197263503174213E-3</v>
      </c>
      <c r="I6" s="211">
        <f>Report!N5</f>
        <v>2.4474848513217937</v>
      </c>
      <c r="K6" t="s">
        <v>340</v>
      </c>
      <c r="L6" s="244">
        <v>53</v>
      </c>
      <c r="M6" s="245">
        <v>-6.0003474402209609E-3</v>
      </c>
      <c r="N6" s="245">
        <v>1.0185678597389025E-2</v>
      </c>
      <c r="O6" s="248">
        <v>2.2463558875487664</v>
      </c>
      <c r="P6" s="245">
        <v>-1.2002108377211873E-3</v>
      </c>
      <c r="Q6" s="245">
        <v>1.5978889665899408E-2</v>
      </c>
      <c r="R6" s="250">
        <v>4.1962702471197133</v>
      </c>
      <c r="T6" s="3" t="s">
        <v>340</v>
      </c>
      <c r="U6" s="209">
        <v>53</v>
      </c>
      <c r="V6" s="210">
        <v>-2.0001141600000014E-3</v>
      </c>
      <c r="W6" s="210">
        <v>1.4746208330215801E-2</v>
      </c>
      <c r="X6" s="211">
        <v>2.2169543020740958</v>
      </c>
      <c r="Y6" s="212">
        <v>3.0005180680491824E-3</v>
      </c>
      <c r="Z6" s="210">
        <v>9.4674532870137485E-3</v>
      </c>
      <c r="AA6" s="211">
        <v>2.1787875087470452</v>
      </c>
      <c r="AC6" s="3">
        <v>53</v>
      </c>
      <c r="AD6">
        <v>-3.0001516574984211E-3</v>
      </c>
      <c r="AE6">
        <v>6.3362178964059043E-3</v>
      </c>
      <c r="AF6">
        <v>2.328186171939457</v>
      </c>
      <c r="AG6">
        <v>-1.200195223539185E-2</v>
      </c>
      <c r="AH6">
        <v>1.0410843751389044E-2</v>
      </c>
      <c r="AI6">
        <v>1.9633181311403685</v>
      </c>
      <c r="AK6" s="3" t="s">
        <v>340</v>
      </c>
      <c r="AL6" s="3">
        <v>53</v>
      </c>
      <c r="AM6">
        <v>1.0000478694087613E-3</v>
      </c>
      <c r="AN6">
        <v>6.1738278994685966E-3</v>
      </c>
      <c r="AO6">
        <v>2.4604285626193847</v>
      </c>
      <c r="AP6">
        <v>5.0008597751854227E-3</v>
      </c>
      <c r="AQ6">
        <v>1.2347582452682566E-2</v>
      </c>
      <c r="AR6">
        <v>2.4560565022674536</v>
      </c>
    </row>
    <row r="7" spans="1:44" ht="15">
      <c r="A7" s="222" t="s">
        <v>297</v>
      </c>
      <c r="B7" s="3"/>
      <c r="C7" s="209">
        <v>400</v>
      </c>
      <c r="D7" s="210">
        <f>Report!E6</f>
        <v>1.0000705485221941E-3</v>
      </c>
      <c r="E7" s="210">
        <f>Report!G6</f>
        <v>1.4189409186091852E-2</v>
      </c>
      <c r="F7" s="211">
        <f>Report!I6</f>
        <v>2.1894733706755267</v>
      </c>
      <c r="G7" s="212">
        <f>Report!J6</f>
        <v>1.0002007000188887E-4</v>
      </c>
      <c r="H7" s="210">
        <f>Report!L6</f>
        <v>1.5564783469280469E-3</v>
      </c>
      <c r="I7" s="211">
        <f>Report!N6</f>
        <v>2.1795056297225797</v>
      </c>
      <c r="L7" s="244">
        <v>400</v>
      </c>
      <c r="M7" s="245">
        <v>-2.000115813406987E-3</v>
      </c>
      <c r="N7" s="245">
        <v>9.918524428206215E-3</v>
      </c>
      <c r="O7" s="248">
        <v>2.401185626442992</v>
      </c>
      <c r="P7" s="251">
        <v>3.0005270943029682E-4</v>
      </c>
      <c r="Q7" s="251">
        <v>1.7230685733258132E-3</v>
      </c>
      <c r="R7" s="250">
        <v>2.4127786049110211</v>
      </c>
      <c r="T7" s="3"/>
      <c r="U7" s="209">
        <v>400</v>
      </c>
      <c r="V7" s="210">
        <v>-3.0001712400000019E-3</v>
      </c>
      <c r="W7" s="210">
        <v>4.928066444576263E-3</v>
      </c>
      <c r="X7" s="211">
        <v>2.2112227263460924</v>
      </c>
      <c r="Y7" s="212">
        <v>1.0001726893497274E-4</v>
      </c>
      <c r="Z7" s="212">
        <v>1.2290491476148204E-3</v>
      </c>
      <c r="AA7" s="211">
        <v>2.2165793274125321</v>
      </c>
      <c r="AC7" s="3">
        <v>400</v>
      </c>
      <c r="AD7">
        <v>-1.0000505524994736E-4</v>
      </c>
      <c r="AE7">
        <v>3.447443728886787E-3</v>
      </c>
      <c r="AF7">
        <v>2.4084891847789693</v>
      </c>
      <c r="AG7">
        <v>-1.0001626862826541E-4</v>
      </c>
      <c r="AH7">
        <v>2.4696484204190542E-3</v>
      </c>
      <c r="AI7">
        <v>2.4452288708281902</v>
      </c>
      <c r="AK7" s="3"/>
      <c r="AL7" s="3">
        <v>400</v>
      </c>
      <c r="AM7">
        <v>1.0000478694087613E-3</v>
      </c>
      <c r="AN7">
        <v>2.4738224237587907E-3</v>
      </c>
      <c r="AO7">
        <v>2.4184984296218839</v>
      </c>
      <c r="AP7">
        <v>0</v>
      </c>
      <c r="AQ7">
        <v>3.0983201248917751E-4</v>
      </c>
      <c r="AR7">
        <v>2.187418943733253</v>
      </c>
    </row>
    <row r="8" spans="1:44" ht="15">
      <c r="A8" s="222" t="s">
        <v>298</v>
      </c>
      <c r="B8" s="3"/>
      <c r="C8" s="209" t="s">
        <v>342</v>
      </c>
      <c r="D8" s="210">
        <f>Report!E7</f>
        <v>-5.0003527426109706E-3</v>
      </c>
      <c r="E8" s="210">
        <f>Report!G7</f>
        <v>1.0320244368272016E-2</v>
      </c>
      <c r="F8" s="211">
        <f>Report!I7</f>
        <v>2.2520619473780199</v>
      </c>
      <c r="G8" s="212">
        <f>Report!J7</f>
        <v>-2.0004014000377774E-4</v>
      </c>
      <c r="H8" s="210">
        <f>Report!L7</f>
        <v>1.2600825715636083E-3</v>
      </c>
      <c r="I8" s="211">
        <f>Report!N7</f>
        <v>2.3005854928302956</v>
      </c>
      <c r="L8" s="244" t="s">
        <v>342</v>
      </c>
      <c r="M8" s="245">
        <v>-2.000115813406987E-3</v>
      </c>
      <c r="N8" s="245">
        <v>9.9168352307363958E-3</v>
      </c>
      <c r="O8" s="248">
        <v>2.4044787341808309</v>
      </c>
      <c r="P8" s="251">
        <v>0</v>
      </c>
      <c r="Q8" s="251">
        <v>1.2696581066036672E-3</v>
      </c>
      <c r="R8" s="250">
        <v>2.3180679485504752</v>
      </c>
      <c r="T8" s="3"/>
      <c r="U8" s="209" t="s">
        <v>342</v>
      </c>
      <c r="V8" s="210">
        <v>-1.0000570800000007E-3</v>
      </c>
      <c r="W8" s="210">
        <v>4.9212828594884525E-3</v>
      </c>
      <c r="X8" s="211">
        <v>2.2142294956070967</v>
      </c>
      <c r="Y8" s="212">
        <v>-1.0001726893497274E-4</v>
      </c>
      <c r="Z8" s="212">
        <v>4.9718920579575315E-4</v>
      </c>
      <c r="AA8" s="211">
        <v>2.193740076226097</v>
      </c>
      <c r="AC8" s="3" t="s">
        <v>342</v>
      </c>
      <c r="AD8">
        <v>-3.0001516574984211E-3</v>
      </c>
      <c r="AE8">
        <v>3.6365403602644664E-3</v>
      </c>
      <c r="AF8">
        <v>2.2364431806841063</v>
      </c>
      <c r="AG8">
        <v>-7.0011388039785784E-4</v>
      </c>
      <c r="AH8">
        <v>2.4696823070710847E-3</v>
      </c>
      <c r="AI8">
        <v>2.4439518794134178</v>
      </c>
      <c r="AK8" s="3"/>
      <c r="AL8" s="3" t="s">
        <v>342</v>
      </c>
      <c r="AM8">
        <v>6.1002920033934446E-3</v>
      </c>
      <c r="AN8">
        <v>2.5591488434186412E-3</v>
      </c>
      <c r="AO8">
        <v>2.268019264715786</v>
      </c>
      <c r="AP8">
        <v>-3.0005158651112533E-4</v>
      </c>
      <c r="AQ8">
        <v>3.0983203029425247E-4</v>
      </c>
      <c r="AR8">
        <v>2.1874188407714916</v>
      </c>
    </row>
    <row r="9" spans="1:44" ht="15.75">
      <c r="A9" s="222" t="s">
        <v>293</v>
      </c>
      <c r="B9" s="3" t="s">
        <v>380</v>
      </c>
      <c r="C9" s="209">
        <v>53</v>
      </c>
      <c r="D9" s="210">
        <f>Report!E8</f>
        <v>3.8312702713885258</v>
      </c>
      <c r="E9" s="210">
        <f>Report!G8</f>
        <v>9.3189775214891274E-2</v>
      </c>
      <c r="F9" s="211">
        <f>Report!I8</f>
        <v>2.454897394771173</v>
      </c>
      <c r="G9" s="212">
        <f>Report!J8</f>
        <v>1.0002007000188887E-3</v>
      </c>
      <c r="H9" s="210">
        <f>Report!L8</f>
        <v>9.3197265801968562E-3</v>
      </c>
      <c r="I9" s="211">
        <f>Report!N8</f>
        <v>2.4474817422834705</v>
      </c>
      <c r="K9" t="s">
        <v>429</v>
      </c>
      <c r="L9" s="244">
        <v>53</v>
      </c>
      <c r="M9" s="245">
        <v>3.8322218984877865</v>
      </c>
      <c r="N9" s="245">
        <v>1.0188356511560991E-2</v>
      </c>
      <c r="O9" s="248">
        <v>2.2455724028446933</v>
      </c>
      <c r="P9" s="245">
        <v>8.3014582942382113E-3</v>
      </c>
      <c r="Q9" s="245">
        <v>1.5978883640538642E-2</v>
      </c>
      <c r="R9" s="250">
        <v>4.1962681250411578</v>
      </c>
      <c r="T9" s="3" t="s">
        <v>380</v>
      </c>
      <c r="U9" s="209">
        <v>53</v>
      </c>
      <c r="V9" s="210">
        <v>3.8122175889600025</v>
      </c>
      <c r="W9" s="210">
        <v>1.4746122829393967E-2</v>
      </c>
      <c r="X9" s="211">
        <v>2.2167617635189965</v>
      </c>
      <c r="Y9" s="210">
        <v>0</v>
      </c>
      <c r="Z9" s="210">
        <v>9.2740293890837197E-3</v>
      </c>
      <c r="AA9" s="211">
        <v>2.2170272574950296</v>
      </c>
      <c r="AC9" s="3">
        <v>53</v>
      </c>
      <c r="AD9">
        <v>3.8131927566804933</v>
      </c>
      <c r="AE9">
        <v>6.3240717489629859E-3</v>
      </c>
      <c r="AF9">
        <v>2.3410602114999155</v>
      </c>
      <c r="AG9">
        <v>0</v>
      </c>
      <c r="AH9">
        <v>1.0091324616682221E-2</v>
      </c>
      <c r="AI9">
        <v>1.9611651452236507</v>
      </c>
      <c r="AK9" s="3" t="s">
        <v>391</v>
      </c>
      <c r="AL9" s="3">
        <v>53</v>
      </c>
      <c r="AM9">
        <v>3.8141825739250157</v>
      </c>
      <c r="AN9">
        <v>6.1747320241102386E-3</v>
      </c>
      <c r="AO9">
        <v>2.4424855922885889</v>
      </c>
      <c r="AP9">
        <v>8.0013756402966749E-3</v>
      </c>
      <c r="AQ9">
        <v>1.2347856070786992E-2</v>
      </c>
      <c r="AR9">
        <v>2.4678393338258253</v>
      </c>
    </row>
    <row r="10" spans="1:44" ht="15">
      <c r="A10" s="222" t="s">
        <v>294</v>
      </c>
      <c r="B10" s="3"/>
      <c r="C10" s="209">
        <v>400</v>
      </c>
      <c r="D10" s="210">
        <f>Report!E9</f>
        <v>3.8262699186459148</v>
      </c>
      <c r="E10" s="210">
        <f>Report!G9</f>
        <v>1.4191711247338151E-2</v>
      </c>
      <c r="F10" s="211">
        <f>Report!I9</f>
        <v>2.18917473215605</v>
      </c>
      <c r="G10" s="212">
        <f>Report!J9</f>
        <v>8.1016256701529985E-3</v>
      </c>
      <c r="H10" s="210">
        <f>Report!L9</f>
        <v>1.5565105426545958E-3</v>
      </c>
      <c r="I10" s="211">
        <f>Report!N9</f>
        <v>2.1794706046797665</v>
      </c>
      <c r="L10" s="244">
        <v>400</v>
      </c>
      <c r="M10" s="245">
        <v>3.8362221301146007</v>
      </c>
      <c r="N10" s="245">
        <v>9.9193730195802927E-3</v>
      </c>
      <c r="O10" s="248">
        <v>2.3996172622803447</v>
      </c>
      <c r="P10" s="252">
        <v>8.0014055848079135E-3</v>
      </c>
      <c r="Q10" s="251">
        <v>1.7230691357806585E-3</v>
      </c>
      <c r="R10" s="250">
        <v>2.4127706582611057</v>
      </c>
      <c r="T10" s="3"/>
      <c r="U10" s="209">
        <v>400</v>
      </c>
      <c r="V10" s="210">
        <v>3.8252183310000025</v>
      </c>
      <c r="W10" s="210">
        <v>6.906330348730139E-3</v>
      </c>
      <c r="X10" s="211">
        <v>2.1406500873960228</v>
      </c>
      <c r="Y10" s="209">
        <v>8.2014160526677638E-3</v>
      </c>
      <c r="Z10" s="212">
        <v>1.2349435312199951E-3</v>
      </c>
      <c r="AA10" s="211">
        <v>2.205814782152288</v>
      </c>
      <c r="AC10" s="3">
        <v>400</v>
      </c>
      <c r="AD10">
        <v>3.855094874830221</v>
      </c>
      <c r="AE10">
        <v>7.373357934043279E-3</v>
      </c>
      <c r="AF10">
        <v>2.2833706250253556</v>
      </c>
      <c r="AG10">
        <v>7.2011713412351089E-3</v>
      </c>
      <c r="AH10">
        <v>2.4697753979008334E-3</v>
      </c>
      <c r="AI10">
        <v>2.4411218260758578</v>
      </c>
      <c r="AK10" s="3"/>
      <c r="AL10" s="3">
        <v>400</v>
      </c>
      <c r="AM10">
        <v>3.8211829090108771</v>
      </c>
      <c r="AN10">
        <v>2.4917533515957085E-3</v>
      </c>
      <c r="AO10">
        <v>2.3476467046056406</v>
      </c>
      <c r="AP10">
        <v>7.901358444792967E-3</v>
      </c>
      <c r="AQ10">
        <v>3.1694867315551164E-4</v>
      </c>
      <c r="AR10">
        <v>2.1563368025369454</v>
      </c>
    </row>
    <row r="11" spans="1:44" ht="15">
      <c r="A11" s="222" t="s">
        <v>295</v>
      </c>
      <c r="B11" s="3"/>
      <c r="C11" s="209" t="s">
        <v>342</v>
      </c>
      <c r="D11" s="210">
        <f>Report!E10</f>
        <v>3.8472714001648805</v>
      </c>
      <c r="E11" s="210">
        <f>Report!G10</f>
        <v>1.0322850112408074E-2</v>
      </c>
      <c r="F11" s="211">
        <f>Report!I10</f>
        <v>2.2512712544956233</v>
      </c>
      <c r="G11" s="212">
        <f>Report!J10</f>
        <v>7.8015654601473316E-3</v>
      </c>
      <c r="H11" s="210">
        <f>Report!L10</f>
        <v>1.2601079772146776E-3</v>
      </c>
      <c r="I11" s="211">
        <f>Report!N10</f>
        <v>2.3004865696857788</v>
      </c>
      <c r="L11" s="244" t="s">
        <v>342</v>
      </c>
      <c r="M11" s="245">
        <v>3.8312218405810836</v>
      </c>
      <c r="N11" s="245">
        <v>9.9176340425199318E-3</v>
      </c>
      <c r="O11" s="248">
        <v>2.4028969275627823</v>
      </c>
      <c r="P11" s="251">
        <v>7.7013528753776175E-3</v>
      </c>
      <c r="Q11" s="251">
        <v>1.2696603149349806E-3</v>
      </c>
      <c r="R11" s="250">
        <v>2.318057762748019</v>
      </c>
      <c r="T11" s="3"/>
      <c r="U11" s="209" t="s">
        <v>342</v>
      </c>
      <c r="V11" s="210">
        <v>3.8222181597600025</v>
      </c>
      <c r="W11" s="210">
        <v>8.0978363508734576E-3</v>
      </c>
      <c r="X11" s="211">
        <v>2.1808902431387693</v>
      </c>
      <c r="Y11" s="212">
        <v>7.4012779011879831E-3</v>
      </c>
      <c r="Z11" s="212">
        <v>4.9540943282289616E-4</v>
      </c>
      <c r="AA11" s="211">
        <v>2.1984796793895129</v>
      </c>
      <c r="AC11" s="3" t="s">
        <v>342</v>
      </c>
      <c r="AD11">
        <v>3.8601951326479687</v>
      </c>
      <c r="AE11">
        <v>6.4170145681499806E-3</v>
      </c>
      <c r="AF11">
        <v>2.2496525873639692</v>
      </c>
      <c r="AG11">
        <v>7.9012852216329664E-3</v>
      </c>
      <c r="AH11">
        <v>2.4696835089921217E-3</v>
      </c>
      <c r="AI11">
        <v>2.443907891225201</v>
      </c>
      <c r="AK11" s="3"/>
      <c r="AL11" s="3" t="s">
        <v>342</v>
      </c>
      <c r="AM11">
        <v>3.8312833924919056</v>
      </c>
      <c r="AN11">
        <v>2.9501057044146453E-3</v>
      </c>
      <c r="AO11">
        <v>2.182154103474522</v>
      </c>
      <c r="AP11">
        <v>7.5012896627781331E-3</v>
      </c>
      <c r="AQ11">
        <v>3.1079953490226588E-4</v>
      </c>
      <c r="AR11">
        <v>2.1820295706219959</v>
      </c>
    </row>
    <row r="12" spans="1:44" ht="15.75">
      <c r="A12" s="222" t="s">
        <v>302</v>
      </c>
      <c r="B12" s="3" t="s">
        <v>381</v>
      </c>
      <c r="C12" s="209">
        <v>53</v>
      </c>
      <c r="D12" s="210">
        <f>Report!E11</f>
        <v>0.105079412674324</v>
      </c>
      <c r="E12" s="210">
        <f>Report!G11</f>
        <v>9.3212691792046379E-5</v>
      </c>
      <c r="F12" s="211">
        <f>Report!I11</f>
        <v>2.4338129827551058</v>
      </c>
      <c r="G12" s="212">
        <f>Report!J11</f>
        <v>1.0002007000188886E-2</v>
      </c>
      <c r="H12" s="212">
        <f>Report!L11</f>
        <v>9.3187785480177976E-3</v>
      </c>
      <c r="I12" s="211">
        <f>Report!N11</f>
        <v>2.4607854110550367</v>
      </c>
      <c r="K12" t="s">
        <v>430</v>
      </c>
      <c r="L12" s="244">
        <v>53</v>
      </c>
      <c r="M12" s="253">
        <v>0.10447204928168714</v>
      </c>
      <c r="N12" s="253">
        <v>1.073032432630233E-5</v>
      </c>
      <c r="O12" s="248">
        <v>2.0447823095965112</v>
      </c>
      <c r="P12" s="245">
        <v>8.3014582942382113E-3</v>
      </c>
      <c r="Q12" s="245">
        <v>1.6287396025112574E-2</v>
      </c>
      <c r="R12" s="250">
        <v>4.3048039767403887</v>
      </c>
      <c r="T12" s="3" t="s">
        <v>381</v>
      </c>
      <c r="U12" s="209">
        <v>53</v>
      </c>
      <c r="V12" s="213">
        <v>0.10294804769440362</v>
      </c>
      <c r="W12" s="213">
        <v>1.5294582674155449E-5</v>
      </c>
      <c r="X12" s="211">
        <v>2.1344441571147379</v>
      </c>
      <c r="Y12" s="210">
        <v>3.0005180680491824E-3</v>
      </c>
      <c r="Z12" s="210">
        <v>9.3571608883410498E-3</v>
      </c>
      <c r="AA12" s="211">
        <v>2.1946421072082378</v>
      </c>
      <c r="AC12" s="3">
        <v>53</v>
      </c>
      <c r="AD12">
        <v>0.1020381580231788</v>
      </c>
      <c r="AE12">
        <v>1.3545652990298586E-4</v>
      </c>
      <c r="AF12">
        <v>2.4558370442444182</v>
      </c>
      <c r="AG12">
        <v>-7.0011388039785787E-3</v>
      </c>
      <c r="AH12">
        <v>1.0096382806619973E-2</v>
      </c>
      <c r="AI12">
        <v>1.9611629866490552</v>
      </c>
      <c r="AK12" s="3" t="s">
        <v>392</v>
      </c>
      <c r="AL12" s="3">
        <v>53</v>
      </c>
      <c r="AM12">
        <v>0.10139585352722373</v>
      </c>
      <c r="AN12">
        <v>2.1712386427779457E-4</v>
      </c>
      <c r="AO12">
        <v>2.4643865148752342</v>
      </c>
      <c r="AP12">
        <v>1.0001719550370844E-3</v>
      </c>
      <c r="AQ12">
        <v>1.2362735819687352E-2</v>
      </c>
      <c r="AR12">
        <v>2.4162566405483576</v>
      </c>
    </row>
    <row r="13" spans="1:44" ht="15">
      <c r="A13" s="222" t="s">
        <v>343</v>
      </c>
      <c r="B13" s="3"/>
      <c r="C13" s="209">
        <v>400</v>
      </c>
      <c r="D13" s="210">
        <f>Report!E12</f>
        <v>0.10512641599010453</v>
      </c>
      <c r="E13" s="210">
        <f>Report!G12</f>
        <v>1.6957431502343223E-5</v>
      </c>
      <c r="F13" s="211">
        <f>Report!I12</f>
        <v>2.0587229967224885</v>
      </c>
      <c r="G13" s="212">
        <f>Report!J12</f>
        <v>7.3014651101378876E-3</v>
      </c>
      <c r="H13" s="212">
        <f>Report!L12</f>
        <v>1.3093751023697049E-3</v>
      </c>
      <c r="I13" s="211">
        <f>Report!N12</f>
        <v>2.2107603494644521</v>
      </c>
      <c r="L13" s="244">
        <v>400</v>
      </c>
      <c r="M13" s="253">
        <v>0.10453905316143627</v>
      </c>
      <c r="N13" s="253">
        <v>1.0165362543790265E-5</v>
      </c>
      <c r="O13" s="248">
        <v>2.0721842436224098</v>
      </c>
      <c r="P13" s="251">
        <v>9.0015812829089027E-3</v>
      </c>
      <c r="Q13" s="251">
        <v>1.7047616227449454E-3</v>
      </c>
      <c r="R13" s="250">
        <v>2.9892836118224193</v>
      </c>
      <c r="T13" s="3"/>
      <c r="U13" s="209">
        <v>400</v>
      </c>
      <c r="V13" s="213">
        <v>0.10295154912451392</v>
      </c>
      <c r="W13" s="213">
        <v>8.4941224070627984E-6</v>
      </c>
      <c r="X13" s="211">
        <v>2.1672634108616946</v>
      </c>
      <c r="Y13" s="209">
        <v>7.5012951701229555E-3</v>
      </c>
      <c r="Z13" s="212">
        <v>1.3173670971451752E-3</v>
      </c>
      <c r="AA13" s="211">
        <v>2.0968600675079965</v>
      </c>
      <c r="AC13" s="3">
        <v>400</v>
      </c>
      <c r="AD13">
        <v>0.10205445884718455</v>
      </c>
      <c r="AE13">
        <v>1.3530879666597145E-4</v>
      </c>
      <c r="AF13">
        <v>2.4579292124092911</v>
      </c>
      <c r="AG13">
        <v>7.8012689530047013E-3</v>
      </c>
      <c r="AH13">
        <v>2.471820251124004E-3</v>
      </c>
      <c r="AI13">
        <v>2.4130701000840347</v>
      </c>
      <c r="AK13" s="3"/>
      <c r="AL13" s="3">
        <v>400</v>
      </c>
      <c r="AM13">
        <v>0.10141285434100368</v>
      </c>
      <c r="AN13">
        <v>2.1960763834429322E-4</v>
      </c>
      <c r="AO13">
        <v>2.4653300668682334</v>
      </c>
      <c r="AP13">
        <v>8.4014444223115096E-3</v>
      </c>
      <c r="AQ13">
        <v>4.4976362352884211E-4</v>
      </c>
      <c r="AR13">
        <v>2.0551907888165895</v>
      </c>
    </row>
    <row r="14" spans="1:44" ht="15">
      <c r="A14" s="222" t="s">
        <v>303</v>
      </c>
      <c r="B14" s="3"/>
      <c r="C14" s="209" t="s">
        <v>342</v>
      </c>
      <c r="D14" s="210">
        <f>Report!E13</f>
        <v>0.10511941549626487</v>
      </c>
      <c r="E14" s="210">
        <f>Report!G13</f>
        <v>1.3996884331464708E-5</v>
      </c>
      <c r="F14" s="211">
        <f>Report!I13</f>
        <v>2.0450844848001313</v>
      </c>
      <c r="G14" s="212">
        <f>Report!J13</f>
        <v>8.0016056001511095E-3</v>
      </c>
      <c r="H14" s="212">
        <f>Report!L13</f>
        <v>7.8530722497293401E-4</v>
      </c>
      <c r="I14" s="211">
        <f>Report!N13</f>
        <v>2.0929677915213221</v>
      </c>
      <c r="L14" s="244" t="s">
        <v>342</v>
      </c>
      <c r="M14" s="253">
        <v>0.10454305339306309</v>
      </c>
      <c r="N14" s="253">
        <v>1.0156942945162977E-5</v>
      </c>
      <c r="O14" s="248">
        <v>2.0726939846730783</v>
      </c>
      <c r="P14" s="252">
        <v>7.3012825961372221E-3</v>
      </c>
      <c r="Q14" s="251">
        <v>7.6691710354425476E-4</v>
      </c>
      <c r="R14" s="250">
        <v>2.2592377103178434</v>
      </c>
      <c r="T14" s="3"/>
      <c r="U14" s="209" t="s">
        <v>342</v>
      </c>
      <c r="V14" s="213">
        <v>0.10295254953311685</v>
      </c>
      <c r="W14" s="213">
        <v>8.4941196583493254E-6</v>
      </c>
      <c r="X14" s="211">
        <v>2.1672639040901305</v>
      </c>
      <c r="Y14" s="209">
        <v>7.3012606322530108E-3</v>
      </c>
      <c r="Z14" s="212">
        <v>8.3262893626449949E-4</v>
      </c>
      <c r="AA14" s="211">
        <v>2.0779977228985915</v>
      </c>
      <c r="AC14" s="3" t="s">
        <v>342</v>
      </c>
      <c r="AD14">
        <v>0.10205705897862104</v>
      </c>
      <c r="AE14">
        <v>1.3604694529219529E-4</v>
      </c>
      <c r="AF14">
        <v>2.4580521646241236</v>
      </c>
      <c r="AG14">
        <v>7.5012201471199051E-3</v>
      </c>
      <c r="AH14">
        <v>2.471547892042496E-3</v>
      </c>
      <c r="AI14">
        <v>2.4158275868628074</v>
      </c>
      <c r="AK14" s="3"/>
      <c r="AL14" s="3" t="s">
        <v>342</v>
      </c>
      <c r="AM14">
        <v>0.10141195429792121</v>
      </c>
      <c r="AN14">
        <v>2.2105418753587682E-4</v>
      </c>
      <c r="AO14">
        <v>2.4653855179532269</v>
      </c>
      <c r="AP14">
        <v>7.5012896627781331E-3</v>
      </c>
      <c r="AQ14">
        <v>4.446463848033078E-4</v>
      </c>
      <c r="AR14">
        <v>2.0603195930122862</v>
      </c>
    </row>
    <row r="15" spans="1:44" ht="15.75">
      <c r="A15" s="222" t="s">
        <v>304</v>
      </c>
      <c r="B15" s="3" t="s">
        <v>382</v>
      </c>
      <c r="C15" s="209">
        <v>53</v>
      </c>
      <c r="D15" s="210">
        <f>Report!E14</f>
        <v>0.98805670102279719</v>
      </c>
      <c r="E15" s="210">
        <f>Report!G14</f>
        <v>1.3294809627579203E-4</v>
      </c>
      <c r="F15" s="211">
        <f>Report!I14</f>
        <v>2.048464814482696</v>
      </c>
      <c r="G15" s="212">
        <f>Report!J14</f>
        <v>2.0004014000377774E-3</v>
      </c>
      <c r="H15" s="210">
        <f>Report!L14</f>
        <v>9.4590106603537755E-3</v>
      </c>
      <c r="I15" s="211">
        <f>Report!N14</f>
        <v>2.3105975570330854</v>
      </c>
      <c r="K15" t="s">
        <v>431</v>
      </c>
      <c r="L15" s="244">
        <v>53</v>
      </c>
      <c r="M15" s="254">
        <v>0.98790920325285947</v>
      </c>
      <c r="N15" s="254">
        <v>1.0390541722119293E-4</v>
      </c>
      <c r="O15" s="248">
        <v>2.0515211325975122</v>
      </c>
      <c r="P15" s="245">
        <v>7.0012298867069252E-3</v>
      </c>
      <c r="Q15" s="245">
        <v>1.5971463960407929E-2</v>
      </c>
      <c r="R15" s="250">
        <v>4.1937471056989892</v>
      </c>
      <c r="T15" s="3" t="s">
        <v>382</v>
      </c>
      <c r="U15" s="209">
        <v>53</v>
      </c>
      <c r="V15" s="214">
        <v>0.9874462120176416</v>
      </c>
      <c r="W15" s="214">
        <v>8.0382176901512662E-5</v>
      </c>
      <c r="X15" s="211">
        <v>2.333523517185577</v>
      </c>
      <c r="Y15" s="210">
        <v>0</v>
      </c>
      <c r="Z15" s="210">
        <v>1.0636297807295103E-2</v>
      </c>
      <c r="AA15" s="211">
        <v>2.0752109841666817</v>
      </c>
      <c r="AC15" s="3">
        <v>53</v>
      </c>
      <c r="AD15">
        <v>0.98737591179709538</v>
      </c>
      <c r="AE15">
        <v>7.1302014592423464E-5</v>
      </c>
      <c r="AF15">
        <v>2.0948421718263104</v>
      </c>
      <c r="AG15">
        <v>-5.0008134314132703E-3</v>
      </c>
      <c r="AH15">
        <v>1.0562436162163982E-2</v>
      </c>
      <c r="AI15">
        <v>1.9623277601804943</v>
      </c>
      <c r="AK15" s="3" t="s">
        <v>393</v>
      </c>
      <c r="AL15" s="3">
        <v>53</v>
      </c>
      <c r="AM15">
        <v>0.98718825385603404</v>
      </c>
      <c r="AN15">
        <v>7.1115054020929236E-5</v>
      </c>
      <c r="AO15">
        <v>2.0954456350818962</v>
      </c>
      <c r="AP15">
        <v>3.0005158651112535E-3</v>
      </c>
      <c r="AQ15">
        <v>1.2424703332297449E-2</v>
      </c>
      <c r="AR15">
        <v>2.3552327042238987</v>
      </c>
    </row>
    <row r="16" spans="1:44" ht="15">
      <c r="A16" s="222" t="s">
        <v>305</v>
      </c>
      <c r="B16" s="3"/>
      <c r="C16" s="209">
        <v>400</v>
      </c>
      <c r="D16" s="210">
        <f>Report!E15</f>
        <v>0.98806370151663669</v>
      </c>
      <c r="E16" s="210">
        <f>Report!G15</f>
        <v>1.0853771429215519E-4</v>
      </c>
      <c r="F16" s="211">
        <f>Report!I15</f>
        <v>2.0463376808009466</v>
      </c>
      <c r="G16" s="212">
        <f>Report!J15</f>
        <v>5.4010837801019987E-3</v>
      </c>
      <c r="H16" s="210">
        <f>Report!L15</f>
        <v>3.5263713914005851E-3</v>
      </c>
      <c r="I16" s="211">
        <f>Report!N15</f>
        <v>2.1192125048247124</v>
      </c>
      <c r="L16" s="244">
        <v>400</v>
      </c>
      <c r="M16" s="254">
        <v>0.98790620307913934</v>
      </c>
      <c r="N16" s="254">
        <v>1.0384736225830839E-4</v>
      </c>
      <c r="O16" s="248">
        <v>2.0517782373420035</v>
      </c>
      <c r="P16" s="251">
        <v>6.001054188605936E-3</v>
      </c>
      <c r="Q16" s="251">
        <v>1.6655867547403561E-3</v>
      </c>
      <c r="R16" s="250">
        <v>2.3232812676394929</v>
      </c>
      <c r="T16" s="3"/>
      <c r="U16" s="209">
        <v>400</v>
      </c>
      <c r="V16" s="214">
        <v>0.98744921200917146</v>
      </c>
      <c r="W16" s="214">
        <v>8.119532864094696E-5</v>
      </c>
      <c r="X16" s="211">
        <v>2.3673304765015137</v>
      </c>
      <c r="Y16" s="210">
        <v>6.1010534050333371E-3</v>
      </c>
      <c r="Z16" s="210">
        <v>7.3492188485372008E-3</v>
      </c>
      <c r="AA16" s="211">
        <v>2.143376110811352</v>
      </c>
      <c r="AC16" s="3">
        <v>400</v>
      </c>
      <c r="AD16">
        <v>0.98737831191842129</v>
      </c>
      <c r="AE16">
        <v>7.0981818338084312E-5</v>
      </c>
      <c r="AF16">
        <v>2.096613102396863</v>
      </c>
      <c r="AG16">
        <v>5.6009110431828628E-3</v>
      </c>
      <c r="AH16">
        <v>3.9214061664189295E-3</v>
      </c>
      <c r="AI16">
        <v>2.0910997784686036</v>
      </c>
      <c r="AK16" s="3"/>
      <c r="AL16" s="3">
        <v>400</v>
      </c>
      <c r="AM16">
        <v>0.98719325409538117</v>
      </c>
      <c r="AN16">
        <v>7.0833042872067961E-5</v>
      </c>
      <c r="AO16">
        <v>2.0971589217170417</v>
      </c>
      <c r="AP16">
        <v>6.001031730222507E-3</v>
      </c>
      <c r="AQ16">
        <v>3.4102560730420906E-3</v>
      </c>
      <c r="AR16">
        <v>2.149600396535126</v>
      </c>
    </row>
    <row r="17" spans="1:44" ht="15">
      <c r="A17" s="222" t="s">
        <v>306</v>
      </c>
      <c r="B17" s="3"/>
      <c r="C17" s="209" t="s">
        <v>342</v>
      </c>
      <c r="D17" s="210">
        <f>Report!E16</f>
        <v>0.9880457002467633</v>
      </c>
      <c r="E17" s="210">
        <f>Report!G16</f>
        <v>1.0819874295228952E-4</v>
      </c>
      <c r="F17" s="211">
        <f>Report!I16</f>
        <v>2.0476407387398754</v>
      </c>
      <c r="G17" s="212">
        <f>Report!J16</f>
        <v>5.6011239201057767E-3</v>
      </c>
      <c r="H17" s="210">
        <f>Report!L16</f>
        <v>3.42926948571836E-3</v>
      </c>
      <c r="I17" s="211">
        <f>Report!N16</f>
        <v>2.1437929059074747</v>
      </c>
      <c r="L17" s="244" t="s">
        <v>342</v>
      </c>
      <c r="M17" s="254">
        <v>0.98789320232635225</v>
      </c>
      <c r="N17" s="254">
        <v>1.0384494955129747E-4</v>
      </c>
      <c r="O17" s="248">
        <v>2.0517821006930346</v>
      </c>
      <c r="P17" s="251">
        <v>5.2009136301251445E-3</v>
      </c>
      <c r="Q17" s="251">
        <v>1.1604210541228648E-3</v>
      </c>
      <c r="R17" s="250">
        <v>2.1048017888771096</v>
      </c>
      <c r="T17" s="3"/>
      <c r="U17" s="209" t="s">
        <v>342</v>
      </c>
      <c r="V17" s="214">
        <v>0.98744921200917146</v>
      </c>
      <c r="W17" s="214">
        <v>8.1195246311796166E-5</v>
      </c>
      <c r="X17" s="211">
        <v>2.3673304487551148</v>
      </c>
      <c r="Y17" s="210">
        <v>5.4009325224885279E-3</v>
      </c>
      <c r="Z17" s="210">
        <v>7.3287672928966634E-3</v>
      </c>
      <c r="AA17" s="211">
        <v>2.1515482977230103</v>
      </c>
      <c r="AC17" s="3" t="s">
        <v>342</v>
      </c>
      <c r="AD17">
        <v>0.98736491124101788</v>
      </c>
      <c r="AE17">
        <v>6.9917013754486606E-5</v>
      </c>
      <c r="AF17">
        <v>2.0999187974227138</v>
      </c>
      <c r="AG17">
        <v>5.0008134314132703E-3</v>
      </c>
      <c r="AH17">
        <v>3.9213735349340724E-3</v>
      </c>
      <c r="AI17">
        <v>2.091099671106714</v>
      </c>
      <c r="AK17" s="3"/>
      <c r="AL17" s="3" t="s">
        <v>342</v>
      </c>
      <c r="AM17">
        <v>0.98719435414803758</v>
      </c>
      <c r="AN17">
        <v>7.0650913408379975E-5</v>
      </c>
      <c r="AO17">
        <v>2.0976641321477398</v>
      </c>
      <c r="AP17">
        <v>5.4009285572002566E-3</v>
      </c>
      <c r="AQ17">
        <v>3.411454715233709E-3</v>
      </c>
      <c r="AR17">
        <v>2.1491479085586453</v>
      </c>
    </row>
    <row r="18" spans="1:44" ht="15.75">
      <c r="A18" s="222" t="s">
        <v>307</v>
      </c>
      <c r="B18" s="3" t="s">
        <v>383</v>
      </c>
      <c r="C18" s="209">
        <v>53</v>
      </c>
      <c r="D18" s="210">
        <f>Report!E17</f>
        <v>9.9137893538498769</v>
      </c>
      <c r="E18" s="210">
        <f>Report!G17</f>
        <v>1.3301721501168371E-3</v>
      </c>
      <c r="F18" s="211">
        <f>Report!I17</f>
        <v>2.0488771523373699</v>
      </c>
      <c r="G18" s="212">
        <f>Report!J17</f>
        <v>2.0004014000377771E-2</v>
      </c>
      <c r="H18" s="210">
        <f>Report!L17</f>
        <v>9.459878912365248E-2</v>
      </c>
      <c r="I18" s="211">
        <f>Report!N17</f>
        <v>2.31033768638473</v>
      </c>
      <c r="K18" t="s">
        <v>432</v>
      </c>
      <c r="L18" s="244">
        <v>53</v>
      </c>
      <c r="M18" s="251">
        <v>9.9129739944077073</v>
      </c>
      <c r="N18" s="251">
        <v>1.0424466322547768E-3</v>
      </c>
      <c r="O18" s="248">
        <v>2.051596746989516</v>
      </c>
      <c r="P18" s="255">
        <v>-4.0007027924039568E-2</v>
      </c>
      <c r="Q18" s="255">
        <v>0.15984915351888396</v>
      </c>
      <c r="R18" s="250">
        <v>4.1984840531437744</v>
      </c>
      <c r="T18" s="3" t="s">
        <v>383</v>
      </c>
      <c r="U18" s="209">
        <v>53</v>
      </c>
      <c r="V18" s="212">
        <v>9.9106990742996999</v>
      </c>
      <c r="W18" s="212">
        <v>9.6578680953760909E-4</v>
      </c>
      <c r="X18" s="211">
        <v>2.1061604319904506</v>
      </c>
      <c r="Y18" s="215">
        <v>0.13702365844091263</v>
      </c>
      <c r="Z18" s="215">
        <v>0.11620204564378042</v>
      </c>
      <c r="AA18" s="211">
        <v>2.042471687336735</v>
      </c>
      <c r="AC18" s="3">
        <v>53</v>
      </c>
      <c r="AD18">
        <v>9.9122510637366563</v>
      </c>
      <c r="AE18">
        <v>6.525495322046588E-4</v>
      </c>
      <c r="AF18">
        <v>2.1419460879169705</v>
      </c>
      <c r="AG18">
        <v>-0.18002928353087774</v>
      </c>
      <c r="AH18">
        <v>0.10566082158711818</v>
      </c>
      <c r="AI18">
        <v>1.9623458422830391</v>
      </c>
      <c r="AK18" s="3" t="s">
        <v>394</v>
      </c>
      <c r="AL18" s="3">
        <v>53</v>
      </c>
      <c r="AM18">
        <v>9.9117344461562791</v>
      </c>
      <c r="AN18">
        <v>6.552764059166062E-4</v>
      </c>
      <c r="AO18">
        <v>2.1374736736686093</v>
      </c>
      <c r="AP18">
        <v>-0.10001719550370845</v>
      </c>
      <c r="AQ18">
        <v>0.12412257114743404</v>
      </c>
      <c r="AR18">
        <v>2.3645571523188775</v>
      </c>
    </row>
    <row r="19" spans="1:44" ht="15">
      <c r="A19" s="222" t="s">
        <v>308</v>
      </c>
      <c r="B19" s="3"/>
      <c r="C19" s="209">
        <v>400</v>
      </c>
      <c r="D19" s="210">
        <f>Report!E18</f>
        <v>9.9137703525094558</v>
      </c>
      <c r="E19" s="210">
        <f>Report!G18</f>
        <v>1.0864186996645624E-3</v>
      </c>
      <c r="F19" s="211">
        <f>Report!I18</f>
        <v>2.0473503445180388</v>
      </c>
      <c r="G19" s="212">
        <f>Report!J18</f>
        <v>4.0008028000755548E-3</v>
      </c>
      <c r="H19" s="210">
        <f>Report!L18</f>
        <v>3.5329843366005448E-2</v>
      </c>
      <c r="I19" s="211">
        <f>Report!N18</f>
        <v>2.1205900476010155</v>
      </c>
      <c r="L19" s="244">
        <v>400</v>
      </c>
      <c r="M19" s="251">
        <v>9.913005996260722</v>
      </c>
      <c r="N19" s="251">
        <v>1.0418734923354123E-3</v>
      </c>
      <c r="O19" s="248">
        <v>2.0518524156796829</v>
      </c>
      <c r="P19" s="252">
        <v>5.000878490504946E-3</v>
      </c>
      <c r="Q19" s="245">
        <v>1.6624696929605817E-2</v>
      </c>
      <c r="R19" s="250">
        <v>2.3379364103923703</v>
      </c>
      <c r="T19" s="3"/>
      <c r="U19" s="209">
        <v>400</v>
      </c>
      <c r="V19" s="212">
        <v>9.9106970743745499</v>
      </c>
      <c r="W19" s="212">
        <v>9.6955268041587657E-4</v>
      </c>
      <c r="X19" s="211">
        <v>2.1123817639600979</v>
      </c>
      <c r="Y19" s="209">
        <v>7.001208825448091E-3</v>
      </c>
      <c r="Z19" s="215">
        <v>7.3761139742429038E-2</v>
      </c>
      <c r="AA19" s="211">
        <v>2.1434628919763861</v>
      </c>
      <c r="AC19" s="3">
        <v>400</v>
      </c>
      <c r="AD19">
        <v>9.9124140719767144</v>
      </c>
      <c r="AE19">
        <v>6.5478878362396E-4</v>
      </c>
      <c r="AF19">
        <v>2.1384975482149673</v>
      </c>
      <c r="AG19">
        <v>3.000488058847962E-3</v>
      </c>
      <c r="AH19">
        <v>3.9321653216191535E-2</v>
      </c>
      <c r="AI19">
        <v>2.0911777717445643</v>
      </c>
      <c r="AK19" s="3"/>
      <c r="AL19" s="3">
        <v>400</v>
      </c>
      <c r="AM19">
        <v>9.9117304459648015</v>
      </c>
      <c r="AN19">
        <v>6.5467178026647243E-4</v>
      </c>
      <c r="AO19">
        <v>2.1386656332278404</v>
      </c>
      <c r="AP19">
        <v>6.001031730222507E-3</v>
      </c>
      <c r="AQ19">
        <v>3.4230117438679049E-2</v>
      </c>
      <c r="AR19">
        <v>2.1499801905920806</v>
      </c>
    </row>
    <row r="20" spans="1:44" ht="15">
      <c r="A20" s="222" t="s">
        <v>309</v>
      </c>
      <c r="B20" s="3"/>
      <c r="C20" s="209" t="s">
        <v>342</v>
      </c>
      <c r="D20" s="210">
        <f>Report!E19</f>
        <v>9.913637343126501</v>
      </c>
      <c r="E20" s="210">
        <f>Report!G19</f>
        <v>1.083041859335662E-3</v>
      </c>
      <c r="F20" s="211">
        <f>Report!I19</f>
        <v>2.0486684116034093</v>
      </c>
      <c r="G20" s="212">
        <f>Report!J19</f>
        <v>7.0014049001322206E-3</v>
      </c>
      <c r="H20" s="210">
        <f>Report!L19</f>
        <v>3.4363695765442508E-2</v>
      </c>
      <c r="I20" s="211">
        <f>Report!N19</f>
        <v>2.1453797983810055</v>
      </c>
      <c r="L20" s="244" t="s">
        <v>342</v>
      </c>
      <c r="M20" s="251">
        <v>9.913033997882108</v>
      </c>
      <c r="N20" s="251">
        <v>1.041866729144513E-3</v>
      </c>
      <c r="O20" s="248">
        <v>2.0518562619758147</v>
      </c>
      <c r="P20" s="252">
        <v>3.000527094302968E-3</v>
      </c>
      <c r="Q20" s="245">
        <v>1.1499123337948102E-2</v>
      </c>
      <c r="R20" s="250">
        <v>2.1148614177193279</v>
      </c>
      <c r="T20" s="3"/>
      <c r="U20" s="209" t="s">
        <v>342</v>
      </c>
      <c r="V20" s="212">
        <v>9.9106570758715655</v>
      </c>
      <c r="W20" s="212">
        <v>9.6994829085030303E-4</v>
      </c>
      <c r="X20" s="211">
        <v>2.1120309966593083</v>
      </c>
      <c r="Y20" s="209">
        <v>4.0006907573989095E-3</v>
      </c>
      <c r="Z20" s="215">
        <v>7.3557594478088448E-2</v>
      </c>
      <c r="AA20" s="211">
        <v>2.1515756664648023</v>
      </c>
      <c r="AC20" s="3" t="s">
        <v>342</v>
      </c>
      <c r="AD20">
        <v>9.9123990712184273</v>
      </c>
      <c r="AE20">
        <v>6.5529127517057958E-4</v>
      </c>
      <c r="AF20">
        <v>2.1377192220097609</v>
      </c>
      <c r="AG20">
        <v>1.0001626862826542E-3</v>
      </c>
      <c r="AH20">
        <v>3.9326400321867287E-2</v>
      </c>
      <c r="AI20">
        <v>2.0910874843422858</v>
      </c>
      <c r="AK20" s="3"/>
      <c r="AL20" s="3" t="s">
        <v>342</v>
      </c>
      <c r="AM20">
        <v>9.9116944442415029</v>
      </c>
      <c r="AN20">
        <v>6.5432038509814208E-4</v>
      </c>
      <c r="AO20">
        <v>2.1392119924220814</v>
      </c>
      <c r="AP20">
        <v>6.001031730222507E-3</v>
      </c>
      <c r="AQ20">
        <v>3.4229980044675569E-2</v>
      </c>
      <c r="AR20">
        <v>2.1499801621980352</v>
      </c>
    </row>
    <row r="21" spans="1:44" ht="15.75">
      <c r="A21" s="222" t="s">
        <v>316</v>
      </c>
      <c r="B21" s="3" t="s">
        <v>384</v>
      </c>
      <c r="C21" s="209">
        <v>53</v>
      </c>
      <c r="D21" s="210">
        <f>Report!E20</f>
        <v>100.03668694257213</v>
      </c>
      <c r="E21" s="210">
        <f>Report!G20</f>
        <v>1.1775777308650126E-2</v>
      </c>
      <c r="F21" s="211">
        <f>Report!I20</f>
        <v>2.0993861171555226</v>
      </c>
      <c r="G21" s="212">
        <f>Report!J20</f>
        <v>0.20004014000377773</v>
      </c>
      <c r="H21" s="210">
        <f>Report!L20</f>
        <v>0.94645681054301356</v>
      </c>
      <c r="I21" s="211">
        <f>Report!N20</f>
        <v>2.308331439091805</v>
      </c>
      <c r="K21" t="s">
        <v>433</v>
      </c>
      <c r="L21" s="244">
        <v>53</v>
      </c>
      <c r="M21" s="245">
        <v>100.03579240755045</v>
      </c>
      <c r="N21" s="245">
        <v>8.8059083261186402E-3</v>
      </c>
      <c r="O21" s="248">
        <v>2.1233947319278905</v>
      </c>
      <c r="P21" s="264">
        <v>0.30005270943029683</v>
      </c>
      <c r="Q21" s="264">
        <v>1.5977651245011155</v>
      </c>
      <c r="R21" s="250">
        <v>4.195923386642507</v>
      </c>
      <c r="T21" s="3" t="s">
        <v>384</v>
      </c>
      <c r="U21" s="209">
        <v>53</v>
      </c>
      <c r="V21" s="210">
        <v>100.03360959253207</v>
      </c>
      <c r="W21" s="210">
        <v>8.533908270006706E-3</v>
      </c>
      <c r="X21" s="211">
        <v>2.2116087584771824</v>
      </c>
      <c r="Y21" s="215">
        <v>0.41007080263338824</v>
      </c>
      <c r="Z21" s="215">
        <v>1.0676737269584375</v>
      </c>
      <c r="AA21" s="211">
        <v>2.0748382866277906</v>
      </c>
      <c r="AC21" s="3">
        <v>53</v>
      </c>
      <c r="AD21">
        <v>100.01357568065467</v>
      </c>
      <c r="AE21">
        <v>1.3870492098320677E-3</v>
      </c>
      <c r="AF21">
        <v>2.0438492623549878</v>
      </c>
      <c r="AG21">
        <v>0</v>
      </c>
      <c r="AH21">
        <v>0.53179876040149909</v>
      </c>
      <c r="AI21">
        <v>1.9683857645082399</v>
      </c>
      <c r="AK21" s="3" t="s">
        <v>395</v>
      </c>
      <c r="AL21" s="3">
        <v>53</v>
      </c>
      <c r="AM21">
        <v>100.01213729271629</v>
      </c>
      <c r="AN21">
        <v>1.3616853127709483E-3</v>
      </c>
      <c r="AO21">
        <v>2.050577325068673</v>
      </c>
      <c r="AP21">
        <v>0.20003439100741696</v>
      </c>
      <c r="AQ21">
        <v>0.61736848188076732</v>
      </c>
      <c r="AR21">
        <v>2.4606184792691721</v>
      </c>
    </row>
    <row r="22" spans="1:44" ht="15">
      <c r="A22" s="222" t="s">
        <v>317</v>
      </c>
      <c r="B22" s="3"/>
      <c r="C22" s="209">
        <v>400</v>
      </c>
      <c r="D22" s="210">
        <f>Report!E21</f>
        <v>100.03664693975018</v>
      </c>
      <c r="E22" s="210">
        <f>Report!G21</f>
        <v>8.8537872689248478E-3</v>
      </c>
      <c r="F22" s="211">
        <f>Report!I21</f>
        <v>2.1181157134150861</v>
      </c>
      <c r="G22" s="212">
        <f>Report!J21</f>
        <v>6.0012042001133317E-2</v>
      </c>
      <c r="H22" s="210">
        <f>Report!L21</f>
        <v>0.35627586085908713</v>
      </c>
      <c r="I22" s="211">
        <f>Report!N21</f>
        <v>2.1210238562243977</v>
      </c>
      <c r="L22" s="244">
        <v>400</v>
      </c>
      <c r="M22" s="245">
        <v>100.03579240755045</v>
      </c>
      <c r="N22" s="245">
        <v>8.7998741896239217E-3</v>
      </c>
      <c r="O22" s="248">
        <v>2.1241003930150244</v>
      </c>
      <c r="P22" s="255">
        <v>4.0007027924039568E-2</v>
      </c>
      <c r="Q22" s="255">
        <v>0.16658012000687741</v>
      </c>
      <c r="R22" s="250">
        <v>2.3322462697601249</v>
      </c>
      <c r="T22" s="3"/>
      <c r="U22" s="209">
        <v>400</v>
      </c>
      <c r="V22" s="210">
        <v>100.03360959253207</v>
      </c>
      <c r="W22" s="210">
        <v>8.5955277313432589E-3</v>
      </c>
      <c r="X22" s="211">
        <v>2.2279141521173127</v>
      </c>
      <c r="Y22" s="215">
        <v>6.0010361360983637E-2</v>
      </c>
      <c r="Z22" s="215">
        <v>0.74437463393940129</v>
      </c>
      <c r="AA22" s="211">
        <v>2.143655354188895</v>
      </c>
      <c r="AC22" s="3">
        <v>400</v>
      </c>
      <c r="AD22">
        <v>100.01318566093919</v>
      </c>
      <c r="AE22">
        <v>1.3722504246262569E-3</v>
      </c>
      <c r="AF22">
        <v>2.0478493645002405</v>
      </c>
      <c r="AG22">
        <v>4.0006507451306163E-2</v>
      </c>
      <c r="AH22">
        <v>0.24701135720259773</v>
      </c>
      <c r="AI22">
        <v>2.4335304966287157</v>
      </c>
      <c r="AK22" s="3"/>
      <c r="AL22" s="3">
        <v>400</v>
      </c>
      <c r="AM22">
        <v>100.0124873094706</v>
      </c>
      <c r="AN22">
        <v>1.3669422048932381E-3</v>
      </c>
      <c r="AO22">
        <v>2.0490166970742996</v>
      </c>
      <c r="AP22">
        <v>6.0010317302225065E-2</v>
      </c>
      <c r="AQ22">
        <v>3.6037474167874235E-2</v>
      </c>
      <c r="AR22">
        <v>2.0784545905213196</v>
      </c>
    </row>
    <row r="23" spans="1:44" ht="15.75" thickBot="1">
      <c r="A23" s="222" t="s">
        <v>318</v>
      </c>
      <c r="B23" s="3"/>
      <c r="C23" s="209" t="s">
        <v>344</v>
      </c>
      <c r="D23" s="210">
        <f>Report!E22</f>
        <v>100.03666694116116</v>
      </c>
      <c r="E23" s="210">
        <f>Report!G22</f>
        <v>8.8170285725435466E-3</v>
      </c>
      <c r="F23" s="211">
        <f>Report!I22</f>
        <v>2.1221121413701569</v>
      </c>
      <c r="G23" s="212">
        <f>Report!J22</f>
        <v>6.0012042001133317E-2</v>
      </c>
      <c r="H23" s="210">
        <f>Report!L22</f>
        <v>0.3467187943589698</v>
      </c>
      <c r="I23" s="211">
        <f>Report!N22</f>
        <v>2.145513813926037</v>
      </c>
      <c r="L23" s="257" t="s">
        <v>342</v>
      </c>
      <c r="M23" s="258">
        <v>100.03551239133657</v>
      </c>
      <c r="N23" s="258">
        <v>8.7997590107029913E-3</v>
      </c>
      <c r="O23" s="260">
        <v>2.1241110202475877</v>
      </c>
      <c r="P23" s="261">
        <v>2.0003513962019784E-2</v>
      </c>
      <c r="Q23" s="261">
        <v>0.11587094438165103</v>
      </c>
      <c r="R23" s="262">
        <v>2.1149820959754395</v>
      </c>
      <c r="T23" s="3"/>
      <c r="U23" s="209" t="s">
        <v>344</v>
      </c>
      <c r="V23" s="210">
        <v>100.03325957255407</v>
      </c>
      <c r="W23" s="210">
        <v>8.5865065124949378E-3</v>
      </c>
      <c r="X23" s="211">
        <v>2.229327402526402</v>
      </c>
      <c r="Y23" s="215">
        <v>4.0006907573989094E-2</v>
      </c>
      <c r="Z23" s="215">
        <v>0.74236641919425606</v>
      </c>
      <c r="AA23" s="211">
        <v>2.1516246518034903</v>
      </c>
      <c r="AC23" s="3" t="s">
        <v>344</v>
      </c>
      <c r="AD23">
        <v>100.01303565335633</v>
      </c>
      <c r="AE23">
        <v>1.3726448556089E-3</v>
      </c>
      <c r="AF23">
        <v>2.0477292253635762</v>
      </c>
      <c r="AG23">
        <v>4.0006507451306163E-2</v>
      </c>
      <c r="AH23">
        <v>0.24701010891364295</v>
      </c>
      <c r="AI23">
        <v>2.4337767250895164</v>
      </c>
      <c r="AK23" s="3"/>
      <c r="AL23" s="3" t="s">
        <v>344</v>
      </c>
      <c r="AM23">
        <v>100.01230730085409</v>
      </c>
      <c r="AN23">
        <v>1.36674049735347E-3</v>
      </c>
      <c r="AO23">
        <v>2.0490734717651256</v>
      </c>
      <c r="AP23">
        <v>5.000859775185422E-2</v>
      </c>
      <c r="AQ23">
        <v>3.6123980363426629E-2</v>
      </c>
      <c r="AR23">
        <v>2.0769605535706424</v>
      </c>
    </row>
    <row r="24" spans="1:44" ht="13.5" thickTop="1">
      <c r="A24" s="222"/>
      <c r="AK24" s="3"/>
      <c r="AL24" s="3"/>
    </row>
    <row r="25" spans="1:44">
      <c r="A25" s="222"/>
      <c r="B25" s="3" t="s">
        <v>337</v>
      </c>
      <c r="C25" s="3" t="s">
        <v>312</v>
      </c>
      <c r="D25" s="3" t="s">
        <v>7</v>
      </c>
      <c r="E25" s="3" t="s">
        <v>338</v>
      </c>
      <c r="F25" s="3" t="s">
        <v>148</v>
      </c>
      <c r="G25" s="3" t="s">
        <v>345</v>
      </c>
      <c r="H25" s="3" t="s">
        <v>338</v>
      </c>
      <c r="I25" s="3" t="s">
        <v>148</v>
      </c>
      <c r="K25" t="s">
        <v>337</v>
      </c>
      <c r="L25" t="s">
        <v>312</v>
      </c>
      <c r="M25" t="s">
        <v>7</v>
      </c>
      <c r="N25" t="s">
        <v>338</v>
      </c>
      <c r="O25" t="s">
        <v>148</v>
      </c>
      <c r="P25" t="s">
        <v>345</v>
      </c>
      <c r="Q25" t="s">
        <v>338</v>
      </c>
      <c r="R25" t="s">
        <v>148</v>
      </c>
      <c r="T25" s="3" t="s">
        <v>337</v>
      </c>
      <c r="U25" s="3" t="s">
        <v>312</v>
      </c>
      <c r="V25" s="3" t="s">
        <v>7</v>
      </c>
      <c r="W25" s="3" t="s">
        <v>338</v>
      </c>
      <c r="X25" s="3" t="s">
        <v>148</v>
      </c>
      <c r="Y25" s="3" t="s">
        <v>345</v>
      </c>
      <c r="Z25" s="3" t="s">
        <v>338</v>
      </c>
      <c r="AA25" s="3" t="s">
        <v>148</v>
      </c>
      <c r="AC25" t="s">
        <v>312</v>
      </c>
      <c r="AD25" t="s">
        <v>7</v>
      </c>
      <c r="AE25" t="s">
        <v>338</v>
      </c>
      <c r="AF25" t="s">
        <v>148</v>
      </c>
      <c r="AG25" t="s">
        <v>345</v>
      </c>
      <c r="AH25" t="s">
        <v>338</v>
      </c>
      <c r="AI25" t="s">
        <v>148</v>
      </c>
      <c r="AK25" s="3" t="s">
        <v>337</v>
      </c>
      <c r="AL25" s="3" t="s">
        <v>312</v>
      </c>
      <c r="AM25" t="s">
        <v>7</v>
      </c>
      <c r="AN25" t="s">
        <v>338</v>
      </c>
      <c r="AO25" t="s">
        <v>148</v>
      </c>
      <c r="AP25" t="s">
        <v>345</v>
      </c>
      <c r="AQ25" t="s">
        <v>338</v>
      </c>
      <c r="AR25" t="s">
        <v>148</v>
      </c>
    </row>
    <row r="26" spans="1:44" ht="15.75">
      <c r="A26" s="222"/>
      <c r="B26" s="3"/>
      <c r="C26" s="3" t="s">
        <v>339</v>
      </c>
      <c r="D26" s="3" t="s">
        <v>385</v>
      </c>
      <c r="E26" s="3" t="s">
        <v>385</v>
      </c>
      <c r="F26" s="3" t="s">
        <v>150</v>
      </c>
      <c r="G26" s="3" t="s">
        <v>346</v>
      </c>
      <c r="H26" s="3" t="s">
        <v>346</v>
      </c>
      <c r="I26" s="3" t="s">
        <v>150</v>
      </c>
      <c r="L26" t="s">
        <v>339</v>
      </c>
      <c r="M26" t="s">
        <v>425</v>
      </c>
      <c r="N26" t="s">
        <v>425</v>
      </c>
      <c r="O26" t="s">
        <v>150</v>
      </c>
      <c r="P26" t="s">
        <v>346</v>
      </c>
      <c r="Q26" t="s">
        <v>346</v>
      </c>
      <c r="R26" t="s">
        <v>150</v>
      </c>
      <c r="T26" s="3"/>
      <c r="U26" s="3" t="s">
        <v>339</v>
      </c>
      <c r="V26" s="3" t="s">
        <v>385</v>
      </c>
      <c r="W26" s="3" t="s">
        <v>385</v>
      </c>
      <c r="X26" s="3" t="s">
        <v>150</v>
      </c>
      <c r="Y26" s="3" t="s">
        <v>346</v>
      </c>
      <c r="Z26" s="3" t="s">
        <v>346</v>
      </c>
      <c r="AA26" s="3" t="s">
        <v>150</v>
      </c>
      <c r="AC26" s="3" t="s">
        <v>339</v>
      </c>
      <c r="AF26" t="s">
        <v>150</v>
      </c>
      <c r="AG26" t="s">
        <v>346</v>
      </c>
      <c r="AH26" t="s">
        <v>346</v>
      </c>
      <c r="AI26" t="s">
        <v>150</v>
      </c>
      <c r="AK26" s="3"/>
      <c r="AL26" s="3" t="s">
        <v>339</v>
      </c>
      <c r="AM26" t="s">
        <v>396</v>
      </c>
      <c r="AN26" t="s">
        <v>396</v>
      </c>
      <c r="AO26" t="s">
        <v>150</v>
      </c>
      <c r="AP26" t="s">
        <v>346</v>
      </c>
      <c r="AQ26" t="s">
        <v>346</v>
      </c>
      <c r="AR26" t="s">
        <v>150</v>
      </c>
    </row>
    <row r="27" spans="1:44" ht="15.75">
      <c r="A27" s="222" t="s">
        <v>319</v>
      </c>
      <c r="B27" s="3" t="s">
        <v>386</v>
      </c>
      <c r="C27" s="209">
        <v>53</v>
      </c>
      <c r="D27" s="210">
        <f>Report!E26</f>
        <v>1.0002425606565399</v>
      </c>
      <c r="E27" s="210">
        <f>Report!G26</f>
        <v>1.1775059787903941E-4</v>
      </c>
      <c r="F27" s="211">
        <f>Report!I26</f>
        <v>2.099400571484817</v>
      </c>
      <c r="G27" s="212">
        <f>Report!J26</f>
        <v>2.4992891445682854</v>
      </c>
      <c r="H27" s="210">
        <f>Report!L26</f>
        <v>9.4599129742506136</v>
      </c>
      <c r="I27" s="211">
        <f>Report!N26</f>
        <v>2.3083590944567671</v>
      </c>
      <c r="K27" t="s">
        <v>434</v>
      </c>
      <c r="L27" s="244">
        <v>53</v>
      </c>
      <c r="M27" s="254">
        <v>1.0002289166055396</v>
      </c>
      <c r="N27" s="254">
        <v>8.8047747347056465E-5</v>
      </c>
      <c r="O27" s="248">
        <v>2.1233944956082156</v>
      </c>
      <c r="P27" s="271">
        <v>9.99717941637564E-2</v>
      </c>
      <c r="Q27" s="271">
        <v>15.970442421850175</v>
      </c>
      <c r="R27" s="250">
        <v>4.1959599841492805</v>
      </c>
      <c r="T27" s="3" t="s">
        <v>386</v>
      </c>
      <c r="U27" s="209">
        <v>53</v>
      </c>
      <c r="V27" s="214">
        <v>1.0002290898177606</v>
      </c>
      <c r="W27" s="214">
        <v>8.1436998219017452E-5</v>
      </c>
      <c r="X27" s="211">
        <v>2.3344101705874287</v>
      </c>
      <c r="Y27" s="218">
        <v>-3.9988583520679959</v>
      </c>
      <c r="Z27" s="218">
        <v>10.675545904671511</v>
      </c>
      <c r="AA27" s="211">
        <v>2.0748902959081019</v>
      </c>
      <c r="AC27" s="3">
        <v>53</v>
      </c>
      <c r="AD27">
        <v>1.0002130607142548</v>
      </c>
      <c r="AE27">
        <v>1.3989257474347657E-5</v>
      </c>
      <c r="AF27">
        <v>2.041298235969339</v>
      </c>
      <c r="AG27">
        <v>0</v>
      </c>
      <c r="AH27">
        <v>2.9377353787890486</v>
      </c>
      <c r="AI27">
        <v>2.0678642790787225</v>
      </c>
      <c r="AK27" s="3" t="s">
        <v>397</v>
      </c>
      <c r="AL27" s="3">
        <v>53</v>
      </c>
      <c r="AM27">
        <v>1.0001948764455646</v>
      </c>
      <c r="AN27">
        <v>1.3845772533786124E-5</v>
      </c>
      <c r="AO27">
        <v>2.0446795699747398</v>
      </c>
      <c r="AP27">
        <v>0</v>
      </c>
      <c r="AQ27">
        <v>2.4696729358741747</v>
      </c>
      <c r="AR27">
        <v>2.4272788189110921</v>
      </c>
    </row>
    <row r="28" spans="1:44" ht="15">
      <c r="A28" s="222" t="s">
        <v>320</v>
      </c>
      <c r="B28" s="3"/>
      <c r="C28" s="209">
        <v>400</v>
      </c>
      <c r="D28" s="210">
        <f>Report!E27</f>
        <v>1.0002429606847594</v>
      </c>
      <c r="E28" s="210">
        <f>Report!G27</f>
        <v>8.8527037353237461E-5</v>
      </c>
      <c r="F28" s="211">
        <f>Report!I27</f>
        <v>2.1181145322970458</v>
      </c>
      <c r="G28" s="212">
        <f>Report!J27</f>
        <v>-0.49985742909640252</v>
      </c>
      <c r="H28" s="210">
        <f>Report!L27</f>
        <v>3.5606182907698942</v>
      </c>
      <c r="I28" s="211">
        <f>Report!N27</f>
        <v>2.1210179346639602</v>
      </c>
      <c r="L28" s="244">
        <v>400</v>
      </c>
      <c r="M28" s="254">
        <v>1.0002289166055396</v>
      </c>
      <c r="N28" s="254">
        <v>8.7987398189674507E-5</v>
      </c>
      <c r="O28" s="248">
        <v>2.1241003377589718</v>
      </c>
      <c r="P28" s="264">
        <v>-0.29991538249126931</v>
      </c>
      <c r="Q28" s="264">
        <v>1.6649906453220498</v>
      </c>
      <c r="R28" s="250">
        <v>2.3323262962309159</v>
      </c>
      <c r="T28" s="3"/>
      <c r="U28" s="209">
        <v>400</v>
      </c>
      <c r="V28" s="214">
        <v>1.0002300898748406</v>
      </c>
      <c r="W28" s="214">
        <v>8.2244531048267352E-5</v>
      </c>
      <c r="X28" s="211">
        <v>2.3674473589762455</v>
      </c>
      <c r="Y28" s="218">
        <v>-0.69979881225426466</v>
      </c>
      <c r="Z28" s="218">
        <v>7.4449552355449242</v>
      </c>
      <c r="AA28" s="211">
        <v>2.1433243235809023</v>
      </c>
      <c r="AC28" s="3">
        <v>400</v>
      </c>
      <c r="AD28">
        <v>1.0002111606182051</v>
      </c>
      <c r="AE28">
        <v>1.3902595660679295E-5</v>
      </c>
      <c r="AF28">
        <v>2.0431263986019315</v>
      </c>
      <c r="AG28">
        <v>0.59984425805453767</v>
      </c>
      <c r="AH28">
        <v>2.4690707254025472</v>
      </c>
      <c r="AI28">
        <v>2.4335304091353773</v>
      </c>
      <c r="AK28" s="3"/>
      <c r="AL28" s="3">
        <v>400</v>
      </c>
      <c r="AM28">
        <v>1.0001956764838598</v>
      </c>
      <c r="AN28">
        <v>1.385536929002209E-5</v>
      </c>
      <c r="AO28">
        <v>2.0444772737627726</v>
      </c>
      <c r="AP28">
        <v>0.79982451970551594</v>
      </c>
      <c r="AQ28">
        <v>0.36109836804177387</v>
      </c>
      <c r="AR28">
        <v>2.0769607300657396</v>
      </c>
    </row>
    <row r="29" spans="1:44" ht="15">
      <c r="A29" s="222" t="s">
        <v>321</v>
      </c>
      <c r="B29" s="3"/>
      <c r="C29" s="209" t="s">
        <v>342</v>
      </c>
      <c r="D29" s="210">
        <f>Report!E28</f>
        <v>1.0002386603814009</v>
      </c>
      <c r="E29" s="210">
        <f>Report!G28</f>
        <v>8.8158990254942531E-5</v>
      </c>
      <c r="F29" s="211">
        <f>Report!I28</f>
        <v>2.1221118878480323</v>
      </c>
      <c r="G29" s="212">
        <f>Report!J28</f>
        <v>-0.59983407258843535</v>
      </c>
      <c r="H29" s="210">
        <f>Report!L28</f>
        <v>3.4650942008074561</v>
      </c>
      <c r="I29" s="211">
        <f>Report!N28</f>
        <v>2.1455119262647102</v>
      </c>
      <c r="L29" s="244" t="s">
        <v>342</v>
      </c>
      <c r="M29" s="254">
        <v>1.0002255164086569</v>
      </c>
      <c r="N29" s="254">
        <v>8.7986202315322773E-5</v>
      </c>
      <c r="O29" s="248">
        <v>2.1241109675239245</v>
      </c>
      <c r="P29" s="264">
        <v>-0.19994494771839047</v>
      </c>
      <c r="Q29" s="264">
        <v>1.1580610552363195</v>
      </c>
      <c r="R29" s="250">
        <v>2.1149802921589331</v>
      </c>
      <c r="T29" s="3"/>
      <c r="U29" s="209" t="s">
        <v>342</v>
      </c>
      <c r="V29" s="214">
        <v>1.0002269896978926</v>
      </c>
      <c r="W29" s="214">
        <v>8.2244275387142581E-5</v>
      </c>
      <c r="X29" s="211">
        <v>2.367447331540955</v>
      </c>
      <c r="Y29" s="218">
        <v>-0.39988751444376819</v>
      </c>
      <c r="Z29" s="218">
        <v>7.4245947767653933</v>
      </c>
      <c r="AA29" s="211">
        <v>2.1513195641906568</v>
      </c>
      <c r="AC29" s="3" t="s">
        <v>342</v>
      </c>
      <c r="AD29">
        <v>1.0002098605524867</v>
      </c>
      <c r="AE29">
        <v>1.3908492311479018E-5</v>
      </c>
      <c r="AF29">
        <v>2.0429928407971327</v>
      </c>
      <c r="AG29">
        <v>0.79979442320295779</v>
      </c>
      <c r="AH29">
        <v>2.4690646591207961</v>
      </c>
      <c r="AI29">
        <v>2.4337767793227547</v>
      </c>
      <c r="AK29" s="3"/>
      <c r="AL29" s="3" t="s">
        <v>342</v>
      </c>
      <c r="AM29">
        <v>1.0001941764120559</v>
      </c>
      <c r="AN29">
        <v>1.385534840974781E-5</v>
      </c>
      <c r="AO29">
        <v>2.0444772446575881</v>
      </c>
      <c r="AP29">
        <v>0.69984855397614643</v>
      </c>
      <c r="AQ29">
        <v>0.35994789856273712</v>
      </c>
      <c r="AR29">
        <v>2.0789672948258695</v>
      </c>
    </row>
    <row r="30" spans="1:44" ht="15.75">
      <c r="A30" s="222" t="s">
        <v>322</v>
      </c>
      <c r="B30" s="3" t="s">
        <v>387</v>
      </c>
      <c r="C30" s="209">
        <v>53</v>
      </c>
      <c r="D30" s="210">
        <f>Report!E29</f>
        <v>10.002075581873418</v>
      </c>
      <c r="E30" s="210">
        <f>Report!G29</f>
        <v>1.1774846862171616E-3</v>
      </c>
      <c r="F30" s="211">
        <f>Report!I29</f>
        <v>2.0994048623960708</v>
      </c>
      <c r="G30" s="212">
        <f>Report!J29</f>
        <v>0.76983493476252307</v>
      </c>
      <c r="H30" s="210">
        <f>Report!L29</f>
        <v>0.94605557021394571</v>
      </c>
      <c r="I30" s="211">
        <f>Report!N29</f>
        <v>2.308367301241768</v>
      </c>
      <c r="K30" t="s">
        <v>435</v>
      </c>
      <c r="L30" s="244">
        <v>53</v>
      </c>
      <c r="M30" s="251">
        <v>10.001693131543002</v>
      </c>
      <c r="N30" s="251">
        <v>8.8042351805616608E-4</v>
      </c>
      <c r="O30" s="248">
        <v>2.1233943830807589</v>
      </c>
      <c r="P30" s="264">
        <v>0.81986642060019321</v>
      </c>
      <c r="Q30" s="264">
        <v>1.5972395319096648</v>
      </c>
      <c r="R30" s="250">
        <v>4.1959773966900737</v>
      </c>
      <c r="T30" s="3" t="s">
        <v>387</v>
      </c>
      <c r="U30" s="209">
        <v>53</v>
      </c>
      <c r="V30" s="212">
        <v>10.001335843666206</v>
      </c>
      <c r="W30" s="212">
        <v>8.1429079423348579E-4</v>
      </c>
      <c r="X30" s="211">
        <v>2.3344036288335519</v>
      </c>
      <c r="Y30" s="215">
        <v>0.69993386960934512</v>
      </c>
      <c r="Z30" s="211">
        <v>1.0735511255452121</v>
      </c>
      <c r="AA30" s="211">
        <v>2.071559755881113</v>
      </c>
      <c r="AC30" s="3">
        <v>53</v>
      </c>
      <c r="AD30">
        <v>10.00111555583176</v>
      </c>
      <c r="AE30">
        <v>1.3826798376382094E-4</v>
      </c>
      <c r="AF30">
        <v>2.0449230966027163</v>
      </c>
      <c r="AG30">
        <v>1.5878984317222293</v>
      </c>
      <c r="AH30">
        <v>0.33499034870827643</v>
      </c>
      <c r="AI30">
        <v>2.047371506983434</v>
      </c>
      <c r="AK30" s="3" t="s">
        <v>398</v>
      </c>
      <c r="AL30" s="3">
        <v>53</v>
      </c>
      <c r="AM30">
        <v>10.000988718501009</v>
      </c>
      <c r="AN30">
        <v>1.3666984581119749E-4</v>
      </c>
      <c r="AO30">
        <v>2.0490752913890415</v>
      </c>
      <c r="AP30">
        <v>0.63801164415708522</v>
      </c>
      <c r="AQ30">
        <v>0.24693800572354677</v>
      </c>
      <c r="AR30">
        <v>2.4394652646979518</v>
      </c>
    </row>
    <row r="31" spans="1:44" ht="15">
      <c r="A31" s="222" t="s">
        <v>323</v>
      </c>
      <c r="B31" s="3"/>
      <c r="C31" s="209">
        <v>400</v>
      </c>
      <c r="D31" s="210">
        <f>Report!E30</f>
        <v>10.002071581591222</v>
      </c>
      <c r="E31" s="210">
        <f>Report!G30</f>
        <v>8.852377013003047E-4</v>
      </c>
      <c r="F31" s="211">
        <f>Report!I30</f>
        <v>2.1181141758735209</v>
      </c>
      <c r="G31" s="212">
        <f>Report!J30</f>
        <v>0.6298654504471185</v>
      </c>
      <c r="H31" s="210">
        <f>Report!L30</f>
        <v>0.35607496505887498</v>
      </c>
      <c r="I31" s="211">
        <f>Report!N30</f>
        <v>2.1210161472868072</v>
      </c>
      <c r="L31" s="244">
        <v>400</v>
      </c>
      <c r="M31" s="251">
        <v>10.001691131427187</v>
      </c>
      <c r="N31" s="251">
        <v>8.7981998939067898E-4</v>
      </c>
      <c r="O31" s="248">
        <v>2.1241003114306687</v>
      </c>
      <c r="P31" s="255">
        <v>0.63989599883733117</v>
      </c>
      <c r="Q31" s="255">
        <v>0.16651668506289735</v>
      </c>
      <c r="R31" s="250">
        <v>2.3323643740866609</v>
      </c>
      <c r="T31" s="3"/>
      <c r="U31" s="209">
        <v>400</v>
      </c>
      <c r="V31" s="212">
        <v>10.001338843837447</v>
      </c>
      <c r="W31" s="212">
        <v>8.2236597371995875E-4</v>
      </c>
      <c r="X31" s="211">
        <v>2.3674464964192454</v>
      </c>
      <c r="Y31" s="215">
        <v>0.62994010471320316</v>
      </c>
      <c r="Z31" s="211">
        <v>0.75627309278550725</v>
      </c>
      <c r="AA31" s="211">
        <v>2.1261066605861076</v>
      </c>
      <c r="AC31" s="3">
        <v>400</v>
      </c>
      <c r="AD31">
        <v>10.001120556084523</v>
      </c>
      <c r="AE31">
        <v>1.3838972263098645E-4</v>
      </c>
      <c r="AF31">
        <v>2.044613961485906</v>
      </c>
      <c r="AG31">
        <v>1.6178950292047358</v>
      </c>
      <c r="AH31">
        <v>0.28047133206972868</v>
      </c>
      <c r="AI31">
        <v>2.1945845606575878</v>
      </c>
      <c r="AK31" s="3"/>
      <c r="AL31" s="3">
        <v>400</v>
      </c>
      <c r="AM31">
        <v>10.000988718501009</v>
      </c>
      <c r="AN31">
        <v>1.3606348218478536E-4</v>
      </c>
      <c r="AO31">
        <v>2.0508950846925007</v>
      </c>
      <c r="AP31">
        <v>0.70801057254936262</v>
      </c>
      <c r="AQ31">
        <v>3.6030074296781379E-2</v>
      </c>
      <c r="AR31">
        <v>2.0784594579280302</v>
      </c>
    </row>
    <row r="32" spans="1:44" ht="15">
      <c r="A32" s="222" t="s">
        <v>324</v>
      </c>
      <c r="B32" s="3"/>
      <c r="C32" s="209" t="s">
        <v>342</v>
      </c>
      <c r="D32" s="210">
        <f>Report!E31</f>
        <v>10.002039579333671</v>
      </c>
      <c r="E32" s="210">
        <f>Report!G31</f>
        <v>8.8155840911658962E-4</v>
      </c>
      <c r="F32" s="211">
        <f>Report!I31</f>
        <v>2.1221118169566999</v>
      </c>
      <c r="G32" s="212">
        <f>Report!J31</f>
        <v>0.60987362451334604</v>
      </c>
      <c r="H32" s="210">
        <f>Report!L31</f>
        <v>0.34652121424398524</v>
      </c>
      <c r="I32" s="211">
        <f>Report!N31</f>
        <v>2.1455113980069549</v>
      </c>
      <c r="L32" s="244" t="s">
        <v>342</v>
      </c>
      <c r="M32" s="251">
        <v>10.001676130558588</v>
      </c>
      <c r="N32" s="251">
        <v>8.7980970088718266E-4</v>
      </c>
      <c r="O32" s="248">
        <v>2.1241109432713281</v>
      </c>
      <c r="P32" s="255">
        <v>0.649896323289891</v>
      </c>
      <c r="Q32" s="255">
        <v>0.1158137292250174</v>
      </c>
      <c r="R32" s="250">
        <v>2.1149794491578868</v>
      </c>
      <c r="T32" s="3"/>
      <c r="U32" s="209" t="s">
        <v>342</v>
      </c>
      <c r="V32" s="212">
        <v>10.001323842981247</v>
      </c>
      <c r="W32" s="212">
        <v>8.2236473662546875E-4</v>
      </c>
      <c r="X32" s="211">
        <v>2.3674464833800348</v>
      </c>
      <c r="Y32" s="215">
        <v>0.63994107366871522</v>
      </c>
      <c r="Z32" s="211">
        <v>0.75387426612569897</v>
      </c>
      <c r="AA32" s="211">
        <v>2.1333561823934981</v>
      </c>
      <c r="AC32" s="3" t="s">
        <v>342</v>
      </c>
      <c r="AD32">
        <v>10.001125556337286</v>
      </c>
      <c r="AE32">
        <v>1.3829213069552258E-4</v>
      </c>
      <c r="AF32">
        <v>2.0448618026198844</v>
      </c>
      <c r="AG32">
        <v>1.6178934673996357</v>
      </c>
      <c r="AH32">
        <v>0.28147019173661642</v>
      </c>
      <c r="AI32">
        <v>2.1934596323324658</v>
      </c>
      <c r="AK32" s="3"/>
      <c r="AL32" s="3" t="s">
        <v>342</v>
      </c>
      <c r="AM32">
        <v>10.000997718931838</v>
      </c>
      <c r="AN32">
        <v>1.358511156882319E-4</v>
      </c>
      <c r="AO32">
        <v>2.0515759284861956</v>
      </c>
      <c r="AP32">
        <v>0.69800933322140402</v>
      </c>
      <c r="AQ32">
        <v>3.6001586905864316E-2</v>
      </c>
      <c r="AR32">
        <v>2.0789672720314845</v>
      </c>
    </row>
    <row r="33" spans="1:44" ht="15.75">
      <c r="A33" s="222" t="s">
        <v>325</v>
      </c>
      <c r="B33" s="3" t="s">
        <v>388</v>
      </c>
      <c r="C33" s="209">
        <v>53</v>
      </c>
      <c r="D33" s="210">
        <f>Report!E32</f>
        <v>100.02772695045779</v>
      </c>
      <c r="E33" s="210">
        <f>Report!G32</f>
        <v>1.1775632861907534E-2</v>
      </c>
      <c r="F33" s="211">
        <f>Report!I32</f>
        <v>2.0993890156057242</v>
      </c>
      <c r="G33" s="212">
        <f>Report!J32</f>
        <v>0.80966169133340371</v>
      </c>
      <c r="H33" s="210">
        <f>Report!L32</f>
        <v>9.459308818911194E-2</v>
      </c>
      <c r="I33" s="211">
        <f>Report!N32</f>
        <v>2.3083369154489493</v>
      </c>
      <c r="K33" t="s">
        <v>436</v>
      </c>
      <c r="L33" s="244">
        <v>53</v>
      </c>
      <c r="M33" s="245">
        <v>100.02469259071299</v>
      </c>
      <c r="N33" s="245">
        <v>8.8055041271744416E-3</v>
      </c>
      <c r="O33" s="248">
        <v>2.1233946444676275</v>
      </c>
      <c r="P33" s="255">
        <v>0.79969359638812243</v>
      </c>
      <c r="Q33" s="255">
        <v>0.15969797232734037</v>
      </c>
      <c r="R33" s="250">
        <v>4.1959352592676078</v>
      </c>
      <c r="T33" s="3" t="s">
        <v>388</v>
      </c>
      <c r="U33" s="209">
        <v>53</v>
      </c>
      <c r="V33" s="210">
        <v>100.02220785330302</v>
      </c>
      <c r="W33" s="210">
        <v>8.1743641745536024E-3</v>
      </c>
      <c r="X33" s="211">
        <v>2.312018440915605</v>
      </c>
      <c r="Y33" s="215">
        <v>0.80578125443779791</v>
      </c>
      <c r="Z33" s="215">
        <v>0.10665957864506338</v>
      </c>
      <c r="AA33" s="211">
        <v>2.0754538629816319</v>
      </c>
      <c r="AC33" s="3">
        <v>53</v>
      </c>
      <c r="AD33">
        <v>100.01862242072951</v>
      </c>
      <c r="AE33">
        <v>1.3840784828137835E-3</v>
      </c>
      <c r="AF33">
        <v>2.0446164227176529</v>
      </c>
      <c r="AG33">
        <v>0.78183479639924358</v>
      </c>
      <c r="AH33">
        <v>2.9438691990832808E-2</v>
      </c>
      <c r="AI33">
        <v>2.0667311740768075</v>
      </c>
      <c r="AK33" s="3" t="s">
        <v>399</v>
      </c>
      <c r="AL33" s="3">
        <v>53</v>
      </c>
      <c r="AM33">
        <v>100.01730407492863</v>
      </c>
      <c r="AN33">
        <v>1.416884474940012E-3</v>
      </c>
      <c r="AO33">
        <v>2.0394874173015243</v>
      </c>
      <c r="AP33">
        <v>0.79380107484136764</v>
      </c>
      <c r="AQ33">
        <v>2.4689386085741831E-2</v>
      </c>
      <c r="AR33">
        <v>2.4413603876499876</v>
      </c>
    </row>
    <row r="34" spans="1:44" ht="15">
      <c r="A34" s="222" t="s">
        <v>326</v>
      </c>
      <c r="B34" s="3"/>
      <c r="C34" s="209">
        <v>400</v>
      </c>
      <c r="D34" s="210">
        <f>Report!E33</f>
        <v>100.02739694829044</v>
      </c>
      <c r="E34" s="210">
        <f>Report!G33</f>
        <v>8.8535370190378545E-3</v>
      </c>
      <c r="F34" s="211">
        <f>Report!I33</f>
        <v>2.1181154108355384</v>
      </c>
      <c r="G34" s="212">
        <f>Report!J33</f>
        <v>0.77668059897532171</v>
      </c>
      <c r="H34" s="210">
        <f>Report!L33</f>
        <v>3.5607133520440634E-2</v>
      </c>
      <c r="I34" s="211">
        <f>Report!N33</f>
        <v>2.1210222502976253</v>
      </c>
      <c r="L34" s="244">
        <v>400</v>
      </c>
      <c r="M34" s="245">
        <v>100.02441259269324</v>
      </c>
      <c r="N34" s="245">
        <v>8.7994442104342672E-3</v>
      </c>
      <c r="O34" s="248">
        <v>2.1241003689686417</v>
      </c>
      <c r="P34" s="245">
        <v>0.78170486689890439</v>
      </c>
      <c r="Q34" s="245">
        <v>1.6649707390396271E-2</v>
      </c>
      <c r="R34" s="250">
        <v>2.3322732044148275</v>
      </c>
      <c r="T34" s="3"/>
      <c r="U34" s="209">
        <v>400</v>
      </c>
      <c r="V34" s="210">
        <v>100.02190785522902</v>
      </c>
      <c r="W34" s="210">
        <v>8.248677223320653E-3</v>
      </c>
      <c r="X34" s="211">
        <v>2.3423200653327174</v>
      </c>
      <c r="Y34" s="215">
        <v>0.78579139603161463</v>
      </c>
      <c r="Z34" s="215">
        <v>7.4456524990654124E-2</v>
      </c>
      <c r="AA34" s="211">
        <v>2.1432740143091467</v>
      </c>
      <c r="AC34" s="3">
        <v>400</v>
      </c>
      <c r="AD34">
        <v>100.01826242532789</v>
      </c>
      <c r="AE34">
        <v>1.3805719528306596E-3</v>
      </c>
      <c r="AF34">
        <v>2.0455232731420918</v>
      </c>
      <c r="AG34">
        <v>0.77184313042887176</v>
      </c>
      <c r="AH34">
        <v>2.4692622078763053E-2</v>
      </c>
      <c r="AI34">
        <v>2.432569873662902</v>
      </c>
      <c r="AK34" s="3"/>
      <c r="AL34" s="3">
        <v>400</v>
      </c>
      <c r="AM34">
        <v>100.01709407741862</v>
      </c>
      <c r="AN34">
        <v>1.415955031134347E-3</v>
      </c>
      <c r="AO34">
        <v>2.0395954223658035</v>
      </c>
      <c r="AP34">
        <v>0.77580888240487311</v>
      </c>
      <c r="AQ34">
        <v>3.6333308745058355E-3</v>
      </c>
      <c r="AR34">
        <v>2.0734569403395247</v>
      </c>
    </row>
    <row r="35" spans="1:44" ht="15.75" thickBot="1">
      <c r="A35" s="222" t="s">
        <v>327</v>
      </c>
      <c r="B35" s="3"/>
      <c r="C35" s="209" t="s">
        <v>342</v>
      </c>
      <c r="D35" s="210">
        <f>Report!E34</f>
        <v>100.02626694086891</v>
      </c>
      <c r="E35" s="210">
        <f>Report!G34</f>
        <v>8.8166743112247491E-3</v>
      </c>
      <c r="F35" s="211">
        <f>Report!I34</f>
        <v>2.1221120317333484</v>
      </c>
      <c r="G35" s="212">
        <f>Report!J34</f>
        <v>0.76770164392210249</v>
      </c>
      <c r="H35" s="210">
        <f>Report!L34</f>
        <v>3.4652301202699819E-2</v>
      </c>
      <c r="I35" s="211">
        <f>Report!N34</f>
        <v>2.1455129294813182</v>
      </c>
      <c r="L35" s="257" t="s">
        <v>342</v>
      </c>
      <c r="M35" s="258">
        <v>100.02344259955336</v>
      </c>
      <c r="N35" s="258">
        <v>8.7992674709835121E-3</v>
      </c>
      <c r="O35" s="265">
        <v>2.1241109944432002</v>
      </c>
      <c r="P35" s="258">
        <v>0.7757221765051614</v>
      </c>
      <c r="Q35" s="258">
        <v>1.1581146156231771E-2</v>
      </c>
      <c r="R35" s="262">
        <v>2.1149791841142682</v>
      </c>
      <c r="T35" s="3"/>
      <c r="U35" s="209" t="s">
        <v>342</v>
      </c>
      <c r="V35" s="210">
        <v>100.021057860686</v>
      </c>
      <c r="W35" s="210">
        <v>8.2494231439548867E-3</v>
      </c>
      <c r="X35" s="211">
        <v>2.341593075986709</v>
      </c>
      <c r="Y35" s="215">
        <v>0.77980624208940674</v>
      </c>
      <c r="Z35" s="215">
        <v>7.4258866446414301E-2</v>
      </c>
      <c r="AA35" s="211">
        <v>2.1511517674242207</v>
      </c>
      <c r="AC35" s="3" t="s">
        <v>342</v>
      </c>
      <c r="AD35">
        <v>100.01719243899527</v>
      </c>
      <c r="AE35">
        <v>1.3740742100317551E-3</v>
      </c>
      <c r="AF35">
        <v>2.0473444699187477</v>
      </c>
      <c r="AG35">
        <v>0.76486131388670631</v>
      </c>
      <c r="AH35">
        <v>2.4693148307836216E-2</v>
      </c>
      <c r="AI35">
        <v>2.4325737413685</v>
      </c>
      <c r="AK35" s="3"/>
      <c r="AL35" s="3" t="s">
        <v>342</v>
      </c>
      <c r="AM35">
        <v>100.0163740859557</v>
      </c>
      <c r="AN35">
        <v>1.3977436160652614E-3</v>
      </c>
      <c r="AO35">
        <v>2.0421846609650154</v>
      </c>
      <c r="AP35">
        <v>0.76882118088230311</v>
      </c>
      <c r="AQ35">
        <v>3.6336484462751273E-3</v>
      </c>
      <c r="AR35">
        <v>2.0734176817257874</v>
      </c>
    </row>
    <row r="36" spans="1:44" ht="13.5" thickTop="1">
      <c r="A36" s="222"/>
      <c r="D36" s="219"/>
      <c r="E36" s="219"/>
      <c r="F36" s="219"/>
      <c r="G36" s="219"/>
      <c r="H36" s="219"/>
      <c r="I36" s="219"/>
      <c r="V36" s="219"/>
      <c r="W36" s="219"/>
      <c r="X36" s="219"/>
      <c r="Y36" s="219"/>
      <c r="Z36" s="219"/>
      <c r="AA36" s="219"/>
      <c r="AK36" s="3"/>
      <c r="AL36" s="3"/>
    </row>
    <row r="37" spans="1:44">
      <c r="A37" s="222"/>
      <c r="B37" s="3" t="s">
        <v>337</v>
      </c>
      <c r="C37" s="3" t="s">
        <v>312</v>
      </c>
      <c r="D37" s="3" t="s">
        <v>347</v>
      </c>
      <c r="E37" s="3" t="s">
        <v>338</v>
      </c>
      <c r="F37" s="3" t="s">
        <v>148</v>
      </c>
      <c r="G37" s="3" t="s">
        <v>345</v>
      </c>
      <c r="H37" s="3" t="s">
        <v>338</v>
      </c>
      <c r="I37" s="3" t="s">
        <v>148</v>
      </c>
      <c r="K37" t="s">
        <v>337</v>
      </c>
      <c r="L37" t="s">
        <v>312</v>
      </c>
      <c r="M37" t="s">
        <v>347</v>
      </c>
      <c r="N37" t="s">
        <v>338</v>
      </c>
      <c r="O37" t="s">
        <v>148</v>
      </c>
      <c r="P37" t="s">
        <v>345</v>
      </c>
      <c r="Q37" t="s">
        <v>338</v>
      </c>
      <c r="R37" t="s">
        <v>148</v>
      </c>
      <c r="T37" s="3" t="s">
        <v>337</v>
      </c>
      <c r="U37" s="3" t="s">
        <v>312</v>
      </c>
      <c r="V37" s="3" t="s">
        <v>347</v>
      </c>
      <c r="W37" s="3" t="s">
        <v>338</v>
      </c>
      <c r="X37" s="3" t="s">
        <v>148</v>
      </c>
      <c r="Y37" s="3" t="s">
        <v>345</v>
      </c>
      <c r="Z37" s="3" t="s">
        <v>338</v>
      </c>
      <c r="AA37" s="3" t="s">
        <v>148</v>
      </c>
      <c r="AC37" t="s">
        <v>312</v>
      </c>
      <c r="AD37" t="s">
        <v>347</v>
      </c>
      <c r="AE37" t="s">
        <v>338</v>
      </c>
      <c r="AF37" t="s">
        <v>148</v>
      </c>
      <c r="AG37" t="s">
        <v>345</v>
      </c>
      <c r="AH37" t="s">
        <v>338</v>
      </c>
      <c r="AI37" t="s">
        <v>148</v>
      </c>
      <c r="AK37" s="3" t="s">
        <v>337</v>
      </c>
      <c r="AL37" s="3" t="s">
        <v>312</v>
      </c>
      <c r="AM37" t="s">
        <v>347</v>
      </c>
      <c r="AN37" t="s">
        <v>338</v>
      </c>
      <c r="AO37" t="s">
        <v>148</v>
      </c>
      <c r="AP37" t="s">
        <v>345</v>
      </c>
      <c r="AQ37" t="s">
        <v>338</v>
      </c>
      <c r="AR37" t="s">
        <v>148</v>
      </c>
    </row>
    <row r="38" spans="1:44">
      <c r="A38" s="222"/>
      <c r="B38" s="3"/>
      <c r="C38" s="3" t="s">
        <v>339</v>
      </c>
      <c r="D38" s="3" t="s">
        <v>348</v>
      </c>
      <c r="E38" s="3" t="s">
        <v>348</v>
      </c>
      <c r="F38" s="3" t="s">
        <v>150</v>
      </c>
      <c r="G38" s="3" t="s">
        <v>346</v>
      </c>
      <c r="H38" s="3" t="s">
        <v>346</v>
      </c>
      <c r="I38" s="3" t="s">
        <v>150</v>
      </c>
      <c r="L38" t="s">
        <v>339</v>
      </c>
      <c r="M38" t="s">
        <v>348</v>
      </c>
      <c r="N38" t="s">
        <v>348</v>
      </c>
      <c r="O38" t="s">
        <v>150</v>
      </c>
      <c r="P38" t="s">
        <v>346</v>
      </c>
      <c r="Q38" t="s">
        <v>346</v>
      </c>
      <c r="R38" t="s">
        <v>150</v>
      </c>
      <c r="T38" s="3"/>
      <c r="U38" s="3" t="s">
        <v>339</v>
      </c>
      <c r="V38" s="3" t="s">
        <v>348</v>
      </c>
      <c r="W38" s="3" t="s">
        <v>348</v>
      </c>
      <c r="X38" s="3" t="s">
        <v>150</v>
      </c>
      <c r="Y38" s="3" t="s">
        <v>346</v>
      </c>
      <c r="Z38" s="3" t="s">
        <v>346</v>
      </c>
      <c r="AA38" s="3" t="s">
        <v>150</v>
      </c>
      <c r="AC38" s="3" t="s">
        <v>339</v>
      </c>
      <c r="AD38" t="s">
        <v>348</v>
      </c>
      <c r="AE38" t="s">
        <v>348</v>
      </c>
      <c r="AF38" t="s">
        <v>150</v>
      </c>
      <c r="AG38" t="s">
        <v>346</v>
      </c>
      <c r="AH38" t="s">
        <v>346</v>
      </c>
      <c r="AI38" t="s">
        <v>150</v>
      </c>
      <c r="AK38" s="3"/>
      <c r="AL38" s="3" t="s">
        <v>339</v>
      </c>
      <c r="AM38" t="s">
        <v>348</v>
      </c>
      <c r="AN38" t="s">
        <v>348</v>
      </c>
      <c r="AO38" t="s">
        <v>150</v>
      </c>
      <c r="AP38" t="s">
        <v>346</v>
      </c>
      <c r="AQ38" t="s">
        <v>346</v>
      </c>
      <c r="AR38" t="s">
        <v>150</v>
      </c>
    </row>
    <row r="39" spans="1:44" ht="15">
      <c r="A39" s="222" t="s">
        <v>334</v>
      </c>
      <c r="B39" s="3" t="s">
        <v>349</v>
      </c>
      <c r="C39" s="209">
        <v>53</v>
      </c>
      <c r="D39" s="210">
        <f>Report!E38</f>
        <v>0</v>
      </c>
      <c r="E39" s="210">
        <f>Report!G38</f>
        <v>9.3192141999251271E-2</v>
      </c>
      <c r="F39" s="211">
        <f>Report!I38</f>
        <v>2.4687250838135939</v>
      </c>
      <c r="G39" s="212">
        <f>Report!J38</f>
        <v>0</v>
      </c>
      <c r="H39" s="210">
        <f>Report!L38</f>
        <v>9.3192121073023496E-3</v>
      </c>
      <c r="I39" s="211">
        <f>Report!N38</f>
        <v>2.4687245294104456</v>
      </c>
      <c r="K39" t="s">
        <v>349</v>
      </c>
      <c r="L39" s="244">
        <v>53</v>
      </c>
      <c r="M39" s="272">
        <v>0</v>
      </c>
      <c r="N39" s="272">
        <v>4.3096259485113607E-2</v>
      </c>
      <c r="O39" s="248">
        <v>2.0181704041098869</v>
      </c>
      <c r="P39" s="272">
        <v>0</v>
      </c>
      <c r="Q39" s="272">
        <v>0.16402607691069304</v>
      </c>
      <c r="R39" s="250">
        <v>4.3451656091733968</v>
      </c>
      <c r="T39" s="3" t="s">
        <v>349</v>
      </c>
      <c r="U39" s="209">
        <v>53</v>
      </c>
      <c r="V39" s="215">
        <v>-5.0000805000000028E-3</v>
      </c>
      <c r="W39" s="215">
        <v>0.14745833527710278</v>
      </c>
      <c r="X39" s="211">
        <v>2.2170134734468392</v>
      </c>
      <c r="Y39" s="210">
        <v>-5.0000805000000028E-3</v>
      </c>
      <c r="Z39" s="210">
        <v>9.2790092802532531E-2</v>
      </c>
      <c r="AA39" s="211">
        <v>2.2157919565533715</v>
      </c>
      <c r="AC39" s="3">
        <v>53</v>
      </c>
      <c r="AD39" s="216">
        <v>0</v>
      </c>
      <c r="AE39">
        <v>3.4467271964359142E-2</v>
      </c>
      <c r="AF39">
        <v>2.413191724123454</v>
      </c>
      <c r="AG39">
        <v>0</v>
      </c>
      <c r="AH39">
        <v>2.9389980760995912E-2</v>
      </c>
      <c r="AI39">
        <v>2.0678703465251238</v>
      </c>
      <c r="AK39" s="3" t="s">
        <v>349</v>
      </c>
      <c r="AL39" s="3">
        <v>53</v>
      </c>
      <c r="AM39">
        <v>0</v>
      </c>
      <c r="AN39">
        <v>2.4732675981859877E-2</v>
      </c>
      <c r="AO39">
        <v>2.425238376476075</v>
      </c>
      <c r="AP39">
        <v>1.0001449332066668E-3</v>
      </c>
      <c r="AQ39">
        <v>2.4726218840762974E-2</v>
      </c>
      <c r="AR39">
        <v>2.4130195092876017</v>
      </c>
    </row>
    <row r="40" spans="1:44" ht="15">
      <c r="A40" s="222" t="s">
        <v>335</v>
      </c>
      <c r="B40" s="3"/>
      <c r="C40" s="209">
        <v>400</v>
      </c>
      <c r="D40" s="210">
        <f>Report!E39</f>
        <v>0</v>
      </c>
      <c r="E40" s="210">
        <f>Report!G39</f>
        <v>1.2366337979278063E-2</v>
      </c>
      <c r="F40" s="211">
        <f>Report!I39</f>
        <v>2.4252384095436486</v>
      </c>
      <c r="G40" s="212">
        <f>Report!J39</f>
        <v>1.0000574406645E-4</v>
      </c>
      <c r="H40" s="210">
        <f>Report!L39</f>
        <v>1.2358154466490319E-3</v>
      </c>
      <c r="I40" s="211">
        <f>Report!N39</f>
        <v>2.423633490639113</v>
      </c>
      <c r="L40" s="244">
        <v>400</v>
      </c>
      <c r="M40" s="272">
        <v>0</v>
      </c>
      <c r="N40" s="272">
        <v>3.9962974480765669E-2</v>
      </c>
      <c r="O40" s="248">
        <v>3.8769779905197672</v>
      </c>
      <c r="P40" s="273">
        <v>0</v>
      </c>
      <c r="Q40" s="273">
        <v>2.0558740666523925E-2</v>
      </c>
      <c r="R40" s="250">
        <v>4.0319007627973056</v>
      </c>
      <c r="T40" s="3"/>
      <c r="U40" s="209">
        <v>400</v>
      </c>
      <c r="V40" s="215">
        <v>-2.000032200000001E-3</v>
      </c>
      <c r="W40" s="215">
        <v>4.9152961626574246E-2</v>
      </c>
      <c r="X40" s="211">
        <v>2.2170047960718504</v>
      </c>
      <c r="Y40" s="210">
        <v>-2.000032200000001E-3</v>
      </c>
      <c r="Z40" s="210">
        <v>1.2290491304002017E-2</v>
      </c>
      <c r="AA40" s="211">
        <v>2.216579362911693</v>
      </c>
      <c r="AC40" s="3">
        <v>400</v>
      </c>
      <c r="AD40" s="216">
        <v>0</v>
      </c>
      <c r="AE40">
        <v>3.4475466750918227E-2</v>
      </c>
      <c r="AF40">
        <v>2.4078707990916324</v>
      </c>
      <c r="AG40">
        <v>0</v>
      </c>
      <c r="AH40">
        <v>2.4696463346584655E-2</v>
      </c>
      <c r="AI40">
        <v>2.4453142502834293</v>
      </c>
      <c r="AK40" s="3"/>
      <c r="AL40" s="3">
        <v>400</v>
      </c>
      <c r="AM40">
        <v>1.0000208475783433E-3</v>
      </c>
      <c r="AN40">
        <v>2.4742193257958553E-2</v>
      </c>
      <c r="AO40">
        <v>2.4145903384675802</v>
      </c>
      <c r="AP40">
        <v>0</v>
      </c>
      <c r="AQ40">
        <v>3.095671202860229E-3</v>
      </c>
      <c r="AR40">
        <v>2.1889700997443167</v>
      </c>
    </row>
    <row r="41" spans="1:44" ht="15.75" thickBot="1">
      <c r="A41" s="222" t="s">
        <v>336</v>
      </c>
      <c r="B41" s="3"/>
      <c r="C41" s="209" t="s">
        <v>342</v>
      </c>
      <c r="D41" s="210">
        <f>Report!E40</f>
        <v>0</v>
      </c>
      <c r="E41" s="210">
        <f>Report!G40</f>
        <v>5.1910618606380056E-3</v>
      </c>
      <c r="F41" s="211">
        <f>Report!I40</f>
        <v>2.3215134360004743</v>
      </c>
      <c r="G41" s="212">
        <f>Report!J40</f>
        <v>0</v>
      </c>
      <c r="H41" s="210">
        <f>Report!L40</f>
        <v>5.1036638243497719E-4</v>
      </c>
      <c r="I41" s="211">
        <f>Report!N40</f>
        <v>2.2824278462884511</v>
      </c>
      <c r="L41" s="257" t="s">
        <v>342</v>
      </c>
      <c r="M41" s="274">
        <v>0</v>
      </c>
      <c r="N41" s="274">
        <v>4.2855173127340558E-2</v>
      </c>
      <c r="O41" s="265">
        <v>4.2642490983673316</v>
      </c>
      <c r="P41" s="275">
        <v>0</v>
      </c>
      <c r="Q41" s="275">
        <v>6.9789029027105031E-3</v>
      </c>
      <c r="R41" s="262">
        <v>3.1210602597509638</v>
      </c>
      <c r="T41" s="3"/>
      <c r="U41" s="209" t="s">
        <v>342</v>
      </c>
      <c r="V41" s="215">
        <v>-2.000032200000001E-3</v>
      </c>
      <c r="W41" s="215">
        <v>4.9152961626574246E-2</v>
      </c>
      <c r="X41" s="211">
        <v>2.2170047960718504</v>
      </c>
      <c r="Y41" s="210">
        <v>-2.000032200000001E-3</v>
      </c>
      <c r="Z41" s="210">
        <v>4.9212682854964619E-3</v>
      </c>
      <c r="AA41" s="211">
        <v>2.2142220055716066</v>
      </c>
      <c r="AC41" s="3" t="s">
        <v>342</v>
      </c>
      <c r="AD41" s="216">
        <v>0</v>
      </c>
      <c r="AE41">
        <v>3.4467271964359142E-2</v>
      </c>
      <c r="AF41">
        <v>2.413191724123454</v>
      </c>
      <c r="AG41">
        <v>0</v>
      </c>
      <c r="AH41">
        <v>2.4696463346584655E-2</v>
      </c>
      <c r="AI41">
        <v>2.4453142502834293</v>
      </c>
      <c r="AK41" s="3"/>
      <c r="AL41" s="3" t="s">
        <v>342</v>
      </c>
      <c r="AM41">
        <v>0</v>
      </c>
      <c r="AN41">
        <v>2.473267595982288E-2</v>
      </c>
      <c r="AO41">
        <v>2.4252384077461477</v>
      </c>
      <c r="AP41">
        <v>0</v>
      </c>
      <c r="AQ41">
        <v>5.3619504055471973E-3</v>
      </c>
      <c r="AR41">
        <v>2.1889749814918598</v>
      </c>
    </row>
    <row r="42" spans="1:44" ht="13.5" thickTop="1">
      <c r="A42" s="222"/>
      <c r="B42" s="3"/>
      <c r="C42" s="3"/>
      <c r="D42" s="3"/>
      <c r="E42" s="3"/>
      <c r="F42" s="3"/>
      <c r="G42" s="3"/>
      <c r="H42" s="3"/>
      <c r="I42" s="3"/>
      <c r="T42" s="3"/>
      <c r="U42" s="3"/>
      <c r="V42" s="3"/>
      <c r="W42" s="3"/>
      <c r="X42" s="3"/>
      <c r="Y42" s="3"/>
      <c r="Z42" s="3"/>
      <c r="AA42" s="3"/>
      <c r="AK42" s="3"/>
      <c r="AL42" s="3"/>
    </row>
    <row r="43" spans="1:44">
      <c r="A43" s="222"/>
      <c r="B43" s="3"/>
      <c r="C43" s="3"/>
      <c r="D43" s="3"/>
      <c r="E43" s="3"/>
      <c r="F43" s="3"/>
      <c r="G43" s="3"/>
      <c r="H43" s="3"/>
      <c r="I43" s="3"/>
      <c r="T43" s="3"/>
      <c r="U43" s="3"/>
      <c r="V43" s="3"/>
      <c r="W43" s="3"/>
      <c r="X43" s="3"/>
      <c r="Y43" s="3"/>
      <c r="Z43" s="3"/>
      <c r="AA43" s="3"/>
      <c r="AK43" s="3"/>
      <c r="AL43" s="3"/>
    </row>
    <row r="44" spans="1:44">
      <c r="A44" s="222"/>
      <c r="B44" s="3"/>
      <c r="C44" s="3"/>
      <c r="D44" s="3"/>
      <c r="E44" s="3"/>
      <c r="F44" s="3"/>
      <c r="G44" s="3"/>
      <c r="H44" s="3"/>
      <c r="I44" s="3"/>
      <c r="T44" s="3"/>
      <c r="U44" s="3"/>
      <c r="V44" s="3"/>
      <c r="W44" s="3"/>
      <c r="X44" s="3"/>
      <c r="Y44" s="3"/>
      <c r="Z44" s="3"/>
      <c r="AA44" s="3"/>
      <c r="AK44" s="3"/>
      <c r="AL44" s="3"/>
    </row>
    <row r="45" spans="1:44">
      <c r="A45" s="222"/>
      <c r="B45" s="3" t="s">
        <v>337</v>
      </c>
      <c r="C45" s="3" t="s">
        <v>312</v>
      </c>
      <c r="D45" s="3" t="s">
        <v>7</v>
      </c>
      <c r="E45" s="3" t="s">
        <v>338</v>
      </c>
      <c r="F45" s="3" t="s">
        <v>148</v>
      </c>
      <c r="G45" s="3" t="s">
        <v>6</v>
      </c>
      <c r="H45" s="3" t="s">
        <v>338</v>
      </c>
      <c r="I45" s="3" t="s">
        <v>148</v>
      </c>
      <c r="K45" t="s">
        <v>337</v>
      </c>
      <c r="L45" t="s">
        <v>312</v>
      </c>
      <c r="M45" t="s">
        <v>7</v>
      </c>
      <c r="N45" t="s">
        <v>338</v>
      </c>
      <c r="O45" t="s">
        <v>148</v>
      </c>
      <c r="P45" t="s">
        <v>6</v>
      </c>
      <c r="Q45" t="s">
        <v>338</v>
      </c>
      <c r="R45" t="s">
        <v>148</v>
      </c>
      <c r="T45" s="3" t="s">
        <v>337</v>
      </c>
      <c r="U45" s="3" t="s">
        <v>312</v>
      </c>
      <c r="V45" s="3" t="s">
        <v>7</v>
      </c>
      <c r="W45" s="3" t="s">
        <v>338</v>
      </c>
      <c r="X45" s="3" t="s">
        <v>148</v>
      </c>
      <c r="Y45" s="3" t="s">
        <v>6</v>
      </c>
      <c r="Z45" s="3" t="s">
        <v>338</v>
      </c>
      <c r="AA45" s="3" t="s">
        <v>148</v>
      </c>
      <c r="AC45" s="3" t="s">
        <v>312</v>
      </c>
      <c r="AD45" t="s">
        <v>7</v>
      </c>
      <c r="AE45" t="s">
        <v>338</v>
      </c>
      <c r="AF45" t="s">
        <v>148</v>
      </c>
      <c r="AG45" t="s">
        <v>6</v>
      </c>
      <c r="AH45" t="s">
        <v>338</v>
      </c>
      <c r="AI45" t="s">
        <v>148</v>
      </c>
      <c r="AK45" s="3" t="s">
        <v>337</v>
      </c>
      <c r="AL45" s="3" t="s">
        <v>312</v>
      </c>
      <c r="AM45" t="s">
        <v>7</v>
      </c>
      <c r="AN45" t="s">
        <v>338</v>
      </c>
      <c r="AO45" t="s">
        <v>148</v>
      </c>
      <c r="AP45" t="s">
        <v>6</v>
      </c>
      <c r="AQ45" t="s">
        <v>338</v>
      </c>
      <c r="AR45" t="s">
        <v>148</v>
      </c>
    </row>
    <row r="46" spans="1:44" ht="15.75">
      <c r="A46" s="222"/>
      <c r="B46" s="3"/>
      <c r="C46" s="3" t="s">
        <v>350</v>
      </c>
      <c r="D46" s="3" t="s">
        <v>378</v>
      </c>
      <c r="E46" s="3" t="s">
        <v>378</v>
      </c>
      <c r="F46" s="3" t="s">
        <v>150</v>
      </c>
      <c r="G46" s="3" t="s">
        <v>351</v>
      </c>
      <c r="H46" s="3" t="s">
        <v>351</v>
      </c>
      <c r="I46" s="3" t="s">
        <v>150</v>
      </c>
      <c r="L46" t="s">
        <v>350</v>
      </c>
      <c r="M46" t="s">
        <v>424</v>
      </c>
      <c r="N46" t="s">
        <v>424</v>
      </c>
      <c r="O46" t="s">
        <v>150</v>
      </c>
      <c r="P46" t="s">
        <v>351</v>
      </c>
      <c r="Q46" t="s">
        <v>351</v>
      </c>
      <c r="R46" t="s">
        <v>150</v>
      </c>
      <c r="T46" s="3"/>
      <c r="U46" s="3" t="s">
        <v>350</v>
      </c>
      <c r="V46" s="3" t="s">
        <v>378</v>
      </c>
      <c r="W46" s="3" t="s">
        <v>378</v>
      </c>
      <c r="X46" s="3" t="s">
        <v>150</v>
      </c>
      <c r="Y46" s="3" t="s">
        <v>351</v>
      </c>
      <c r="Z46" s="3" t="s">
        <v>351</v>
      </c>
      <c r="AA46" s="3" t="s">
        <v>150</v>
      </c>
      <c r="AC46" s="3" t="s">
        <v>350</v>
      </c>
      <c r="AD46" t="s">
        <v>273</v>
      </c>
      <c r="AE46" t="s">
        <v>273</v>
      </c>
      <c r="AF46" t="s">
        <v>150</v>
      </c>
      <c r="AG46" t="s">
        <v>351</v>
      </c>
      <c r="AH46" t="s">
        <v>351</v>
      </c>
      <c r="AI46" t="s">
        <v>150</v>
      </c>
      <c r="AK46" s="3"/>
      <c r="AL46" s="3" t="s">
        <v>350</v>
      </c>
      <c r="AM46" t="s">
        <v>273</v>
      </c>
      <c r="AN46" t="s">
        <v>273</v>
      </c>
      <c r="AO46" t="s">
        <v>150</v>
      </c>
      <c r="AP46" t="s">
        <v>351</v>
      </c>
      <c r="AQ46" t="s">
        <v>351</v>
      </c>
      <c r="AR46" t="s">
        <v>150</v>
      </c>
    </row>
    <row r="47" spans="1:44" ht="15.75">
      <c r="A47" s="222" t="s">
        <v>329</v>
      </c>
      <c r="B47" s="209" t="s">
        <v>389</v>
      </c>
      <c r="C47" s="209">
        <v>1.6</v>
      </c>
      <c r="D47" s="210">
        <f>Report!E46</f>
        <v>632.49641853984906</v>
      </c>
      <c r="E47" s="210">
        <f>Report!G46</f>
        <v>5.5762394524713502E-2</v>
      </c>
      <c r="F47" s="211">
        <f>Report!I46</f>
        <v>2.1218344508292781</v>
      </c>
      <c r="G47" s="212">
        <f>Report!J46</f>
        <v>100.22011014189265</v>
      </c>
      <c r="H47" s="210">
        <f>Report!L46</f>
        <v>2.1961169679918648</v>
      </c>
      <c r="I47" s="211">
        <f>Report!N46</f>
        <v>2.143328365816437</v>
      </c>
      <c r="K47" s="267" t="s">
        <v>428</v>
      </c>
      <c r="L47" s="244">
        <v>1.6</v>
      </c>
      <c r="M47" s="245">
        <v>632.49142337257661</v>
      </c>
      <c r="N47" s="245">
        <v>5.5654370841251591E-2</v>
      </c>
      <c r="O47" s="248">
        <v>2.1238098455000705</v>
      </c>
      <c r="P47" s="264">
        <v>100.01756981009893</v>
      </c>
      <c r="Q47" s="264">
        <v>0.74512103082614667</v>
      </c>
      <c r="R47" s="250">
        <v>2.1022464596538657</v>
      </c>
      <c r="T47" s="209" t="s">
        <v>389</v>
      </c>
      <c r="U47" s="209">
        <v>1.6</v>
      </c>
      <c r="V47" s="223">
        <v>632.49560078826039</v>
      </c>
      <c r="W47" s="210">
        <v>5.2018123792353391E-2</v>
      </c>
      <c r="X47" s="211">
        <v>2.3414664128974261</v>
      </c>
      <c r="Y47" s="215">
        <v>100.11728620390772</v>
      </c>
      <c r="Z47" s="215">
        <v>0.11852721286231427</v>
      </c>
      <c r="AA47" s="211">
        <v>2.160859826328076</v>
      </c>
      <c r="AC47" s="3">
        <v>1.6</v>
      </c>
      <c r="AD47">
        <v>632.48837225182808</v>
      </c>
      <c r="AE47">
        <v>8.9214519515604818E-3</v>
      </c>
      <c r="AF47">
        <v>2.0412756091829305</v>
      </c>
      <c r="AG47">
        <v>100.81639877729152</v>
      </c>
      <c r="AH47">
        <v>3.0236675221529103</v>
      </c>
      <c r="AI47">
        <v>2.1145749628748156</v>
      </c>
      <c r="AK47" s="3" t="s">
        <v>352</v>
      </c>
      <c r="AL47" s="3">
        <v>1.6</v>
      </c>
      <c r="AM47">
        <v>632.48547525649201</v>
      </c>
      <c r="AN47">
        <v>8.7256930007946591E-3</v>
      </c>
      <c r="AO47">
        <v>2.0461520677875686</v>
      </c>
      <c r="AP47">
        <v>101.11738465424924</v>
      </c>
      <c r="AQ47">
        <v>2.2023474186025211</v>
      </c>
      <c r="AR47">
        <v>2.1399521170018279</v>
      </c>
    </row>
    <row r="48" spans="1:44" ht="15.75" thickBot="1">
      <c r="A48" s="222" t="s">
        <v>330</v>
      </c>
      <c r="B48" s="209" t="s">
        <v>352</v>
      </c>
      <c r="C48" s="209">
        <v>1.6</v>
      </c>
      <c r="D48" s="210">
        <f>Report!E47</f>
        <v>2.0004741205370462</v>
      </c>
      <c r="E48" s="210">
        <f>Report!G47</f>
        <v>1.8066452659985281E-4</v>
      </c>
      <c r="F48" s="211">
        <f>Report!I47</f>
        <v>2.1009352643614219</v>
      </c>
      <c r="G48" s="212">
        <f>Report!J47</f>
        <v>99.883042505986282</v>
      </c>
      <c r="H48" s="210">
        <f>Report!L47</f>
        <v>3.9143538865520897E-2</v>
      </c>
      <c r="I48" s="211">
        <f>Report!N47</f>
        <v>2.3982350656382971</v>
      </c>
      <c r="K48" s="268" t="s">
        <v>352</v>
      </c>
      <c r="L48" s="257">
        <v>1.6</v>
      </c>
      <c r="M48" s="269">
        <v>2.0004848347745603</v>
      </c>
      <c r="N48" s="269">
        <v>1.7704540832701694E-4</v>
      </c>
      <c r="O48" s="265">
        <v>2.1184147825112221</v>
      </c>
      <c r="P48" s="258">
        <v>99.863542752591371</v>
      </c>
      <c r="Q48" s="258">
        <v>5.6049341349194131E-3</v>
      </c>
      <c r="R48" s="262">
        <v>2.1098841532459649</v>
      </c>
      <c r="T48" s="209" t="s">
        <v>352</v>
      </c>
      <c r="U48" s="209">
        <v>1.6</v>
      </c>
      <c r="V48" s="221">
        <v>2.0004491791218011</v>
      </c>
      <c r="W48" s="214">
        <v>1.606325275066058E-4</v>
      </c>
      <c r="X48" s="211">
        <v>2.2639385883024072</v>
      </c>
      <c r="Y48" s="210">
        <v>99.881245449221169</v>
      </c>
      <c r="Z48" s="210">
        <v>1.5719484007862151E-2</v>
      </c>
      <c r="AA48" s="211">
        <v>2.0881704252904534</v>
      </c>
      <c r="AC48" s="3">
        <v>1.6</v>
      </c>
      <c r="AD48">
        <v>2.0004391220856923</v>
      </c>
      <c r="AE48">
        <v>5.1286364663879337E-5</v>
      </c>
      <c r="AF48">
        <v>2.0384201647147497</v>
      </c>
      <c r="AG48">
        <v>99.882246828303522</v>
      </c>
      <c r="AH48">
        <v>2.4881540052839695E-2</v>
      </c>
      <c r="AI48">
        <v>2.3447206530545577</v>
      </c>
      <c r="AK48" s="3" t="s">
        <v>352</v>
      </c>
      <c r="AL48" s="3">
        <v>1.6</v>
      </c>
      <c r="AM48">
        <v>2.0004167541836031</v>
      </c>
      <c r="AN48">
        <v>4.682190452441673E-5</v>
      </c>
      <c r="AO48">
        <v>2.027750223201501</v>
      </c>
      <c r="AP48">
        <v>99.8781716019583</v>
      </c>
      <c r="AQ48">
        <v>7.3966596047535093E-3</v>
      </c>
      <c r="AR48">
        <v>2.0931425599176681</v>
      </c>
    </row>
    <row r="49" spans="1:49" ht="13.5" thickTop="1">
      <c r="B49" s="209"/>
      <c r="C49" s="209"/>
      <c r="D49" s="210"/>
      <c r="E49" s="210"/>
      <c r="F49" s="211"/>
      <c r="G49" s="212"/>
      <c r="H49" s="210"/>
      <c r="I49" s="211"/>
      <c r="T49" s="209"/>
      <c r="U49" s="209"/>
      <c r="V49" s="221"/>
      <c r="W49" s="214"/>
      <c r="X49" s="211"/>
      <c r="Y49" s="210"/>
      <c r="Z49" s="210"/>
      <c r="AA49" s="211"/>
      <c r="AC49" s="3"/>
      <c r="AK49" s="3"/>
      <c r="AL49" s="3"/>
    </row>
    <row r="50" spans="1:49">
      <c r="A50" s="293" t="str">
        <f>A48</f>
        <v>1600_100 milli</v>
      </c>
      <c r="B50" s="294" t="s">
        <v>7</v>
      </c>
      <c r="C50" s="210"/>
      <c r="D50" s="276" t="s">
        <v>453</v>
      </c>
      <c r="F50" s="211"/>
      <c r="G50" s="212"/>
      <c r="H50" s="210"/>
      <c r="I50" s="211"/>
      <c r="T50" s="209"/>
      <c r="U50" s="209"/>
      <c r="V50" s="221"/>
      <c r="W50" s="214"/>
      <c r="X50" s="211"/>
      <c r="Y50" s="210"/>
      <c r="Z50" s="210"/>
      <c r="AA50" s="211"/>
      <c r="AC50" s="3"/>
      <c r="AK50" s="3"/>
      <c r="AL50" s="3"/>
    </row>
    <row r="51" spans="1:49">
      <c r="A51" s="220">
        <f>B3</f>
        <v>41948</v>
      </c>
      <c r="B51">
        <f>VLOOKUP($A$50,History,4, FALSE)</f>
        <v>2.0004741205370462</v>
      </c>
      <c r="C51">
        <f>VLOOKUP($A$50,History,5, FALSE)</f>
        <v>1.8066452659985281E-4</v>
      </c>
      <c r="D51">
        <f>VLOOKUP($A$50,History,7, FALSE)</f>
        <v>99.883042505986282</v>
      </c>
      <c r="E51">
        <f>VLOOKUP($A$50,History,8, FALSE)</f>
        <v>3.9143538865520897E-2</v>
      </c>
    </row>
    <row r="52" spans="1:49">
      <c r="A52" s="220">
        <f>K3</f>
        <v>40668</v>
      </c>
      <c r="B52">
        <f>VLOOKUP($A$50,History,13, FALSE)</f>
        <v>2.0004848347745603</v>
      </c>
      <c r="C52">
        <f>VLOOKUP($A$50,History,14, FALSE)</f>
        <v>1.7704540832701694E-4</v>
      </c>
      <c r="D52">
        <f>VLOOKUP($A$50,History,16, FALSE)</f>
        <v>99.863542752591371</v>
      </c>
      <c r="E52">
        <f>VLOOKUP($A$50,History,17, FALSE)</f>
        <v>5.6049341349194131E-3</v>
      </c>
    </row>
    <row r="53" spans="1:49">
      <c r="A53" s="220">
        <f>T3</f>
        <v>38398</v>
      </c>
      <c r="B53">
        <f>VLOOKUP($A$50,History,22, FALSE)</f>
        <v>2.0004491791218011</v>
      </c>
      <c r="C53">
        <f>VLOOKUP($A$50,History,23, FALSE)</f>
        <v>1.606325275066058E-4</v>
      </c>
      <c r="D53">
        <f>VLOOKUP($A$50,History,25, FALSE)</f>
        <v>99.881245449221169</v>
      </c>
      <c r="E53">
        <f>VLOOKUP($A$50,History,26, FALSE)</f>
        <v>1.5719484007862151E-2</v>
      </c>
    </row>
    <row r="54" spans="1:49">
      <c r="A54" s="220">
        <f>AC3</f>
        <v>37231</v>
      </c>
      <c r="B54">
        <f>VLOOKUP($A$50,History,30, FALSE)</f>
        <v>2.0004391220856923</v>
      </c>
      <c r="C54">
        <f>VLOOKUP($A$50,History,31, FALSE)</f>
        <v>5.1286364663879337E-5</v>
      </c>
      <c r="D54">
        <f>VLOOKUP($A$50,History,33, FALSE)</f>
        <v>99.882246828303522</v>
      </c>
      <c r="E54">
        <f>VLOOKUP($A$50,History,34, FALSE)</f>
        <v>2.4881540052839695E-2</v>
      </c>
    </row>
    <row r="55" spans="1:49">
      <c r="A55" s="220">
        <f>AK3</f>
        <v>36143</v>
      </c>
      <c r="B55">
        <f>VLOOKUP($A$50,History,39, FALSE)</f>
        <v>2.0004167541836031</v>
      </c>
      <c r="C55">
        <f>VLOOKUP($A$50,History,40, FALSE)</f>
        <v>4.682190452441673E-5</v>
      </c>
      <c r="D55">
        <f>VLOOKUP($A$50,History,42, FALSE)</f>
        <v>99.8781716019583</v>
      </c>
      <c r="E55">
        <f>VLOOKUP($A$50,History,43, FALSE)</f>
        <v>7.3966596047535093E-3</v>
      </c>
    </row>
    <row r="56" spans="1:49">
      <c r="A56" s="220"/>
    </row>
    <row r="57" spans="1:49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P57" s="3"/>
      <c r="AQ57" s="3"/>
      <c r="AR57" s="3"/>
      <c r="AS57" s="3"/>
      <c r="AT57" s="3"/>
      <c r="AU57" s="3"/>
      <c r="AV57" s="3"/>
      <c r="AW57" s="3"/>
    </row>
    <row r="58" spans="1:49">
      <c r="C58" s="209"/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D58" s="3"/>
      <c r="AE58" s="3"/>
      <c r="AF58" s="209"/>
      <c r="AG58" s="209"/>
      <c r="AH58" s="209"/>
      <c r="AI58" s="209"/>
      <c r="AJ58" s="209"/>
      <c r="AK58" s="209"/>
      <c r="AL58" s="209"/>
      <c r="AM58" s="209"/>
      <c r="AN58" s="209"/>
      <c r="AP58" s="3"/>
      <c r="AQ58" s="3"/>
      <c r="AR58" s="209"/>
      <c r="AS58" s="209"/>
      <c r="AT58" s="209"/>
      <c r="AU58" s="3"/>
      <c r="AV58" s="3"/>
      <c r="AW58" s="3"/>
    </row>
    <row r="67" spans="1:5">
      <c r="B67" s="220"/>
      <c r="C67" s="220"/>
      <c r="D67" s="220"/>
      <c r="E67" s="220"/>
    </row>
    <row r="68" spans="1:5">
      <c r="A68" s="3"/>
      <c r="B68" s="68"/>
      <c r="C68" s="68"/>
      <c r="D68" s="68"/>
      <c r="E68" s="68"/>
    </row>
    <row r="69" spans="1:5">
      <c r="A69" s="209"/>
      <c r="B69" s="68"/>
      <c r="C69" s="68"/>
      <c r="D69" s="68"/>
      <c r="E69" s="68"/>
    </row>
    <row r="70" spans="1:5">
      <c r="B70" s="216"/>
      <c r="C70" s="216"/>
      <c r="D70" s="216"/>
      <c r="E70" s="216"/>
    </row>
    <row r="71" spans="1:5">
      <c r="B71" s="68"/>
      <c r="C71" s="68"/>
      <c r="D71" s="68"/>
      <c r="E71" s="68"/>
    </row>
    <row r="74" spans="1:5">
      <c r="B74" s="68"/>
      <c r="C74" s="68"/>
      <c r="D74" s="68"/>
      <c r="E74" s="68"/>
    </row>
    <row r="75" spans="1:5">
      <c r="B75" s="68"/>
      <c r="C75" s="68"/>
      <c r="D75" s="68"/>
      <c r="E75" s="68"/>
    </row>
    <row r="76" spans="1:5">
      <c r="B76" s="216"/>
      <c r="C76" s="216"/>
      <c r="D76" s="216"/>
      <c r="E76" s="216"/>
    </row>
    <row r="77" spans="1:5">
      <c r="B77" s="68"/>
      <c r="C77" s="68"/>
      <c r="D77" s="68"/>
      <c r="E77" s="68"/>
    </row>
  </sheetData>
  <phoneticPr fontId="17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I14" sqref="I14"/>
    </sheetView>
  </sheetViews>
  <sheetFormatPr defaultRowHeight="12.75"/>
  <sheetData>
    <row r="1" spans="1:6">
      <c r="A1" t="s">
        <v>405</v>
      </c>
      <c r="E1" t="s">
        <v>403</v>
      </c>
      <c r="F1" t="s">
        <v>404</v>
      </c>
    </row>
    <row r="2" spans="1:6">
      <c r="D2" t="s">
        <v>406</v>
      </c>
      <c r="E2">
        <v>-10</v>
      </c>
      <c r="F2">
        <v>-16</v>
      </c>
    </row>
    <row r="3" spans="1:6">
      <c r="E3">
        <v>-21</v>
      </c>
      <c r="F3">
        <v>54</v>
      </c>
    </row>
    <row r="4" spans="1:6">
      <c r="E4">
        <v>-15</v>
      </c>
      <c r="F4">
        <v>-20</v>
      </c>
    </row>
    <row r="5" spans="1:6">
      <c r="E5">
        <v>-14</v>
      </c>
      <c r="F5">
        <v>-27</v>
      </c>
    </row>
    <row r="6" spans="1:6">
      <c r="E6">
        <v>-14</v>
      </c>
      <c r="F6">
        <v>-157</v>
      </c>
    </row>
    <row r="7" spans="1:6">
      <c r="E7" s="226">
        <f>STDEV(E2:E5)</f>
        <v>4.5460605656619517</v>
      </c>
      <c r="F7" s="226">
        <f>STDEV(F2:F5)</f>
        <v>37.77455051574627</v>
      </c>
    </row>
    <row r="8" spans="1:6">
      <c r="E8" s="225">
        <f>STDEV(E2:E6)</f>
        <v>3.9623225512317886</v>
      </c>
      <c r="F8" s="225">
        <f>STDEV(F2:F6)</f>
        <v>76.548677323648121</v>
      </c>
    </row>
  </sheetData>
  <phoneticPr fontId="17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40"/>
  <sheetViews>
    <sheetView topLeftCell="A300" workbookViewId="0">
      <selection activeCell="C341" sqref="C341"/>
    </sheetView>
  </sheetViews>
  <sheetFormatPr defaultRowHeight="12.75"/>
  <cols>
    <col min="1" max="1" width="19.28515625" customWidth="1"/>
  </cols>
  <sheetData>
    <row r="1" spans="1:3">
      <c r="A1" s="301">
        <v>41946.541666666664</v>
      </c>
      <c r="B1">
        <v>20.6</v>
      </c>
      <c r="C1">
        <v>43.28</v>
      </c>
    </row>
    <row r="2" spans="1:3">
      <c r="A2" s="301">
        <v>41946.545138888891</v>
      </c>
      <c r="B2">
        <v>20.69</v>
      </c>
      <c r="C2">
        <v>42.77</v>
      </c>
    </row>
    <row r="3" spans="1:3">
      <c r="A3" s="301">
        <v>41946.548611111109</v>
      </c>
      <c r="B3">
        <v>20.69</v>
      </c>
      <c r="C3">
        <v>43.16</v>
      </c>
    </row>
    <row r="4" spans="1:3">
      <c r="A4" s="301">
        <v>41946.552083333336</v>
      </c>
      <c r="B4">
        <v>20.67</v>
      </c>
      <c r="C4">
        <v>43.06</v>
      </c>
    </row>
    <row r="5" spans="1:3">
      <c r="A5" s="301">
        <v>41946.555555555555</v>
      </c>
      <c r="B5">
        <v>20.69</v>
      </c>
      <c r="C5">
        <v>43.48</v>
      </c>
    </row>
    <row r="6" spans="1:3">
      <c r="A6" s="301">
        <v>41946.559027777781</v>
      </c>
      <c r="B6">
        <v>20.61</v>
      </c>
      <c r="C6">
        <v>43.16</v>
      </c>
    </row>
    <row r="7" spans="1:3">
      <c r="A7" s="301">
        <v>41946.5625</v>
      </c>
      <c r="B7">
        <v>20.61</v>
      </c>
      <c r="C7">
        <v>43.65</v>
      </c>
    </row>
    <row r="8" spans="1:3">
      <c r="A8" s="301">
        <v>41946.565972222219</v>
      </c>
      <c r="B8">
        <v>20.69</v>
      </c>
      <c r="C8">
        <v>43.21</v>
      </c>
    </row>
    <row r="9" spans="1:3">
      <c r="A9" s="301">
        <v>41946.569444444445</v>
      </c>
      <c r="B9">
        <v>20.67</v>
      </c>
      <c r="C9">
        <v>43.06</v>
      </c>
    </row>
    <row r="10" spans="1:3">
      <c r="A10" s="301">
        <v>41946.572916666664</v>
      </c>
      <c r="B10">
        <v>20.67</v>
      </c>
      <c r="C10">
        <v>43.16</v>
      </c>
    </row>
    <row r="11" spans="1:3">
      <c r="A11" s="301">
        <v>41946.576388888891</v>
      </c>
      <c r="B11">
        <v>20.67</v>
      </c>
      <c r="C11">
        <v>43.28</v>
      </c>
    </row>
    <row r="12" spans="1:3">
      <c r="A12" s="301">
        <v>41946.579861111109</v>
      </c>
      <c r="B12">
        <v>20.74</v>
      </c>
      <c r="C12">
        <v>43.09</v>
      </c>
    </row>
    <row r="13" spans="1:3">
      <c r="A13" s="301">
        <v>41946.583333333336</v>
      </c>
      <c r="B13">
        <v>20.74</v>
      </c>
      <c r="C13">
        <v>43.28</v>
      </c>
    </row>
    <row r="14" spans="1:3">
      <c r="A14" s="301">
        <v>41946.586805555555</v>
      </c>
      <c r="B14">
        <v>20.76</v>
      </c>
      <c r="C14">
        <v>43.06</v>
      </c>
    </row>
    <row r="15" spans="1:3">
      <c r="A15" s="301">
        <v>41946.590277777781</v>
      </c>
      <c r="B15">
        <v>20.74</v>
      </c>
      <c r="C15">
        <v>43.31</v>
      </c>
    </row>
    <row r="16" spans="1:3">
      <c r="A16" s="301">
        <v>41946.59375</v>
      </c>
      <c r="B16">
        <v>20.71</v>
      </c>
      <c r="C16">
        <v>42.94</v>
      </c>
    </row>
    <row r="17" spans="1:3">
      <c r="A17" s="301">
        <v>41946.597222222219</v>
      </c>
      <c r="B17">
        <v>20.72</v>
      </c>
      <c r="C17">
        <v>43.5</v>
      </c>
    </row>
    <row r="18" spans="1:3">
      <c r="A18" s="301">
        <v>41946.600694444445</v>
      </c>
      <c r="B18">
        <v>20.73</v>
      </c>
      <c r="C18">
        <v>43.01</v>
      </c>
    </row>
    <row r="19" spans="1:3">
      <c r="A19" s="301">
        <v>41946.604166666664</v>
      </c>
      <c r="B19">
        <v>20.67</v>
      </c>
      <c r="C19">
        <v>43.5</v>
      </c>
    </row>
    <row r="20" spans="1:3">
      <c r="A20" s="301">
        <v>41946.607638888891</v>
      </c>
      <c r="B20">
        <v>20.74</v>
      </c>
      <c r="C20">
        <v>42.94</v>
      </c>
    </row>
    <row r="21" spans="1:3">
      <c r="A21" s="301">
        <v>41946.611111111109</v>
      </c>
      <c r="B21">
        <v>20.68</v>
      </c>
      <c r="C21">
        <v>43.14</v>
      </c>
    </row>
    <row r="22" spans="1:3">
      <c r="A22" s="301">
        <v>41946.614583333336</v>
      </c>
      <c r="B22">
        <v>20.71</v>
      </c>
      <c r="C22">
        <v>43.11</v>
      </c>
    </row>
    <row r="23" spans="1:3">
      <c r="A23" s="301">
        <v>41946.618055555555</v>
      </c>
      <c r="B23">
        <v>20.68</v>
      </c>
      <c r="C23">
        <v>43.26</v>
      </c>
    </row>
    <row r="24" spans="1:3">
      <c r="A24" s="301">
        <v>41946.621527777781</v>
      </c>
      <c r="B24">
        <v>20.58</v>
      </c>
      <c r="C24">
        <v>43.11</v>
      </c>
    </row>
    <row r="25" spans="1:3">
      <c r="A25" s="301">
        <v>41946.625</v>
      </c>
      <c r="B25">
        <v>20.58</v>
      </c>
      <c r="C25">
        <v>43.46</v>
      </c>
    </row>
    <row r="26" spans="1:3">
      <c r="A26" s="301">
        <v>41946.628472222219</v>
      </c>
      <c r="B26">
        <v>20.6</v>
      </c>
      <c r="C26">
        <v>43.01</v>
      </c>
    </row>
    <row r="27" spans="1:3">
      <c r="A27" s="301">
        <v>41946.631944444445</v>
      </c>
      <c r="B27">
        <v>20.61</v>
      </c>
      <c r="C27">
        <v>43.11</v>
      </c>
    </row>
    <row r="28" spans="1:3">
      <c r="A28" s="301">
        <v>41946.635416666664</v>
      </c>
      <c r="B28">
        <v>20.57</v>
      </c>
      <c r="C28">
        <v>43.26</v>
      </c>
    </row>
    <row r="29" spans="1:3">
      <c r="A29" s="301">
        <v>41946.638888888891</v>
      </c>
      <c r="B29">
        <v>20.63</v>
      </c>
      <c r="C29">
        <v>42.92</v>
      </c>
    </row>
    <row r="30" spans="1:3">
      <c r="A30" s="301">
        <v>41946.642361111109</v>
      </c>
      <c r="B30">
        <v>20.61</v>
      </c>
      <c r="C30">
        <v>43.16</v>
      </c>
    </row>
    <row r="31" spans="1:3">
      <c r="A31" s="301">
        <v>41946.645833333336</v>
      </c>
      <c r="B31">
        <v>20.68</v>
      </c>
      <c r="C31">
        <v>42.5</v>
      </c>
    </row>
    <row r="32" spans="1:3">
      <c r="A32" s="301">
        <v>41946.649305555555</v>
      </c>
      <c r="B32">
        <v>20.67</v>
      </c>
      <c r="C32">
        <v>43.23</v>
      </c>
    </row>
    <row r="33" spans="1:3">
      <c r="A33" s="301">
        <v>41946.652777777781</v>
      </c>
      <c r="B33">
        <v>20.69</v>
      </c>
      <c r="C33">
        <v>42.94</v>
      </c>
    </row>
    <row r="34" spans="1:3">
      <c r="A34" s="301">
        <v>41946.65625</v>
      </c>
      <c r="B34">
        <v>20.71</v>
      </c>
      <c r="C34">
        <v>42.74</v>
      </c>
    </row>
    <row r="35" spans="1:3">
      <c r="A35" s="301">
        <v>41946.659722222219</v>
      </c>
      <c r="B35">
        <v>20.69</v>
      </c>
      <c r="C35">
        <v>43.16</v>
      </c>
    </row>
    <row r="36" spans="1:3">
      <c r="A36" s="301">
        <v>41946.663194444445</v>
      </c>
      <c r="B36">
        <v>20.69</v>
      </c>
      <c r="C36">
        <v>42.96</v>
      </c>
    </row>
    <row r="37" spans="1:3">
      <c r="A37" s="301">
        <v>41946.666666666664</v>
      </c>
      <c r="B37">
        <v>20.55</v>
      </c>
      <c r="C37">
        <v>43.16</v>
      </c>
    </row>
    <row r="38" spans="1:3">
      <c r="A38" s="301">
        <v>41946.670138888891</v>
      </c>
      <c r="B38">
        <v>20.58</v>
      </c>
      <c r="C38">
        <v>42.94</v>
      </c>
    </row>
    <row r="39" spans="1:3">
      <c r="A39" s="301">
        <v>41946.673611111109</v>
      </c>
      <c r="B39">
        <v>20.63</v>
      </c>
      <c r="C39">
        <v>42.69</v>
      </c>
    </row>
    <row r="40" spans="1:3">
      <c r="A40" s="301">
        <v>41946.677083333336</v>
      </c>
      <c r="B40">
        <v>20.56</v>
      </c>
      <c r="C40">
        <v>43.01</v>
      </c>
    </row>
    <row r="41" spans="1:3">
      <c r="A41" s="301">
        <v>41946.680555555555</v>
      </c>
      <c r="B41">
        <v>20.51</v>
      </c>
      <c r="C41">
        <v>43.11</v>
      </c>
    </row>
    <row r="42" spans="1:3">
      <c r="A42" s="301">
        <v>41946.684027777781</v>
      </c>
      <c r="B42">
        <v>20.61</v>
      </c>
      <c r="C42">
        <v>42.6</v>
      </c>
    </row>
    <row r="43" spans="1:3">
      <c r="A43" s="301">
        <v>41946.6875</v>
      </c>
      <c r="B43">
        <v>20.69</v>
      </c>
      <c r="C43">
        <v>42.52</v>
      </c>
    </row>
    <row r="44" spans="1:3">
      <c r="A44" s="301">
        <v>41946.690972222219</v>
      </c>
      <c r="B44">
        <v>20.69</v>
      </c>
      <c r="C44">
        <v>42.65</v>
      </c>
    </row>
    <row r="45" spans="1:3">
      <c r="A45" s="301">
        <v>41946.694444444445</v>
      </c>
      <c r="B45">
        <v>20.67</v>
      </c>
      <c r="C45">
        <v>42.55</v>
      </c>
    </row>
    <row r="46" spans="1:3">
      <c r="A46" s="301">
        <v>41946.697916666664</v>
      </c>
      <c r="B46">
        <v>20.63</v>
      </c>
      <c r="C46">
        <v>42.52</v>
      </c>
    </row>
    <row r="47" spans="1:3">
      <c r="A47" s="301">
        <v>41946.701388888891</v>
      </c>
      <c r="B47">
        <v>20.58</v>
      </c>
      <c r="C47">
        <v>42.38</v>
      </c>
    </row>
    <row r="48" spans="1:3">
      <c r="A48" s="301">
        <v>41946.704861111109</v>
      </c>
      <c r="B48">
        <v>20.6</v>
      </c>
      <c r="C48">
        <v>42.52</v>
      </c>
    </row>
    <row r="49" spans="1:3">
      <c r="A49" s="301">
        <v>41946.708333333336</v>
      </c>
      <c r="B49">
        <v>20.55</v>
      </c>
      <c r="C49">
        <v>42.57</v>
      </c>
    </row>
    <row r="50" spans="1:3">
      <c r="A50" s="301">
        <v>41946.711805555555</v>
      </c>
      <c r="B50">
        <v>20.51</v>
      </c>
      <c r="C50">
        <v>42.4</v>
      </c>
    </row>
    <row r="51" spans="1:3">
      <c r="A51" s="301">
        <v>41946.715277777781</v>
      </c>
      <c r="B51">
        <v>20.55</v>
      </c>
      <c r="C51">
        <v>42.28</v>
      </c>
    </row>
    <row r="52" spans="1:3">
      <c r="A52" s="301">
        <v>41946.71875</v>
      </c>
      <c r="B52">
        <v>20.55</v>
      </c>
      <c r="C52">
        <v>42.18</v>
      </c>
    </row>
    <row r="53" spans="1:3">
      <c r="A53" s="301">
        <v>41946.722222222219</v>
      </c>
      <c r="B53">
        <v>20.46</v>
      </c>
      <c r="C53">
        <v>42.5</v>
      </c>
    </row>
    <row r="54" spans="1:3">
      <c r="A54" s="301">
        <v>41946.725694444445</v>
      </c>
      <c r="B54">
        <v>20.61</v>
      </c>
      <c r="C54">
        <v>42.25</v>
      </c>
    </row>
    <row r="55" spans="1:3">
      <c r="A55" s="301">
        <v>41946.729166666664</v>
      </c>
      <c r="B55">
        <v>20.58</v>
      </c>
      <c r="C55">
        <v>42.3</v>
      </c>
    </row>
    <row r="56" spans="1:3">
      <c r="A56" s="301">
        <v>41946.732638888891</v>
      </c>
      <c r="B56">
        <v>20.6</v>
      </c>
      <c r="C56">
        <v>42.28</v>
      </c>
    </row>
    <row r="57" spans="1:3">
      <c r="A57" s="301">
        <v>41946.736111111109</v>
      </c>
      <c r="B57">
        <v>20.56</v>
      </c>
      <c r="C57">
        <v>42.2</v>
      </c>
    </row>
    <row r="58" spans="1:3">
      <c r="A58" s="301">
        <v>41946.739583333336</v>
      </c>
      <c r="B58">
        <v>20.62</v>
      </c>
      <c r="C58">
        <v>42.11</v>
      </c>
    </row>
    <row r="59" spans="1:3">
      <c r="A59" s="301">
        <v>41946.743055555555</v>
      </c>
      <c r="B59">
        <v>20.53</v>
      </c>
      <c r="C59">
        <v>41.79</v>
      </c>
    </row>
    <row r="60" spans="1:3">
      <c r="A60" s="301">
        <v>41946.746527777781</v>
      </c>
      <c r="B60">
        <v>20.56</v>
      </c>
      <c r="C60">
        <v>41.91</v>
      </c>
    </row>
    <row r="61" spans="1:3">
      <c r="A61" s="301">
        <v>41946.75</v>
      </c>
      <c r="B61">
        <v>20.58</v>
      </c>
      <c r="C61">
        <v>42.3</v>
      </c>
    </row>
    <row r="62" spans="1:3">
      <c r="A62" s="301">
        <v>41946.753472222219</v>
      </c>
      <c r="B62">
        <v>20.56</v>
      </c>
      <c r="C62">
        <v>41.81</v>
      </c>
    </row>
    <row r="63" spans="1:3">
      <c r="A63" s="301">
        <v>41946.756944444445</v>
      </c>
      <c r="B63">
        <v>20.55</v>
      </c>
      <c r="C63">
        <v>41.64</v>
      </c>
    </row>
    <row r="64" spans="1:3">
      <c r="A64" s="301">
        <v>41946.760416666664</v>
      </c>
      <c r="B64">
        <v>20.49</v>
      </c>
      <c r="C64">
        <v>42.15</v>
      </c>
    </row>
    <row r="65" spans="1:3">
      <c r="A65" s="301">
        <v>41946.763888888891</v>
      </c>
      <c r="B65">
        <v>20.55</v>
      </c>
      <c r="C65">
        <v>41.84</v>
      </c>
    </row>
    <row r="66" spans="1:3">
      <c r="A66" s="301">
        <v>41946.767361111109</v>
      </c>
      <c r="B66">
        <v>20.53</v>
      </c>
      <c r="C66">
        <v>41.93</v>
      </c>
    </row>
    <row r="67" spans="1:3">
      <c r="A67" s="301">
        <v>41946.770833333336</v>
      </c>
      <c r="B67">
        <v>20.52</v>
      </c>
      <c r="C67">
        <v>41.88</v>
      </c>
    </row>
    <row r="68" spans="1:3">
      <c r="A68" s="301">
        <v>41946.774305555555</v>
      </c>
      <c r="B68">
        <v>20.57</v>
      </c>
      <c r="C68">
        <v>41.91</v>
      </c>
    </row>
    <row r="69" spans="1:3">
      <c r="A69" s="301">
        <v>41946.777777777781</v>
      </c>
      <c r="B69">
        <v>20.62</v>
      </c>
      <c r="C69">
        <v>42.03</v>
      </c>
    </row>
    <row r="70" spans="1:3">
      <c r="A70" s="301">
        <v>41946.78125</v>
      </c>
      <c r="B70">
        <v>20.62</v>
      </c>
      <c r="C70">
        <v>42.2</v>
      </c>
    </row>
    <row r="71" spans="1:3">
      <c r="A71" s="301">
        <v>41946.784722222219</v>
      </c>
      <c r="B71">
        <v>20.63</v>
      </c>
      <c r="C71">
        <v>42.13</v>
      </c>
    </row>
    <row r="72" spans="1:3">
      <c r="A72" s="301">
        <v>41946.788194444445</v>
      </c>
      <c r="B72">
        <v>20.57</v>
      </c>
      <c r="C72">
        <v>42.01</v>
      </c>
    </row>
    <row r="73" spans="1:3">
      <c r="A73" s="301">
        <v>41946.791666666664</v>
      </c>
      <c r="B73">
        <v>20.52</v>
      </c>
      <c r="C73">
        <v>42.03</v>
      </c>
    </row>
    <row r="74" spans="1:3">
      <c r="A74" s="301">
        <v>41946.795138888891</v>
      </c>
      <c r="B74">
        <v>20.51</v>
      </c>
      <c r="C74">
        <v>41.79</v>
      </c>
    </row>
    <row r="75" spans="1:3">
      <c r="A75" s="301">
        <v>41946.798611111109</v>
      </c>
      <c r="B75">
        <v>20.47</v>
      </c>
      <c r="C75">
        <v>41.93</v>
      </c>
    </row>
    <row r="76" spans="1:3">
      <c r="A76" s="301">
        <v>41946.802083333336</v>
      </c>
      <c r="B76">
        <v>20.51</v>
      </c>
      <c r="C76">
        <v>42.23</v>
      </c>
    </row>
    <row r="77" spans="1:3">
      <c r="A77" s="301">
        <v>41946.805555555555</v>
      </c>
      <c r="B77">
        <v>20.53</v>
      </c>
      <c r="C77">
        <v>42.18</v>
      </c>
    </row>
    <row r="78" spans="1:3">
      <c r="A78" s="301">
        <v>41946.809027777781</v>
      </c>
      <c r="B78">
        <v>20.56</v>
      </c>
      <c r="C78">
        <v>42.03</v>
      </c>
    </row>
    <row r="79" spans="1:3">
      <c r="A79" s="301">
        <v>41946.8125</v>
      </c>
      <c r="B79">
        <v>20.53</v>
      </c>
      <c r="C79">
        <v>42.11</v>
      </c>
    </row>
    <row r="80" spans="1:3">
      <c r="A80" s="301">
        <v>41946.815972222219</v>
      </c>
      <c r="B80">
        <v>20.58</v>
      </c>
      <c r="C80">
        <v>42.01</v>
      </c>
    </row>
    <row r="81" spans="1:3">
      <c r="A81" s="301">
        <v>41946.819444444445</v>
      </c>
      <c r="B81">
        <v>20.57</v>
      </c>
      <c r="C81">
        <v>42.01</v>
      </c>
    </row>
    <row r="82" spans="1:3">
      <c r="A82" s="301">
        <v>41946.822916666664</v>
      </c>
      <c r="B82">
        <v>20.6</v>
      </c>
      <c r="C82">
        <v>42.08</v>
      </c>
    </row>
    <row r="83" spans="1:3">
      <c r="A83" s="301">
        <v>41946.826388888891</v>
      </c>
      <c r="B83">
        <v>20.67</v>
      </c>
      <c r="C83">
        <v>41.84</v>
      </c>
    </row>
    <row r="84" spans="1:3">
      <c r="A84" s="301">
        <v>41946.829861111109</v>
      </c>
      <c r="B84">
        <v>20.6</v>
      </c>
      <c r="C84">
        <v>41.81</v>
      </c>
    </row>
    <row r="85" spans="1:3">
      <c r="A85" s="301">
        <v>41946.833333333336</v>
      </c>
      <c r="B85">
        <v>20.58</v>
      </c>
      <c r="C85">
        <v>41.96</v>
      </c>
    </row>
    <row r="86" spans="1:3">
      <c r="A86" s="301">
        <v>41946.836805555555</v>
      </c>
      <c r="B86">
        <v>20.57</v>
      </c>
      <c r="C86">
        <v>42.03</v>
      </c>
    </row>
    <row r="87" spans="1:3">
      <c r="A87" s="301">
        <v>41946.840277777781</v>
      </c>
      <c r="B87">
        <v>20.55</v>
      </c>
      <c r="C87">
        <v>41.93</v>
      </c>
    </row>
    <row r="88" spans="1:3">
      <c r="A88" s="301">
        <v>41946.84375</v>
      </c>
      <c r="B88">
        <v>20.61</v>
      </c>
      <c r="C88">
        <v>41.93</v>
      </c>
    </row>
    <row r="89" spans="1:3">
      <c r="A89" s="301">
        <v>41946.847222222219</v>
      </c>
      <c r="B89">
        <v>20.61</v>
      </c>
      <c r="C89">
        <v>41.74</v>
      </c>
    </row>
    <row r="90" spans="1:3">
      <c r="A90" s="301">
        <v>41946.850694444445</v>
      </c>
      <c r="B90">
        <v>20.6</v>
      </c>
      <c r="C90">
        <v>41.69</v>
      </c>
    </row>
    <row r="91" spans="1:3">
      <c r="A91" s="301">
        <v>41946.854166666664</v>
      </c>
      <c r="B91">
        <v>20.57</v>
      </c>
      <c r="C91">
        <v>41.76</v>
      </c>
    </row>
    <row r="92" spans="1:3">
      <c r="A92" s="301">
        <v>41946.857638888891</v>
      </c>
      <c r="B92">
        <v>20.66</v>
      </c>
      <c r="C92">
        <v>41.86</v>
      </c>
    </row>
    <row r="93" spans="1:3">
      <c r="A93" s="301">
        <v>41946.861111111109</v>
      </c>
      <c r="B93">
        <v>20.63</v>
      </c>
      <c r="C93">
        <v>41.74</v>
      </c>
    </row>
    <row r="94" spans="1:3">
      <c r="A94" s="301">
        <v>41946.864583333336</v>
      </c>
      <c r="B94">
        <v>20.68</v>
      </c>
      <c r="C94">
        <v>41.91</v>
      </c>
    </row>
    <row r="95" spans="1:3">
      <c r="A95" s="301">
        <v>41946.868055555555</v>
      </c>
      <c r="B95">
        <v>20.65</v>
      </c>
      <c r="C95">
        <v>41.91</v>
      </c>
    </row>
    <row r="96" spans="1:3">
      <c r="A96" s="301">
        <v>41946.871527777781</v>
      </c>
      <c r="B96">
        <v>20.62</v>
      </c>
      <c r="C96">
        <v>41.86</v>
      </c>
    </row>
    <row r="97" spans="1:3">
      <c r="A97" s="301">
        <v>41946.875</v>
      </c>
      <c r="B97">
        <v>20.6</v>
      </c>
      <c r="C97">
        <v>41.93</v>
      </c>
    </row>
    <row r="98" spans="1:3">
      <c r="A98" s="301">
        <v>41946.878472222219</v>
      </c>
      <c r="B98">
        <v>20.6</v>
      </c>
      <c r="C98">
        <v>42.06</v>
      </c>
    </row>
    <row r="99" spans="1:3">
      <c r="A99" s="301">
        <v>41946.881944444445</v>
      </c>
      <c r="B99">
        <v>20.69</v>
      </c>
      <c r="C99">
        <v>41.86</v>
      </c>
    </row>
    <row r="100" spans="1:3">
      <c r="A100" s="301">
        <v>41946.885416666664</v>
      </c>
      <c r="B100">
        <v>20.57</v>
      </c>
      <c r="C100">
        <v>41.91</v>
      </c>
    </row>
    <row r="101" spans="1:3">
      <c r="A101" s="301">
        <v>41946.888888888891</v>
      </c>
      <c r="B101">
        <v>20.57</v>
      </c>
      <c r="C101">
        <v>41.59</v>
      </c>
    </row>
    <row r="102" spans="1:3">
      <c r="A102" s="301">
        <v>41946.892361111109</v>
      </c>
      <c r="B102">
        <v>20.55</v>
      </c>
      <c r="C102">
        <v>41.25</v>
      </c>
    </row>
    <row r="103" spans="1:3">
      <c r="A103" s="301">
        <v>41946.895833333336</v>
      </c>
      <c r="B103">
        <v>20.51</v>
      </c>
      <c r="C103">
        <v>41.2</v>
      </c>
    </row>
    <row r="104" spans="1:3">
      <c r="A104" s="301">
        <v>41946.899305555555</v>
      </c>
      <c r="B104">
        <v>20.420000000000002</v>
      </c>
      <c r="C104">
        <v>41.34</v>
      </c>
    </row>
    <row r="105" spans="1:3">
      <c r="A105" s="301">
        <v>41946.902777777781</v>
      </c>
      <c r="B105">
        <v>20.38</v>
      </c>
      <c r="C105">
        <v>41.52</v>
      </c>
    </row>
    <row r="106" spans="1:3">
      <c r="A106" s="301">
        <v>41946.90625</v>
      </c>
      <c r="B106">
        <v>20.47</v>
      </c>
      <c r="C106">
        <v>41.42</v>
      </c>
    </row>
    <row r="107" spans="1:3">
      <c r="A107" s="301">
        <v>41946.909722222219</v>
      </c>
      <c r="B107">
        <v>20.399999999999999</v>
      </c>
      <c r="C107">
        <v>41.47</v>
      </c>
    </row>
    <row r="108" spans="1:3">
      <c r="A108" s="301">
        <v>41946.913194444445</v>
      </c>
      <c r="B108">
        <v>20.45</v>
      </c>
      <c r="C108">
        <v>41.47</v>
      </c>
    </row>
    <row r="109" spans="1:3">
      <c r="A109" s="301">
        <v>41946.916666666664</v>
      </c>
      <c r="B109">
        <v>20.46</v>
      </c>
      <c r="C109">
        <v>41.59</v>
      </c>
    </row>
    <row r="110" spans="1:3">
      <c r="A110" s="301">
        <v>41946.920138888891</v>
      </c>
      <c r="B110">
        <v>20.52</v>
      </c>
      <c r="C110">
        <v>41.37</v>
      </c>
    </row>
    <row r="111" spans="1:3">
      <c r="A111" s="301">
        <v>41946.923611111109</v>
      </c>
      <c r="B111">
        <v>20.56</v>
      </c>
      <c r="C111">
        <v>41.42</v>
      </c>
    </row>
    <row r="112" spans="1:3">
      <c r="A112" s="301">
        <v>41946.927083333336</v>
      </c>
      <c r="B112">
        <v>20.5</v>
      </c>
      <c r="C112">
        <v>41.42</v>
      </c>
    </row>
    <row r="113" spans="1:3">
      <c r="A113" s="301">
        <v>41946.930555555555</v>
      </c>
      <c r="B113">
        <v>20.5</v>
      </c>
      <c r="C113">
        <v>41.2</v>
      </c>
    </row>
    <row r="114" spans="1:3">
      <c r="A114" s="301">
        <v>41946.934027777781</v>
      </c>
      <c r="B114">
        <v>20.5</v>
      </c>
      <c r="C114">
        <v>41.27</v>
      </c>
    </row>
    <row r="115" spans="1:3">
      <c r="A115" s="301">
        <v>41946.9375</v>
      </c>
      <c r="B115">
        <v>20.5</v>
      </c>
      <c r="C115">
        <v>41.22</v>
      </c>
    </row>
    <row r="116" spans="1:3">
      <c r="A116" s="301">
        <v>41946.940972222219</v>
      </c>
      <c r="B116">
        <v>20.49</v>
      </c>
      <c r="C116">
        <v>41.37</v>
      </c>
    </row>
    <row r="117" spans="1:3">
      <c r="A117" s="301">
        <v>41946.944444444445</v>
      </c>
      <c r="B117">
        <v>20.47</v>
      </c>
      <c r="C117">
        <v>41.42</v>
      </c>
    </row>
    <row r="118" spans="1:3">
      <c r="A118" s="301">
        <v>41946.947916666664</v>
      </c>
      <c r="B118">
        <v>20.440000000000001</v>
      </c>
      <c r="C118">
        <v>41.37</v>
      </c>
    </row>
    <row r="119" spans="1:3">
      <c r="A119" s="301">
        <v>41946.951388888891</v>
      </c>
      <c r="B119">
        <v>20.399999999999999</v>
      </c>
      <c r="C119">
        <v>41.61</v>
      </c>
    </row>
    <row r="120" spans="1:3">
      <c r="A120" s="301">
        <v>41946.954861111109</v>
      </c>
      <c r="B120">
        <v>20.47</v>
      </c>
      <c r="C120">
        <v>41.42</v>
      </c>
    </row>
    <row r="121" spans="1:3">
      <c r="A121" s="301">
        <v>41946.958333333336</v>
      </c>
      <c r="B121">
        <v>20.440000000000001</v>
      </c>
      <c r="C121">
        <v>41.34</v>
      </c>
    </row>
    <row r="122" spans="1:3">
      <c r="A122" s="301">
        <v>41946.961805555555</v>
      </c>
      <c r="B122">
        <v>20.41</v>
      </c>
      <c r="C122">
        <v>41.15</v>
      </c>
    </row>
    <row r="123" spans="1:3">
      <c r="A123" s="301">
        <v>41946.965277777781</v>
      </c>
      <c r="B123">
        <v>20.399999999999999</v>
      </c>
      <c r="C123">
        <v>41.32</v>
      </c>
    </row>
    <row r="124" spans="1:3">
      <c r="A124" s="301">
        <v>41946.96875</v>
      </c>
      <c r="B124">
        <v>20.41</v>
      </c>
      <c r="C124">
        <v>41.1</v>
      </c>
    </row>
    <row r="125" spans="1:3">
      <c r="A125" s="301">
        <v>41946.972222222219</v>
      </c>
      <c r="B125">
        <v>20.47</v>
      </c>
      <c r="C125">
        <v>41.42</v>
      </c>
    </row>
    <row r="126" spans="1:3">
      <c r="A126" s="301">
        <v>41946.975694444445</v>
      </c>
      <c r="B126">
        <v>20.49</v>
      </c>
      <c r="C126">
        <v>41.34</v>
      </c>
    </row>
    <row r="127" spans="1:3">
      <c r="A127" s="301">
        <v>41946.979166666664</v>
      </c>
      <c r="B127">
        <v>20.420000000000002</v>
      </c>
      <c r="C127">
        <v>41.44</v>
      </c>
    </row>
    <row r="128" spans="1:3">
      <c r="A128" s="301">
        <v>41946.982638888891</v>
      </c>
      <c r="B128">
        <v>20.47</v>
      </c>
      <c r="C128">
        <v>41.49</v>
      </c>
    </row>
    <row r="129" spans="1:3">
      <c r="A129" s="301">
        <v>41946.986111111109</v>
      </c>
      <c r="B129">
        <v>20.45</v>
      </c>
      <c r="C129">
        <v>41.49</v>
      </c>
    </row>
    <row r="130" spans="1:3">
      <c r="A130" s="301">
        <v>41946.989583333336</v>
      </c>
      <c r="B130">
        <v>20.49</v>
      </c>
      <c r="C130">
        <v>41.49</v>
      </c>
    </row>
    <row r="131" spans="1:3">
      <c r="A131" s="301">
        <v>41946.993055555555</v>
      </c>
      <c r="B131">
        <v>20.52</v>
      </c>
      <c r="C131">
        <v>41.34</v>
      </c>
    </row>
    <row r="132" spans="1:3">
      <c r="A132" s="301">
        <v>41946.996527777781</v>
      </c>
      <c r="B132">
        <v>20.49</v>
      </c>
      <c r="C132">
        <v>41.74</v>
      </c>
    </row>
    <row r="133" spans="1:3">
      <c r="A133" s="301">
        <v>41947</v>
      </c>
      <c r="B133">
        <v>20.55</v>
      </c>
      <c r="C133">
        <v>41.37</v>
      </c>
    </row>
    <row r="134" spans="1:3">
      <c r="A134" s="301">
        <v>41947.003472222219</v>
      </c>
      <c r="B134">
        <v>20.5</v>
      </c>
      <c r="C134">
        <v>41.64</v>
      </c>
    </row>
    <row r="135" spans="1:3">
      <c r="A135" s="301">
        <v>41947.006944444445</v>
      </c>
      <c r="B135">
        <v>20.52</v>
      </c>
      <c r="C135">
        <v>41.71</v>
      </c>
    </row>
    <row r="136" spans="1:3">
      <c r="A136" s="301">
        <v>41947.010416666664</v>
      </c>
      <c r="B136">
        <v>20.6</v>
      </c>
      <c r="C136">
        <v>41.32</v>
      </c>
    </row>
    <row r="137" spans="1:3">
      <c r="A137" s="301">
        <v>41947.013888888891</v>
      </c>
      <c r="B137">
        <v>20.56</v>
      </c>
      <c r="C137">
        <v>41.88</v>
      </c>
    </row>
    <row r="138" spans="1:3">
      <c r="A138" s="301">
        <v>41947.017361111109</v>
      </c>
      <c r="B138">
        <v>20.67</v>
      </c>
      <c r="C138">
        <v>41.79</v>
      </c>
    </row>
    <row r="139" spans="1:3">
      <c r="A139" s="301">
        <v>41947.020833333336</v>
      </c>
      <c r="B139">
        <v>20.65</v>
      </c>
      <c r="C139">
        <v>41.59</v>
      </c>
    </row>
    <row r="140" spans="1:3">
      <c r="A140" s="301">
        <v>41947.024305555555</v>
      </c>
      <c r="B140">
        <v>20.61</v>
      </c>
      <c r="C140">
        <v>41.49</v>
      </c>
    </row>
    <row r="141" spans="1:3">
      <c r="A141" s="301">
        <v>41947.027777777781</v>
      </c>
      <c r="B141">
        <v>20.53</v>
      </c>
      <c r="C141">
        <v>41.34</v>
      </c>
    </row>
    <row r="142" spans="1:3">
      <c r="A142" s="301">
        <v>41947.03125</v>
      </c>
      <c r="B142">
        <v>20.56</v>
      </c>
      <c r="C142">
        <v>41.27</v>
      </c>
    </row>
    <row r="143" spans="1:3">
      <c r="A143" s="301">
        <v>41947.034722222219</v>
      </c>
      <c r="B143">
        <v>20.57</v>
      </c>
      <c r="C143">
        <v>41.3</v>
      </c>
    </row>
    <row r="144" spans="1:3">
      <c r="A144" s="301">
        <v>41947.038194444445</v>
      </c>
      <c r="B144">
        <v>20.53</v>
      </c>
      <c r="C144">
        <v>41.57</v>
      </c>
    </row>
    <row r="145" spans="1:3">
      <c r="A145" s="301">
        <v>41947.041666666664</v>
      </c>
      <c r="B145">
        <v>20.52</v>
      </c>
      <c r="C145">
        <v>41.57</v>
      </c>
    </row>
    <row r="146" spans="1:3">
      <c r="A146" s="301">
        <v>41947.045138888891</v>
      </c>
      <c r="B146">
        <v>20.55</v>
      </c>
      <c r="C146">
        <v>41.52</v>
      </c>
    </row>
    <row r="147" spans="1:3">
      <c r="A147" s="301">
        <v>41947.048611111109</v>
      </c>
      <c r="B147">
        <v>20.51</v>
      </c>
      <c r="C147">
        <v>41.47</v>
      </c>
    </row>
    <row r="148" spans="1:3">
      <c r="A148" s="301">
        <v>41947.052083333336</v>
      </c>
      <c r="B148">
        <v>20.47</v>
      </c>
      <c r="C148">
        <v>41.59</v>
      </c>
    </row>
    <row r="149" spans="1:3">
      <c r="A149" s="301">
        <v>41947.055555555555</v>
      </c>
      <c r="B149">
        <v>20.53</v>
      </c>
      <c r="C149">
        <v>41.49</v>
      </c>
    </row>
    <row r="150" spans="1:3">
      <c r="A150" s="301">
        <v>41947.059027777781</v>
      </c>
      <c r="B150">
        <v>20.6</v>
      </c>
      <c r="C150">
        <v>41.37</v>
      </c>
    </row>
    <row r="151" spans="1:3">
      <c r="A151" s="301">
        <v>41947.0625</v>
      </c>
      <c r="B151">
        <v>20.58</v>
      </c>
      <c r="C151">
        <v>41.34</v>
      </c>
    </row>
    <row r="152" spans="1:3">
      <c r="A152" s="301">
        <v>41947.065972222219</v>
      </c>
      <c r="B152">
        <v>20.63</v>
      </c>
      <c r="C152">
        <v>41.22</v>
      </c>
    </row>
    <row r="153" spans="1:3">
      <c r="A153" s="301">
        <v>41947.069444444445</v>
      </c>
      <c r="B153">
        <v>20.65</v>
      </c>
      <c r="C153">
        <v>41.07</v>
      </c>
    </row>
    <row r="154" spans="1:3">
      <c r="A154" s="301">
        <v>41947.072916666664</v>
      </c>
      <c r="B154">
        <v>20.65</v>
      </c>
      <c r="C154">
        <v>41.3</v>
      </c>
    </row>
    <row r="155" spans="1:3">
      <c r="A155" s="301">
        <v>41947.076388888891</v>
      </c>
      <c r="B155">
        <v>20.66</v>
      </c>
      <c r="C155">
        <v>41.2</v>
      </c>
    </row>
    <row r="156" spans="1:3">
      <c r="A156" s="301">
        <v>41947.079861111109</v>
      </c>
      <c r="B156">
        <v>20.65</v>
      </c>
      <c r="C156">
        <v>41.12</v>
      </c>
    </row>
    <row r="157" spans="1:3">
      <c r="A157" s="301">
        <v>41947.083333333336</v>
      </c>
      <c r="B157">
        <v>20.56</v>
      </c>
      <c r="C157">
        <v>41.1</v>
      </c>
    </row>
    <row r="158" spans="1:3">
      <c r="A158" s="301">
        <v>41947.086805555555</v>
      </c>
      <c r="B158">
        <v>20.47</v>
      </c>
      <c r="C158">
        <v>41.05</v>
      </c>
    </row>
    <row r="159" spans="1:3">
      <c r="A159" s="301">
        <v>41947.090277777781</v>
      </c>
      <c r="B159">
        <v>20.49</v>
      </c>
      <c r="C159">
        <v>40.98</v>
      </c>
    </row>
    <row r="160" spans="1:3">
      <c r="A160" s="301">
        <v>41947.09375</v>
      </c>
      <c r="B160">
        <v>20.55</v>
      </c>
      <c r="C160">
        <v>41.07</v>
      </c>
    </row>
    <row r="161" spans="1:3">
      <c r="A161" s="301">
        <v>41947.097222222219</v>
      </c>
      <c r="B161">
        <v>20.53</v>
      </c>
      <c r="C161">
        <v>40.880000000000003</v>
      </c>
    </row>
    <row r="162" spans="1:3">
      <c r="A162" s="301">
        <v>41947.100694444445</v>
      </c>
      <c r="B162">
        <v>20.5</v>
      </c>
      <c r="C162">
        <v>40.93</v>
      </c>
    </row>
    <row r="163" spans="1:3">
      <c r="A163" s="301">
        <v>41947.104166666664</v>
      </c>
      <c r="B163">
        <v>20.53</v>
      </c>
      <c r="C163">
        <v>41.05</v>
      </c>
    </row>
    <row r="164" spans="1:3">
      <c r="A164" s="301">
        <v>41947.107638888891</v>
      </c>
      <c r="B164">
        <v>20.6</v>
      </c>
      <c r="C164">
        <v>41.05</v>
      </c>
    </row>
    <row r="165" spans="1:3">
      <c r="A165" s="301">
        <v>41947.111111111109</v>
      </c>
      <c r="B165">
        <v>20.56</v>
      </c>
      <c r="C165">
        <v>41.15</v>
      </c>
    </row>
    <row r="166" spans="1:3">
      <c r="A166" s="301">
        <v>41947.114583333336</v>
      </c>
      <c r="B166">
        <v>20.58</v>
      </c>
      <c r="C166">
        <v>41.12</v>
      </c>
    </row>
    <row r="167" spans="1:3">
      <c r="A167" s="301">
        <v>41947.118055555555</v>
      </c>
      <c r="B167">
        <v>20.56</v>
      </c>
      <c r="C167">
        <v>41.07</v>
      </c>
    </row>
    <row r="168" spans="1:3">
      <c r="A168" s="301">
        <v>41947.121527777781</v>
      </c>
      <c r="B168">
        <v>20.62</v>
      </c>
      <c r="C168">
        <v>40.85</v>
      </c>
    </row>
    <row r="169" spans="1:3">
      <c r="A169" s="301">
        <v>41947.125</v>
      </c>
      <c r="B169">
        <v>20.61</v>
      </c>
      <c r="C169">
        <v>40.85</v>
      </c>
    </row>
    <row r="170" spans="1:3">
      <c r="A170" s="301">
        <v>41947.128472222219</v>
      </c>
      <c r="B170">
        <v>20.65</v>
      </c>
      <c r="C170">
        <v>40.9</v>
      </c>
    </row>
    <row r="171" spans="1:3">
      <c r="A171" s="301">
        <v>41947.131944444445</v>
      </c>
      <c r="B171">
        <v>20.65</v>
      </c>
      <c r="C171">
        <v>40.98</v>
      </c>
    </row>
    <row r="172" spans="1:3">
      <c r="A172" s="301">
        <v>41947.135416666664</v>
      </c>
      <c r="B172">
        <v>20.68</v>
      </c>
      <c r="C172">
        <v>40.85</v>
      </c>
    </row>
    <row r="173" spans="1:3">
      <c r="A173" s="301">
        <v>41947.138888888891</v>
      </c>
      <c r="B173">
        <v>20.65</v>
      </c>
      <c r="C173">
        <v>40.98</v>
      </c>
    </row>
    <row r="174" spans="1:3">
      <c r="A174" s="301">
        <v>41947.142361111109</v>
      </c>
      <c r="B174">
        <v>20.62</v>
      </c>
      <c r="C174">
        <v>40.880000000000003</v>
      </c>
    </row>
    <row r="175" spans="1:3">
      <c r="A175" s="301">
        <v>41947.145833333336</v>
      </c>
      <c r="B175">
        <v>20.67</v>
      </c>
      <c r="C175">
        <v>40.78</v>
      </c>
    </row>
    <row r="176" spans="1:3">
      <c r="A176" s="301">
        <v>41947.149305555555</v>
      </c>
      <c r="B176">
        <v>20.66</v>
      </c>
      <c r="C176">
        <v>40.81</v>
      </c>
    </row>
    <row r="177" spans="1:3">
      <c r="A177" s="301">
        <v>41947.152777777781</v>
      </c>
      <c r="B177">
        <v>20.6</v>
      </c>
      <c r="C177">
        <v>40.78</v>
      </c>
    </row>
    <row r="178" spans="1:3">
      <c r="A178" s="301">
        <v>41947.15625</v>
      </c>
      <c r="B178">
        <v>20.61</v>
      </c>
      <c r="C178">
        <v>40.950000000000003</v>
      </c>
    </row>
    <row r="179" spans="1:3">
      <c r="A179" s="301">
        <v>41947.159722222219</v>
      </c>
      <c r="B179">
        <v>20.6</v>
      </c>
      <c r="C179">
        <v>41</v>
      </c>
    </row>
    <row r="180" spans="1:3">
      <c r="A180" s="301">
        <v>41947.163194444445</v>
      </c>
      <c r="B180">
        <v>20.61</v>
      </c>
      <c r="C180">
        <v>40.950000000000003</v>
      </c>
    </row>
    <row r="181" spans="1:3">
      <c r="A181" s="301">
        <v>41947.166666666664</v>
      </c>
      <c r="B181">
        <v>20.66</v>
      </c>
      <c r="C181">
        <v>40.76</v>
      </c>
    </row>
    <row r="182" spans="1:3">
      <c r="A182" s="301">
        <v>41947.170138888891</v>
      </c>
      <c r="B182">
        <v>20.68</v>
      </c>
      <c r="C182">
        <v>40.659999999999997</v>
      </c>
    </row>
    <row r="183" spans="1:3">
      <c r="A183" s="301">
        <v>41947.173611111109</v>
      </c>
      <c r="B183">
        <v>20.68</v>
      </c>
      <c r="C183">
        <v>40.78</v>
      </c>
    </row>
    <row r="184" spans="1:3">
      <c r="A184" s="301">
        <v>41947.177083333336</v>
      </c>
      <c r="B184">
        <v>20.69</v>
      </c>
      <c r="C184">
        <v>40.68</v>
      </c>
    </row>
    <row r="185" spans="1:3">
      <c r="A185" s="301">
        <v>41947.180555555555</v>
      </c>
      <c r="B185">
        <v>20.66</v>
      </c>
      <c r="C185">
        <v>40.81</v>
      </c>
    </row>
    <row r="186" spans="1:3">
      <c r="A186" s="301">
        <v>41947.184027777781</v>
      </c>
      <c r="B186">
        <v>20.63</v>
      </c>
      <c r="C186">
        <v>40.78</v>
      </c>
    </row>
    <row r="187" spans="1:3">
      <c r="A187" s="301">
        <v>41947.1875</v>
      </c>
      <c r="B187">
        <v>20.65</v>
      </c>
      <c r="C187">
        <v>40.85</v>
      </c>
    </row>
    <row r="188" spans="1:3">
      <c r="A188" s="301">
        <v>41947.190972222219</v>
      </c>
      <c r="B188">
        <v>20.6</v>
      </c>
      <c r="C188">
        <v>40.81</v>
      </c>
    </row>
    <row r="189" spans="1:3">
      <c r="A189" s="301">
        <v>41947.194444444445</v>
      </c>
      <c r="B189">
        <v>20.6</v>
      </c>
      <c r="C189">
        <v>40.68</v>
      </c>
    </row>
    <row r="190" spans="1:3">
      <c r="A190" s="301">
        <v>41947.197916666664</v>
      </c>
      <c r="B190">
        <v>20.62</v>
      </c>
      <c r="C190">
        <v>40.729999999999997</v>
      </c>
    </row>
    <row r="191" spans="1:3">
      <c r="A191" s="301">
        <v>41947.201388888891</v>
      </c>
      <c r="B191">
        <v>20.68</v>
      </c>
      <c r="C191">
        <v>40.659999999999997</v>
      </c>
    </row>
    <row r="192" spans="1:3">
      <c r="A192" s="301">
        <v>41947.204861111109</v>
      </c>
      <c r="B192">
        <v>20.69</v>
      </c>
      <c r="C192">
        <v>40.81</v>
      </c>
    </row>
    <row r="193" spans="1:3">
      <c r="A193" s="301">
        <v>41947.208333333336</v>
      </c>
      <c r="B193">
        <v>20.58</v>
      </c>
      <c r="C193">
        <v>40.950000000000003</v>
      </c>
    </row>
    <row r="194" spans="1:3">
      <c r="A194" s="301">
        <v>41947.211805555555</v>
      </c>
      <c r="B194">
        <v>20.62</v>
      </c>
      <c r="C194">
        <v>40.729999999999997</v>
      </c>
    </row>
    <row r="195" spans="1:3">
      <c r="A195" s="301">
        <v>41947.215277777781</v>
      </c>
      <c r="B195">
        <v>20.61</v>
      </c>
      <c r="C195">
        <v>40.78</v>
      </c>
    </row>
    <row r="196" spans="1:3">
      <c r="A196" s="301">
        <v>41947.21875</v>
      </c>
      <c r="B196">
        <v>20.57</v>
      </c>
      <c r="C196">
        <v>40.61</v>
      </c>
    </row>
    <row r="197" spans="1:3">
      <c r="A197" s="301">
        <v>41947.222222222219</v>
      </c>
      <c r="B197">
        <v>20.58</v>
      </c>
      <c r="C197">
        <v>40.61</v>
      </c>
    </row>
    <row r="198" spans="1:3">
      <c r="A198" s="301">
        <v>41947.225694444445</v>
      </c>
      <c r="B198">
        <v>20.56</v>
      </c>
      <c r="C198">
        <v>40.659999999999997</v>
      </c>
    </row>
    <row r="199" spans="1:3">
      <c r="A199" s="301">
        <v>41947.229166666664</v>
      </c>
      <c r="B199">
        <v>20.55</v>
      </c>
      <c r="C199">
        <v>40.78</v>
      </c>
    </row>
    <row r="200" spans="1:3">
      <c r="A200" s="301">
        <v>41947.232638888891</v>
      </c>
      <c r="B200">
        <v>20.6</v>
      </c>
      <c r="C200">
        <v>40.81</v>
      </c>
    </row>
    <row r="201" spans="1:3">
      <c r="A201" s="301">
        <v>41947.236111111109</v>
      </c>
      <c r="B201">
        <v>20.61</v>
      </c>
      <c r="C201">
        <v>40.78</v>
      </c>
    </row>
    <row r="202" spans="1:3">
      <c r="A202" s="301">
        <v>41947.239583333336</v>
      </c>
      <c r="B202">
        <v>20.62</v>
      </c>
      <c r="C202">
        <v>40.729999999999997</v>
      </c>
    </row>
    <row r="203" spans="1:3">
      <c r="A203" s="301">
        <v>41947.243055555555</v>
      </c>
      <c r="B203">
        <v>20.55</v>
      </c>
      <c r="C203">
        <v>40.659999999999997</v>
      </c>
    </row>
    <row r="204" spans="1:3">
      <c r="A204" s="301">
        <v>41947.246527777781</v>
      </c>
      <c r="B204">
        <v>20.57</v>
      </c>
      <c r="C204">
        <v>40.630000000000003</v>
      </c>
    </row>
    <row r="205" spans="1:3">
      <c r="A205" s="301">
        <v>41947.25</v>
      </c>
      <c r="B205">
        <v>20.63</v>
      </c>
      <c r="C205">
        <v>40.61</v>
      </c>
    </row>
    <row r="206" spans="1:3">
      <c r="A206" s="301">
        <v>41947.253472222219</v>
      </c>
      <c r="B206">
        <v>20.58</v>
      </c>
      <c r="C206">
        <v>40.85</v>
      </c>
    </row>
    <row r="207" spans="1:3">
      <c r="A207" s="301">
        <v>41947.256944444445</v>
      </c>
      <c r="B207">
        <v>20.58</v>
      </c>
      <c r="C207">
        <v>40.81</v>
      </c>
    </row>
    <row r="208" spans="1:3">
      <c r="A208" s="301">
        <v>41947.260416666664</v>
      </c>
      <c r="B208">
        <v>20.58</v>
      </c>
      <c r="C208">
        <v>40.729999999999997</v>
      </c>
    </row>
    <row r="209" spans="1:3">
      <c r="A209" s="301">
        <v>41947.263888888891</v>
      </c>
      <c r="B209">
        <v>20.57</v>
      </c>
      <c r="C209">
        <v>40.729999999999997</v>
      </c>
    </row>
    <row r="210" spans="1:3">
      <c r="A210" s="301">
        <v>41947.267361111109</v>
      </c>
      <c r="B210">
        <v>20.63</v>
      </c>
      <c r="C210">
        <v>40.61</v>
      </c>
    </row>
    <row r="211" spans="1:3">
      <c r="A211" s="301">
        <v>41947.270833333336</v>
      </c>
      <c r="B211">
        <v>20.62</v>
      </c>
      <c r="C211">
        <v>40.81</v>
      </c>
    </row>
    <row r="212" spans="1:3">
      <c r="A212" s="301">
        <v>41947.274305555555</v>
      </c>
      <c r="B212">
        <v>20.61</v>
      </c>
      <c r="C212">
        <v>40.81</v>
      </c>
    </row>
    <row r="213" spans="1:3">
      <c r="A213" s="301">
        <v>41947.277777777781</v>
      </c>
      <c r="B213">
        <v>20.57</v>
      </c>
      <c r="C213">
        <v>40.9</v>
      </c>
    </row>
    <row r="214" spans="1:3">
      <c r="A214" s="301">
        <v>41947.28125</v>
      </c>
      <c r="B214">
        <v>20.53</v>
      </c>
      <c r="C214">
        <v>40.83</v>
      </c>
    </row>
    <row r="215" spans="1:3">
      <c r="A215" s="301">
        <v>41947.284722222219</v>
      </c>
      <c r="B215">
        <v>20.51</v>
      </c>
      <c r="C215">
        <v>40.76</v>
      </c>
    </row>
    <row r="216" spans="1:3">
      <c r="A216" s="301">
        <v>41947.288194444445</v>
      </c>
      <c r="B216">
        <v>20.58</v>
      </c>
      <c r="C216">
        <v>40.630000000000003</v>
      </c>
    </row>
    <row r="217" spans="1:3">
      <c r="A217" s="301">
        <v>41947.291666666664</v>
      </c>
      <c r="B217">
        <v>20.63</v>
      </c>
      <c r="C217">
        <v>40.630000000000003</v>
      </c>
    </row>
    <row r="218" spans="1:3">
      <c r="A218" s="301">
        <v>41947.295138888891</v>
      </c>
      <c r="B218">
        <v>20.62</v>
      </c>
      <c r="C218">
        <v>40.56</v>
      </c>
    </row>
    <row r="219" spans="1:3">
      <c r="A219" s="301">
        <v>41947.298611111109</v>
      </c>
      <c r="B219">
        <v>20.56</v>
      </c>
      <c r="C219">
        <v>40.83</v>
      </c>
    </row>
    <row r="220" spans="1:3">
      <c r="A220" s="301">
        <v>41947.302083333336</v>
      </c>
      <c r="B220">
        <v>20.62</v>
      </c>
      <c r="C220">
        <v>40.630000000000003</v>
      </c>
    </row>
    <row r="221" spans="1:3">
      <c r="A221" s="301">
        <v>41947.305555555555</v>
      </c>
      <c r="B221">
        <v>20.58</v>
      </c>
      <c r="C221">
        <v>40.659999999999997</v>
      </c>
    </row>
    <row r="222" spans="1:3">
      <c r="A222" s="301">
        <v>41947.309027777781</v>
      </c>
      <c r="B222">
        <v>20.58</v>
      </c>
      <c r="C222">
        <v>40.58</v>
      </c>
    </row>
    <row r="223" spans="1:3">
      <c r="A223" s="301">
        <v>41947.3125</v>
      </c>
      <c r="B223">
        <v>20.57</v>
      </c>
      <c r="C223">
        <v>40.61</v>
      </c>
    </row>
    <row r="224" spans="1:3">
      <c r="A224" s="301">
        <v>41947.315972222219</v>
      </c>
      <c r="B224">
        <v>20.56</v>
      </c>
      <c r="C224">
        <v>40.76</v>
      </c>
    </row>
    <row r="225" spans="1:3">
      <c r="A225" s="301">
        <v>41947.319444444445</v>
      </c>
      <c r="B225">
        <v>20.57</v>
      </c>
      <c r="C225">
        <v>40.81</v>
      </c>
    </row>
    <row r="226" spans="1:3">
      <c r="A226" s="301">
        <v>41947.322916666664</v>
      </c>
      <c r="B226">
        <v>20.57</v>
      </c>
      <c r="C226">
        <v>40.880000000000003</v>
      </c>
    </row>
    <row r="227" spans="1:3">
      <c r="A227" s="301">
        <v>41947.326388888891</v>
      </c>
      <c r="B227">
        <v>20.61</v>
      </c>
      <c r="C227">
        <v>40.76</v>
      </c>
    </row>
    <row r="228" spans="1:3">
      <c r="A228" s="301">
        <v>41947.329861111109</v>
      </c>
      <c r="B228">
        <v>20.57</v>
      </c>
      <c r="C228">
        <v>40.76</v>
      </c>
    </row>
    <row r="229" spans="1:3">
      <c r="A229" s="301">
        <v>41947.333333333336</v>
      </c>
      <c r="B229">
        <v>20.53</v>
      </c>
      <c r="C229">
        <v>40.81</v>
      </c>
    </row>
    <row r="230" spans="1:3">
      <c r="A230" s="301">
        <v>41947.336805555555</v>
      </c>
      <c r="B230">
        <v>20.49</v>
      </c>
      <c r="C230">
        <v>40.81</v>
      </c>
    </row>
    <row r="231" spans="1:3">
      <c r="A231" s="301">
        <v>41947.340277777781</v>
      </c>
      <c r="B231">
        <v>20.440000000000001</v>
      </c>
      <c r="C231">
        <v>41.03</v>
      </c>
    </row>
    <row r="232" spans="1:3">
      <c r="A232" s="301">
        <v>41947.34375</v>
      </c>
      <c r="B232">
        <v>20.5</v>
      </c>
      <c r="C232">
        <v>40.85</v>
      </c>
    </row>
    <row r="233" spans="1:3">
      <c r="A233" s="301">
        <v>41947.347222222219</v>
      </c>
      <c r="B233">
        <v>20.55</v>
      </c>
      <c r="C233">
        <v>40.78</v>
      </c>
    </row>
    <row r="234" spans="1:3">
      <c r="A234" s="301">
        <v>41947.350694444445</v>
      </c>
      <c r="B234">
        <v>20.53</v>
      </c>
      <c r="C234">
        <v>40.659999999999997</v>
      </c>
    </row>
    <row r="235" spans="1:3">
      <c r="A235" s="301">
        <v>41947.354166666664</v>
      </c>
      <c r="B235">
        <v>20.6</v>
      </c>
      <c r="C235">
        <v>40.659999999999997</v>
      </c>
    </row>
    <row r="236" spans="1:3">
      <c r="A236" s="301">
        <v>41947.357638888891</v>
      </c>
      <c r="B236">
        <v>20.56</v>
      </c>
      <c r="C236">
        <v>40.78</v>
      </c>
    </row>
    <row r="237" spans="1:3">
      <c r="A237" s="301">
        <v>41947.361111111109</v>
      </c>
      <c r="B237">
        <v>20.55</v>
      </c>
      <c r="C237">
        <v>40.9</v>
      </c>
    </row>
    <row r="238" spans="1:3">
      <c r="A238" s="301">
        <v>41947.364583333336</v>
      </c>
      <c r="B238">
        <v>20.52</v>
      </c>
      <c r="C238">
        <v>41.03</v>
      </c>
    </row>
    <row r="239" spans="1:3">
      <c r="A239" s="301">
        <v>41947.368055555555</v>
      </c>
      <c r="B239">
        <v>20.56</v>
      </c>
      <c r="C239">
        <v>40.81</v>
      </c>
    </row>
    <row r="240" spans="1:3">
      <c r="A240" s="301">
        <v>41947.371527777781</v>
      </c>
      <c r="B240">
        <v>20.61</v>
      </c>
      <c r="C240">
        <v>40.83</v>
      </c>
    </row>
    <row r="241" spans="1:3">
      <c r="A241" s="301">
        <v>41947.375</v>
      </c>
      <c r="B241">
        <v>20.6</v>
      </c>
      <c r="C241">
        <v>40.950000000000003</v>
      </c>
    </row>
    <row r="242" spans="1:3">
      <c r="A242" s="301">
        <v>41947.378472222219</v>
      </c>
      <c r="B242">
        <v>20.66</v>
      </c>
      <c r="C242">
        <v>40.81</v>
      </c>
    </row>
    <row r="243" spans="1:3">
      <c r="A243" s="301">
        <v>41947.381944444445</v>
      </c>
      <c r="B243">
        <v>20.68</v>
      </c>
      <c r="C243">
        <v>40.71</v>
      </c>
    </row>
    <row r="244" spans="1:3">
      <c r="A244" s="301">
        <v>41947.385416666664</v>
      </c>
      <c r="B244">
        <v>20.65</v>
      </c>
      <c r="C244">
        <v>40.61</v>
      </c>
    </row>
    <row r="245" spans="1:3">
      <c r="A245" s="301">
        <v>41947.388888888891</v>
      </c>
      <c r="B245">
        <v>20.56</v>
      </c>
      <c r="C245">
        <v>40.93</v>
      </c>
    </row>
    <row r="246" spans="1:3">
      <c r="A246" s="301">
        <v>41947.392361111109</v>
      </c>
      <c r="B246">
        <v>20.56</v>
      </c>
      <c r="C246">
        <v>41.03</v>
      </c>
    </row>
    <row r="247" spans="1:3">
      <c r="A247" s="301">
        <v>41947.395833333336</v>
      </c>
      <c r="B247">
        <v>20.57</v>
      </c>
      <c r="C247">
        <v>41.15</v>
      </c>
    </row>
    <row r="248" spans="1:3">
      <c r="A248" s="301">
        <v>41947.399305555555</v>
      </c>
      <c r="B248">
        <v>20.58</v>
      </c>
      <c r="C248">
        <v>40.81</v>
      </c>
    </row>
    <row r="249" spans="1:3">
      <c r="A249" s="301">
        <v>41947.402777777781</v>
      </c>
      <c r="B249">
        <v>20.55</v>
      </c>
      <c r="C249">
        <v>40.61</v>
      </c>
    </row>
    <row r="250" spans="1:3">
      <c r="A250" s="301">
        <v>41947.40625</v>
      </c>
      <c r="B250">
        <v>20.399999999999999</v>
      </c>
      <c r="C250">
        <v>40.9</v>
      </c>
    </row>
    <row r="251" spans="1:3">
      <c r="A251" s="301">
        <v>41947.409722222219</v>
      </c>
      <c r="B251">
        <v>20.55</v>
      </c>
      <c r="C251">
        <v>41.03</v>
      </c>
    </row>
    <row r="252" spans="1:3">
      <c r="A252" s="301">
        <v>41947.413194444445</v>
      </c>
      <c r="B252">
        <v>20.52</v>
      </c>
      <c r="C252">
        <v>41.2</v>
      </c>
    </row>
    <row r="253" spans="1:3">
      <c r="A253" s="301">
        <v>41947.416666666664</v>
      </c>
      <c r="B253">
        <v>20.56</v>
      </c>
      <c r="C253">
        <v>41.12</v>
      </c>
    </row>
    <row r="254" spans="1:3">
      <c r="A254" s="301">
        <v>41947.420138888891</v>
      </c>
      <c r="B254">
        <v>20.56</v>
      </c>
      <c r="C254">
        <v>40.98</v>
      </c>
    </row>
    <row r="255" spans="1:3">
      <c r="A255" s="301">
        <v>41947.423611111109</v>
      </c>
      <c r="B255">
        <v>20.56</v>
      </c>
      <c r="C255">
        <v>40.950000000000003</v>
      </c>
    </row>
    <row r="256" spans="1:3">
      <c r="A256" s="301">
        <v>41947.427083333336</v>
      </c>
      <c r="B256">
        <v>20.56</v>
      </c>
      <c r="C256">
        <v>41</v>
      </c>
    </row>
    <row r="257" spans="1:3">
      <c r="A257" s="301">
        <v>41947.430555555555</v>
      </c>
      <c r="B257">
        <v>20.65</v>
      </c>
      <c r="C257">
        <v>41</v>
      </c>
    </row>
    <row r="258" spans="1:3">
      <c r="A258" s="301">
        <v>41947.434027777781</v>
      </c>
      <c r="B258">
        <v>20.56</v>
      </c>
      <c r="C258">
        <v>41.12</v>
      </c>
    </row>
    <row r="259" spans="1:3">
      <c r="A259" s="301">
        <v>41947.4375</v>
      </c>
      <c r="B259">
        <v>20.6</v>
      </c>
      <c r="C259">
        <v>41.12</v>
      </c>
    </row>
    <row r="260" spans="1:3">
      <c r="A260" s="301">
        <v>41947.440972222219</v>
      </c>
      <c r="B260">
        <v>20.55</v>
      </c>
      <c r="C260">
        <v>41.17</v>
      </c>
    </row>
    <row r="261" spans="1:3">
      <c r="A261" s="301">
        <v>41947.444444444445</v>
      </c>
      <c r="B261">
        <v>20.56</v>
      </c>
      <c r="C261">
        <v>41.25</v>
      </c>
    </row>
    <row r="262" spans="1:3">
      <c r="A262" s="301">
        <v>41947.447916666664</v>
      </c>
      <c r="B262">
        <v>20.6</v>
      </c>
      <c r="C262">
        <v>41.1</v>
      </c>
    </row>
    <row r="263" spans="1:3">
      <c r="A263" s="301">
        <v>41947.451388888891</v>
      </c>
      <c r="B263">
        <v>20.6</v>
      </c>
      <c r="C263">
        <v>41</v>
      </c>
    </row>
    <row r="264" spans="1:3">
      <c r="A264" s="301">
        <v>41947.454861111109</v>
      </c>
      <c r="B264">
        <v>20.6</v>
      </c>
      <c r="C264">
        <v>40.98</v>
      </c>
    </row>
    <row r="265" spans="1:3">
      <c r="A265" s="301">
        <v>41947.458333333336</v>
      </c>
      <c r="B265">
        <v>20.53</v>
      </c>
      <c r="C265">
        <v>41.25</v>
      </c>
    </row>
    <row r="266" spans="1:3">
      <c r="A266" s="301">
        <v>41947.461805555555</v>
      </c>
      <c r="B266">
        <v>20.52</v>
      </c>
      <c r="C266">
        <v>41.2</v>
      </c>
    </row>
    <row r="267" spans="1:3">
      <c r="A267" s="301">
        <v>41947.465277777781</v>
      </c>
      <c r="B267">
        <v>20.46</v>
      </c>
      <c r="C267">
        <v>41.07</v>
      </c>
    </row>
    <row r="268" spans="1:3">
      <c r="A268" s="301">
        <v>41947.46875</v>
      </c>
      <c r="B268">
        <v>20.440000000000001</v>
      </c>
      <c r="C268">
        <v>41.03</v>
      </c>
    </row>
    <row r="269" spans="1:3">
      <c r="A269" s="301">
        <v>41947.472222222219</v>
      </c>
      <c r="B269">
        <v>20.399999999999999</v>
      </c>
      <c r="C269">
        <v>41.22</v>
      </c>
    </row>
    <row r="270" spans="1:3">
      <c r="A270" s="301">
        <v>41947.475694444445</v>
      </c>
      <c r="B270">
        <v>20.41</v>
      </c>
      <c r="C270">
        <v>41.44</v>
      </c>
    </row>
    <row r="271" spans="1:3">
      <c r="A271" s="301">
        <v>41947.479166666664</v>
      </c>
      <c r="B271">
        <v>20.41</v>
      </c>
      <c r="C271">
        <v>41.64</v>
      </c>
    </row>
    <row r="272" spans="1:3">
      <c r="A272" s="301">
        <v>41947.482638888891</v>
      </c>
      <c r="B272">
        <v>20.45</v>
      </c>
      <c r="C272">
        <v>41.69</v>
      </c>
    </row>
    <row r="273" spans="1:3">
      <c r="A273" s="301">
        <v>41947.486111111109</v>
      </c>
      <c r="B273">
        <v>20.49</v>
      </c>
      <c r="C273">
        <v>41.66</v>
      </c>
    </row>
    <row r="274" spans="1:3">
      <c r="A274" s="301">
        <v>41947.489583333336</v>
      </c>
      <c r="B274">
        <v>20.440000000000001</v>
      </c>
      <c r="C274">
        <v>41.69</v>
      </c>
    </row>
    <row r="275" spans="1:3">
      <c r="A275" s="301">
        <v>41947.493055555555</v>
      </c>
      <c r="B275">
        <v>20.399999999999999</v>
      </c>
      <c r="C275">
        <v>41.96</v>
      </c>
    </row>
    <row r="276" spans="1:3">
      <c r="A276" s="301">
        <v>41947.496527777781</v>
      </c>
      <c r="B276">
        <v>20.399999999999999</v>
      </c>
      <c r="C276">
        <v>42.11</v>
      </c>
    </row>
    <row r="277" spans="1:3">
      <c r="A277" s="301">
        <v>41947.5</v>
      </c>
      <c r="B277">
        <v>20.39</v>
      </c>
      <c r="C277">
        <v>41.91</v>
      </c>
    </row>
    <row r="278" spans="1:3">
      <c r="A278" s="301">
        <v>41947.503472222219</v>
      </c>
      <c r="B278">
        <v>20.38</v>
      </c>
      <c r="C278">
        <v>41.91</v>
      </c>
    </row>
    <row r="279" spans="1:3">
      <c r="A279" s="301">
        <v>41947.506944444445</v>
      </c>
      <c r="B279">
        <v>20.350000000000001</v>
      </c>
      <c r="C279">
        <v>41.84</v>
      </c>
    </row>
    <row r="280" spans="1:3">
      <c r="A280" s="301">
        <v>41947.510416666664</v>
      </c>
      <c r="B280">
        <v>20.350000000000001</v>
      </c>
      <c r="C280">
        <v>42.15</v>
      </c>
    </row>
    <row r="281" spans="1:3">
      <c r="A281" s="301">
        <v>41947.513888888891</v>
      </c>
      <c r="B281">
        <v>20.34</v>
      </c>
      <c r="C281">
        <v>41.61</v>
      </c>
    </row>
    <row r="282" spans="1:3">
      <c r="A282" s="301">
        <v>41947.517361111109</v>
      </c>
      <c r="B282">
        <v>20.29</v>
      </c>
      <c r="C282">
        <v>41.93</v>
      </c>
    </row>
    <row r="283" spans="1:3">
      <c r="A283" s="301">
        <v>41947.520833333336</v>
      </c>
      <c r="B283">
        <v>20.29</v>
      </c>
      <c r="C283">
        <v>41.91</v>
      </c>
    </row>
    <row r="284" spans="1:3">
      <c r="A284" s="301">
        <v>41947.524305555555</v>
      </c>
      <c r="B284">
        <v>20.329999999999998</v>
      </c>
      <c r="C284">
        <v>41.79</v>
      </c>
    </row>
    <row r="285" spans="1:3">
      <c r="A285" s="301">
        <v>41947.527777777781</v>
      </c>
      <c r="B285">
        <v>20.34</v>
      </c>
      <c r="C285">
        <v>41.88</v>
      </c>
    </row>
    <row r="286" spans="1:3">
      <c r="A286" s="301">
        <v>41947.53125</v>
      </c>
      <c r="B286">
        <v>20.34</v>
      </c>
      <c r="C286">
        <v>41.93</v>
      </c>
    </row>
    <row r="287" spans="1:3">
      <c r="A287" s="301">
        <v>41947.534722222219</v>
      </c>
      <c r="B287">
        <v>20.38</v>
      </c>
      <c r="C287">
        <v>41.96</v>
      </c>
    </row>
    <row r="288" spans="1:3">
      <c r="A288" s="301">
        <v>41947.538194444445</v>
      </c>
      <c r="B288">
        <v>20.309999999999999</v>
      </c>
      <c r="C288">
        <v>41.86</v>
      </c>
    </row>
    <row r="289" spans="1:3">
      <c r="A289" s="301">
        <v>41947.541666666664</v>
      </c>
      <c r="B289">
        <v>20.329999999999998</v>
      </c>
      <c r="C289">
        <v>41.86</v>
      </c>
    </row>
    <row r="290" spans="1:3">
      <c r="A290" s="301">
        <v>41947.545138888891</v>
      </c>
      <c r="B290">
        <v>20.3</v>
      </c>
      <c r="C290">
        <v>41.79</v>
      </c>
    </row>
    <row r="291" spans="1:3">
      <c r="A291" s="301">
        <v>41947.548611111109</v>
      </c>
      <c r="B291">
        <v>20.28</v>
      </c>
      <c r="C291">
        <v>42.15</v>
      </c>
    </row>
    <row r="292" spans="1:3">
      <c r="A292" s="301">
        <v>41947.552083333336</v>
      </c>
      <c r="B292">
        <v>20.29</v>
      </c>
      <c r="C292">
        <v>41.88</v>
      </c>
    </row>
    <row r="293" spans="1:3">
      <c r="A293" s="301">
        <v>41947.555555555555</v>
      </c>
      <c r="B293">
        <v>20.3</v>
      </c>
      <c r="C293">
        <v>42.13</v>
      </c>
    </row>
    <row r="294" spans="1:3">
      <c r="A294" s="301">
        <v>41947.559027777781</v>
      </c>
      <c r="B294">
        <v>20.329999999999998</v>
      </c>
      <c r="C294">
        <v>41.88</v>
      </c>
    </row>
    <row r="295" spans="1:3">
      <c r="A295" s="301">
        <v>41947.5625</v>
      </c>
      <c r="B295">
        <v>20.399999999999999</v>
      </c>
      <c r="C295">
        <v>41.98</v>
      </c>
    </row>
    <row r="296" spans="1:3">
      <c r="A296" s="301">
        <v>41947.565972222219</v>
      </c>
      <c r="B296">
        <v>20.420000000000002</v>
      </c>
      <c r="C296">
        <v>41.76</v>
      </c>
    </row>
    <row r="297" spans="1:3">
      <c r="A297" s="301">
        <v>41947.569444444445</v>
      </c>
      <c r="B297">
        <v>20.41</v>
      </c>
      <c r="C297">
        <v>41.98</v>
      </c>
    </row>
    <row r="298" spans="1:3">
      <c r="A298" s="301">
        <v>41947.572916666664</v>
      </c>
      <c r="B298">
        <v>20.399999999999999</v>
      </c>
      <c r="C298">
        <v>41.86</v>
      </c>
    </row>
    <row r="299" spans="1:3">
      <c r="A299" s="301">
        <v>41947.576388888891</v>
      </c>
      <c r="B299">
        <v>20.41</v>
      </c>
      <c r="C299">
        <v>42.03</v>
      </c>
    </row>
    <row r="300" spans="1:3">
      <c r="A300" s="301">
        <v>41947.579861111109</v>
      </c>
      <c r="B300">
        <v>20.39</v>
      </c>
      <c r="C300">
        <v>41.93</v>
      </c>
    </row>
    <row r="301" spans="1:3">
      <c r="A301" s="301">
        <v>41947.583333333336</v>
      </c>
      <c r="B301">
        <v>20.420000000000002</v>
      </c>
      <c r="C301">
        <v>41.96</v>
      </c>
    </row>
    <row r="302" spans="1:3">
      <c r="A302" s="301">
        <v>41947.586805555555</v>
      </c>
      <c r="B302">
        <v>20.420000000000002</v>
      </c>
      <c r="C302">
        <v>41.91</v>
      </c>
    </row>
    <row r="303" spans="1:3">
      <c r="A303" s="301">
        <v>41947.590277777781</v>
      </c>
      <c r="B303">
        <v>20.41</v>
      </c>
      <c r="C303">
        <v>42.25</v>
      </c>
    </row>
    <row r="304" spans="1:3">
      <c r="A304" s="301">
        <v>41947.59375</v>
      </c>
      <c r="B304">
        <v>20.420000000000002</v>
      </c>
      <c r="C304">
        <v>41.86</v>
      </c>
    </row>
    <row r="305" spans="1:3">
      <c r="A305" s="301">
        <v>41947.597222222219</v>
      </c>
      <c r="B305">
        <v>20.45</v>
      </c>
      <c r="C305">
        <v>42.03</v>
      </c>
    </row>
    <row r="306" spans="1:3">
      <c r="A306" s="301">
        <v>41947.600694444445</v>
      </c>
      <c r="B306">
        <v>20.399999999999999</v>
      </c>
      <c r="C306">
        <v>42.03</v>
      </c>
    </row>
    <row r="307" spans="1:3">
      <c r="A307" s="301">
        <v>41947.604166666664</v>
      </c>
      <c r="B307">
        <v>20.39</v>
      </c>
      <c r="C307">
        <v>41.88</v>
      </c>
    </row>
    <row r="308" spans="1:3">
      <c r="A308" s="301">
        <v>41947.607638888891</v>
      </c>
      <c r="B308">
        <v>20.420000000000002</v>
      </c>
      <c r="C308">
        <v>41.81</v>
      </c>
    </row>
    <row r="309" spans="1:3">
      <c r="A309" s="301">
        <v>41947.611111111109</v>
      </c>
      <c r="B309">
        <v>20.440000000000001</v>
      </c>
      <c r="C309">
        <v>41.74</v>
      </c>
    </row>
    <row r="310" spans="1:3">
      <c r="A310" s="301">
        <v>41947.614583333336</v>
      </c>
      <c r="B310">
        <v>20.399999999999999</v>
      </c>
      <c r="C310">
        <v>41.84</v>
      </c>
    </row>
    <row r="311" spans="1:3">
      <c r="A311" s="301">
        <v>41947.618055555555</v>
      </c>
      <c r="B311">
        <v>20.350000000000001</v>
      </c>
      <c r="C311">
        <v>41.74</v>
      </c>
    </row>
    <row r="312" spans="1:3">
      <c r="A312" s="301">
        <v>41947.621527777781</v>
      </c>
      <c r="B312">
        <v>20.309999999999999</v>
      </c>
      <c r="C312">
        <v>41.88</v>
      </c>
    </row>
    <row r="313" spans="1:3">
      <c r="A313" s="301">
        <v>41947.625</v>
      </c>
      <c r="B313">
        <v>20.41</v>
      </c>
      <c r="C313">
        <v>41.88</v>
      </c>
    </row>
    <row r="314" spans="1:3">
      <c r="A314" s="301">
        <v>41947.628472222219</v>
      </c>
      <c r="B314">
        <v>20.309999999999999</v>
      </c>
      <c r="C314">
        <v>42.15</v>
      </c>
    </row>
    <row r="315" spans="1:3">
      <c r="A315" s="301">
        <v>41947.631944444445</v>
      </c>
      <c r="B315">
        <v>20.36</v>
      </c>
      <c r="C315">
        <v>41.93</v>
      </c>
    </row>
    <row r="316" spans="1:3">
      <c r="A316" s="301">
        <v>41947.635416666664</v>
      </c>
      <c r="B316">
        <v>20.3</v>
      </c>
      <c r="C316">
        <v>41.81</v>
      </c>
    </row>
    <row r="317" spans="1:3">
      <c r="A317" s="301">
        <v>41947.638888888891</v>
      </c>
      <c r="B317">
        <v>20.27</v>
      </c>
      <c r="C317">
        <v>41.91</v>
      </c>
    </row>
    <row r="318" spans="1:3">
      <c r="A318" s="301">
        <v>41947.642361111109</v>
      </c>
      <c r="B318">
        <v>20.350000000000001</v>
      </c>
      <c r="C318">
        <v>42.15</v>
      </c>
    </row>
    <row r="319" spans="1:3">
      <c r="A319" s="301">
        <v>41947.645833333336</v>
      </c>
      <c r="B319">
        <v>20.420000000000002</v>
      </c>
      <c r="C319">
        <v>42.18</v>
      </c>
    </row>
    <row r="320" spans="1:3">
      <c r="A320" s="301">
        <v>41947.649305555555</v>
      </c>
      <c r="B320">
        <v>20.399999999999999</v>
      </c>
      <c r="C320">
        <v>42.01</v>
      </c>
    </row>
    <row r="321" spans="1:3">
      <c r="A321" s="301">
        <v>41947.652777777781</v>
      </c>
      <c r="B321">
        <v>20.440000000000001</v>
      </c>
      <c r="C321">
        <v>41.88</v>
      </c>
    </row>
    <row r="322" spans="1:3">
      <c r="A322" s="301">
        <v>41947.65625</v>
      </c>
      <c r="B322">
        <v>20.52</v>
      </c>
      <c r="C322">
        <v>42.06</v>
      </c>
    </row>
    <row r="323" spans="1:3">
      <c r="A323" s="301">
        <v>41947.659722222219</v>
      </c>
      <c r="B323">
        <v>20.49</v>
      </c>
      <c r="C323">
        <v>42.33</v>
      </c>
    </row>
    <row r="324" spans="1:3">
      <c r="A324" s="301">
        <v>41947.663194444445</v>
      </c>
      <c r="B324">
        <v>20.399999999999999</v>
      </c>
      <c r="C324">
        <v>42.28</v>
      </c>
    </row>
    <row r="325" spans="1:3">
      <c r="A325" s="301">
        <v>41947.666666666664</v>
      </c>
      <c r="B325">
        <v>20.39</v>
      </c>
      <c r="C325">
        <v>42.18</v>
      </c>
    </row>
    <row r="326" spans="1:3">
      <c r="A326" s="301">
        <v>41947.670138888891</v>
      </c>
      <c r="B326">
        <v>20.39</v>
      </c>
      <c r="C326">
        <v>42.42</v>
      </c>
    </row>
    <row r="327" spans="1:3">
      <c r="A327" s="301">
        <v>41947.673611111109</v>
      </c>
      <c r="B327">
        <v>20.39</v>
      </c>
      <c r="C327">
        <v>42.25</v>
      </c>
    </row>
    <row r="328" spans="1:3">
      <c r="A328" s="301">
        <v>41947.677083333336</v>
      </c>
      <c r="B328">
        <v>20.420000000000002</v>
      </c>
      <c r="C328">
        <v>42.08</v>
      </c>
    </row>
    <row r="329" spans="1:3">
      <c r="A329" s="301">
        <v>41947.680555555555</v>
      </c>
      <c r="B329">
        <v>20.399999999999999</v>
      </c>
      <c r="C329">
        <v>42.25</v>
      </c>
    </row>
    <row r="330" spans="1:3">
      <c r="A330" s="301">
        <v>41947.684027777781</v>
      </c>
      <c r="B330">
        <v>20.39</v>
      </c>
      <c r="C330">
        <v>42.18</v>
      </c>
    </row>
    <row r="331" spans="1:3">
      <c r="A331" s="301">
        <v>41947.6875</v>
      </c>
      <c r="B331">
        <v>20.399999999999999</v>
      </c>
      <c r="C331">
        <v>42.08</v>
      </c>
    </row>
    <row r="332" spans="1:3">
      <c r="A332" s="301">
        <v>41947.690972222219</v>
      </c>
      <c r="B332">
        <v>20.39</v>
      </c>
      <c r="C332">
        <v>42.06</v>
      </c>
    </row>
    <row r="333" spans="1:3">
      <c r="A333" s="301">
        <v>41947.694444444445</v>
      </c>
      <c r="B333">
        <v>20.399999999999999</v>
      </c>
      <c r="C333">
        <v>42.01</v>
      </c>
    </row>
    <row r="334" spans="1:3">
      <c r="A334" s="301">
        <v>41947.697916666664</v>
      </c>
      <c r="B334">
        <v>20.38</v>
      </c>
      <c r="C334">
        <v>42.18</v>
      </c>
    </row>
    <row r="335" spans="1:3">
      <c r="A335" s="301">
        <v>41947.701388888891</v>
      </c>
      <c r="B335">
        <v>20.39</v>
      </c>
      <c r="C335">
        <v>42.2</v>
      </c>
    </row>
    <row r="336" spans="1:3">
      <c r="A336" s="301">
        <v>41947.704861111109</v>
      </c>
      <c r="B336">
        <v>20.41</v>
      </c>
      <c r="C336">
        <v>42.03</v>
      </c>
    </row>
    <row r="337" spans="1:3">
      <c r="A337" s="301">
        <v>41947.708333333336</v>
      </c>
      <c r="B337">
        <v>20.329999999999998</v>
      </c>
      <c r="C337">
        <v>42.25</v>
      </c>
    </row>
    <row r="339" spans="1:3">
      <c r="C339">
        <f>AVERAGE(C1:C337)</f>
        <v>41.664094955489617</v>
      </c>
    </row>
    <row r="340" spans="1:3">
      <c r="C340">
        <f>STDEV(C1:C337)</f>
        <v>0.7565907810727267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36</vt:i4>
      </vt:variant>
    </vt:vector>
  </HeadingPairs>
  <TitlesOfParts>
    <vt:vector size="48" baseType="lpstr">
      <vt:lpstr>Commentary</vt:lpstr>
      <vt:lpstr>Instructions</vt:lpstr>
      <vt:lpstr>pyUBreadings</vt:lpstr>
      <vt:lpstr>pyUBresults</vt:lpstr>
      <vt:lpstr>pyReport</vt:lpstr>
      <vt:lpstr>Results</vt:lpstr>
      <vt:lpstr>Universal Bridge</vt:lpstr>
      <vt:lpstr>Uncertainty</vt:lpstr>
      <vt:lpstr>Report</vt:lpstr>
      <vt:lpstr>Previous reports</vt:lpstr>
      <vt:lpstr>Sheet1</vt:lpstr>
      <vt:lpstr>Conditions</vt:lpstr>
      <vt:lpstr>alpha</vt:lpstr>
      <vt:lpstr>answers</vt:lpstr>
      <vt:lpstr>beta</vt:lpstr>
      <vt:lpstr>C_1</vt:lpstr>
      <vt:lpstr>CMCFUDGE</vt:lpstr>
      <vt:lpstr>correction_c</vt:lpstr>
      <vt:lpstr>corrections</vt:lpstr>
      <vt:lpstr>Data</vt:lpstr>
      <vt:lpstr>Date</vt:lpstr>
      <vt:lpstr>frequency</vt:lpstr>
      <vt:lpstr>G_1</vt:lpstr>
      <vt:lpstr>G_2</vt:lpstr>
      <vt:lpstr>History</vt:lpstr>
      <vt:lpstr>Inductance</vt:lpstr>
      <vt:lpstr>L_standard_uncertainty</vt:lpstr>
      <vt:lpstr>L_v</vt:lpstr>
      <vt:lpstr>label</vt:lpstr>
      <vt:lpstr>multiplier</vt:lpstr>
      <vt:lpstr>Nominal_Value</vt:lpstr>
      <vt:lpstr>Old_date</vt:lpstr>
      <vt:lpstr>Old_Inductance</vt:lpstr>
      <vt:lpstr>Old_Resistance</vt:lpstr>
      <vt:lpstr>Params</vt:lpstr>
      <vt:lpstr>Report!Print_Area</vt:lpstr>
      <vt:lpstr>Uncertainty!Print_Area</vt:lpstr>
      <vt:lpstr>R_4A</vt:lpstr>
      <vt:lpstr>R_4B</vt:lpstr>
      <vt:lpstr>R_4C</vt:lpstr>
      <vt:lpstr>R_standard_uncertainty</vt:lpstr>
      <vt:lpstr>R_v</vt:lpstr>
      <vt:lpstr>Range</vt:lpstr>
      <vt:lpstr>Record</vt:lpstr>
      <vt:lpstr>Resistance</vt:lpstr>
      <vt:lpstr>Results</vt:lpstr>
      <vt:lpstr>Uncertainty</vt:lpstr>
      <vt:lpstr>zeros</vt:lpstr>
    </vt:vector>
  </TitlesOfParts>
  <Company>MSL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2020-11-18T00:45:23Z</cp:lastPrinted>
  <dcterms:created xsi:type="dcterms:W3CDTF">1997-03-31T22:38:40Z</dcterms:created>
  <dcterms:modified xsi:type="dcterms:W3CDTF">2021-02-15T20:07:36Z</dcterms:modified>
</cp:coreProperties>
</file>