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KJ\PycharmProjects\UniversalBridge3\spread_sheets\"/>
    </mc:Choice>
  </mc:AlternateContent>
  <xr:revisionPtr revIDLastSave="0" documentId="13_ncr:1_{F8538F94-88A8-4ECE-B82E-86EE7459C81A}" xr6:coauthVersionLast="47" xr6:coauthVersionMax="47" xr10:uidLastSave="{00000000-0000-0000-0000-000000000000}"/>
  <bookViews>
    <workbookView xWindow="-26190" yWindow="255" windowWidth="24765" windowHeight="14430" firstSheet="1" activeTab="4" xr2:uid="{00000000-000D-0000-FFFF-FFFF00000000}"/>
  </bookViews>
  <sheets>
    <sheet name="Commentary" sheetId="12" r:id="rId1"/>
    <sheet name="pyUBreadings" sheetId="21" r:id="rId2"/>
    <sheet name="pyUBresults" sheetId="24" r:id="rId3"/>
    <sheet name="py4284readings" sheetId="22" r:id="rId4"/>
    <sheet name="pyReport" sheetId="25" r:id="rId5"/>
    <sheet name="excelResults" sheetId="4" r:id="rId6"/>
    <sheet name="Universal Bridge" sheetId="5" r:id="rId7"/>
    <sheet name="Uncertainty" sheetId="6" r:id="rId8"/>
    <sheet name="LReport" sheetId="19" r:id="rId9"/>
    <sheet name="LHistory" sheetId="20" r:id="rId10"/>
    <sheet name="RoomLogger" sheetId="15" r:id="rId11"/>
    <sheet name="Report" sheetId="16" r:id="rId12"/>
    <sheet name="AH2700Results" sheetId="13" r:id="rId13"/>
    <sheet name="Range7" sheetId="14" r:id="rId14"/>
    <sheet name="GRhistory" sheetId="17" r:id="rId15"/>
  </sheets>
  <definedNames>
    <definedName name="_xlnm._FilterDatabase" localSheetId="2" hidden="1">pyUBresults!$A$1:$AB$28</definedName>
    <definedName name="alpha">excelResults!$D$8:$D$76</definedName>
    <definedName name="Andeen" comment="AH2700 measurements of loss">AH2700Results!$A$4:$I$43</definedName>
    <definedName name="B_331">#REF!</definedName>
    <definedName name="b_331_uc">#REF!</definedName>
    <definedName name="beta">excelResults!$E$8:$E$76</definedName>
    <definedName name="C_1">'Universal Bridge'!$F$4</definedName>
    <definedName name="C_standard_uncertainty">Uncertainty!$C$24</definedName>
    <definedName name="C_unit_mult">'Universal Bridge'!$H$44:$I$60</definedName>
    <definedName name="correction_c">'Universal Bridge'!$G$12</definedName>
    <definedName name="corrections">'Universal Bridge'!$F$26:$H$39</definedName>
    <definedName name="Data">'Universal Bridge'!$L$2:$T$14</definedName>
    <definedName name="Date">excelResults!$A$6</definedName>
    <definedName name="frequency">excelResults!$J$8:$J$75</definedName>
    <definedName name="G_1">'Universal Bridge'!$F$8</definedName>
    <definedName name="G_2">'Universal Bridge'!$F$9</definedName>
    <definedName name="G_standard_uncertainty">Uncertainty!$C$47</definedName>
    <definedName name="G_unit_mult">'Universal Bridge'!$K$44:$L$60</definedName>
    <definedName name="history">#REF!</definedName>
    <definedName name="Inductance">excelResults!$F$9:$F$28</definedName>
    <definedName name="L_standard_uncertainty">Uncertainty!$C$24</definedName>
    <definedName name="L_v">Uncertainty!$F$24</definedName>
    <definedName name="label">Uncertainty!$B$9</definedName>
    <definedName name="multiplier">'Universal Bridge'!$F$42:$N$55</definedName>
    <definedName name="Nominal_Value">LReport!$B$6:$B$27</definedName>
    <definedName name="NominalValue">LReport!$B$6:$B$27</definedName>
    <definedName name="Old_date">excelResults!$P$6</definedName>
    <definedName name="Old_Inductance">excelResults!$M$7:$M$28</definedName>
    <definedName name="Old_Resistance">excelResults!$P$7:$P$29</definedName>
    <definedName name="Params">Uncertainty!$S$5:$AA$59</definedName>
    <definedName name="_xlnm.Print_Area" localSheetId="11">Report!$L$1:$AD$66</definedName>
    <definedName name="_xlnm.Print_Area" localSheetId="7">Uncertainty!$A$1:$I$82</definedName>
    <definedName name="pyvalues">pyUBresults!$Z$2:$AI$28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v">Uncertainty!$F$47</definedName>
    <definedName name="Range">excelResults!$C$8:$C$77</definedName>
    <definedName name="Rangex">excelResults!$B$9:$Q$68</definedName>
    <definedName name="Record">'Universal Bridge'!$A$5:$C$19</definedName>
    <definedName name="Reports" comment="Old reports">GRhistory!$B$6:$AK$64</definedName>
    <definedName name="Resistance">excelResults!$H$9:$H$28</definedName>
    <definedName name="Results">excelResults!$B$7:$R$68</definedName>
    <definedName name="tag">#REF!</definedName>
    <definedName name="Tap_No">excelResults!#REF!</definedName>
    <definedName name="ub_uncertainty">Uncertainty!$AB$5:$AG$59</definedName>
    <definedName name="Uncertainty">Uncertainty!$T$5:$X$24</definedName>
    <definedName name="zeros">'Universal Bridge'!$Q$20:$S$42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" i="24" l="1"/>
  <c r="F4" i="5" l="1"/>
  <c r="AB4" i="24" l="1"/>
  <c r="AB5" i="24"/>
  <c r="AB6" i="24"/>
  <c r="AB7" i="24"/>
  <c r="AB8" i="24"/>
  <c r="AH8" i="24" s="1"/>
  <c r="AB9" i="24"/>
  <c r="AH9" i="24" s="1"/>
  <c r="AB3" i="24"/>
  <c r="AA4" i="24"/>
  <c r="AA5" i="24"/>
  <c r="AA6" i="24"/>
  <c r="AA7" i="24"/>
  <c r="AA8" i="24"/>
  <c r="AA9" i="24"/>
  <c r="AA3" i="24"/>
  <c r="AF9" i="24"/>
  <c r="AE9" i="24"/>
  <c r="AD9" i="24"/>
  <c r="AC9" i="24"/>
  <c r="AI9" i="24" s="1"/>
  <c r="Z9" i="24"/>
  <c r="Y9" i="24"/>
  <c r="X9" i="24"/>
  <c r="AF8" i="24"/>
  <c r="AE8" i="24"/>
  <c r="AD8" i="24"/>
  <c r="AC8" i="24"/>
  <c r="AI8" i="24" s="1"/>
  <c r="Z8" i="24"/>
  <c r="Y8" i="24"/>
  <c r="X8" i="24"/>
  <c r="AG8" i="24" l="1"/>
  <c r="AG9" i="24"/>
  <c r="B38" i="4"/>
  <c r="B37" i="4"/>
  <c r="S25" i="5"/>
  <c r="R25" i="5"/>
  <c r="Q25" i="5"/>
  <c r="D36" i="4"/>
  <c r="B36" i="4"/>
  <c r="G25" i="19" l="1"/>
  <c r="G26" i="19"/>
  <c r="G27" i="19"/>
  <c r="G24" i="19"/>
  <c r="G23" i="19"/>
  <c r="G17" i="19"/>
  <c r="G18" i="19"/>
  <c r="G19" i="19"/>
  <c r="G20" i="19"/>
  <c r="G21" i="19"/>
  <c r="G22" i="19"/>
  <c r="G16" i="19"/>
  <c r="G11" i="19"/>
  <c r="G12" i="19"/>
  <c r="G13" i="19"/>
  <c r="G14" i="19"/>
  <c r="G15" i="19"/>
  <c r="G7" i="19"/>
  <c r="G8" i="19"/>
  <c r="G9" i="19"/>
  <c r="G10" i="19"/>
  <c r="G6" i="19"/>
  <c r="D27" i="19"/>
  <c r="D25" i="19"/>
  <c r="D24" i="19"/>
  <c r="D22" i="19"/>
  <c r="D21" i="19"/>
  <c r="D20" i="19"/>
  <c r="D18" i="19"/>
  <c r="D17" i="19"/>
  <c r="D16" i="19"/>
  <c r="D15" i="19"/>
  <c r="D14" i="19"/>
  <c r="D13" i="19"/>
  <c r="D11" i="19"/>
  <c r="D6" i="19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W5" i="6"/>
  <c r="U5" i="6"/>
  <c r="D26" i="19"/>
  <c r="E26" i="19"/>
  <c r="H26" i="19"/>
  <c r="E27" i="19"/>
  <c r="H27" i="19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9" i="4"/>
  <c r="S24" i="5"/>
  <c r="S23" i="5"/>
  <c r="S22" i="5"/>
  <c r="R21" i="5"/>
  <c r="S20" i="5"/>
  <c r="Q22" i="5"/>
  <c r="Q23" i="5"/>
  <c r="Q24" i="5"/>
  <c r="E23" i="4"/>
  <c r="E19" i="4"/>
  <c r="E15" i="4"/>
  <c r="S21" i="5" s="1"/>
  <c r="E10" i="4"/>
  <c r="E9" i="4"/>
  <c r="D35" i="4"/>
  <c r="R24" i="5" s="1"/>
  <c r="D33" i="4"/>
  <c r="D32" i="4"/>
  <c r="D30" i="4"/>
  <c r="D29" i="4"/>
  <c r="D27" i="4"/>
  <c r="R23" i="5" s="1"/>
  <c r="D26" i="4"/>
  <c r="D24" i="4"/>
  <c r="D21" i="4"/>
  <c r="R22" i="5" s="1"/>
  <c r="D14" i="4"/>
  <c r="D12" i="4"/>
  <c r="D10" i="4"/>
  <c r="D9" i="4"/>
  <c r="R20" i="5" s="1"/>
  <c r="Z2" i="24" l="1"/>
  <c r="Z4" i="24"/>
  <c r="Z5" i="24"/>
  <c r="Z6" i="24"/>
  <c r="Z7" i="24"/>
  <c r="Z3" i="24"/>
  <c r="AF4" i="24"/>
  <c r="AF5" i="24"/>
  <c r="AF6" i="24"/>
  <c r="AF7" i="24"/>
  <c r="AE4" i="24"/>
  <c r="AD5" i="24"/>
  <c r="AE5" i="24"/>
  <c r="AD6" i="24"/>
  <c r="AE6" i="24"/>
  <c r="AD7" i="24"/>
  <c r="AE7" i="24"/>
  <c r="AF3" i="24"/>
  <c r="AE3" i="24"/>
  <c r="AD3" i="24"/>
  <c r="AC4" i="24"/>
  <c r="AI4" i="24" s="1"/>
  <c r="AC5" i="24"/>
  <c r="AI5" i="24" s="1"/>
  <c r="AC6" i="24"/>
  <c r="AI6" i="24" s="1"/>
  <c r="AC7" i="24"/>
  <c r="AI7" i="24" s="1"/>
  <c r="AC3" i="24"/>
  <c r="AI3" i="24" s="1"/>
  <c r="AG6" i="24" l="1"/>
  <c r="AH6" i="24"/>
  <c r="AG4" i="24"/>
  <c r="AH4" i="24"/>
  <c r="AG3" i="24"/>
  <c r="L4" i="25" s="1"/>
  <c r="AH3" i="24"/>
  <c r="AH7" i="24"/>
  <c r="AG7" i="24"/>
  <c r="L7" i="25" s="1"/>
  <c r="AG5" i="24"/>
  <c r="AH5" i="24"/>
  <c r="L8" i="25"/>
  <c r="N7" i="25"/>
  <c r="M5" i="25"/>
  <c r="M9" i="25"/>
  <c r="L6" i="25"/>
  <c r="N9" i="25"/>
  <c r="L5" i="25"/>
  <c r="L9" i="25"/>
  <c r="N8" i="25"/>
  <c r="M6" i="25"/>
  <c r="M4" i="25"/>
  <c r="N6" i="25"/>
  <c r="N4" i="25"/>
  <c r="M8" i="25"/>
  <c r="N5" i="25"/>
  <c r="M7" i="25"/>
  <c r="K4" i="25"/>
  <c r="G11" i="25"/>
  <c r="I5" i="25"/>
  <c r="H25" i="25"/>
  <c r="J24" i="25"/>
  <c r="H23" i="25"/>
  <c r="J22" i="25"/>
  <c r="H21" i="25"/>
  <c r="J20" i="25"/>
  <c r="H19" i="25"/>
  <c r="J18" i="25"/>
  <c r="H17" i="25"/>
  <c r="J16" i="25"/>
  <c r="I13" i="25"/>
  <c r="K12" i="25"/>
  <c r="I11" i="25"/>
  <c r="K10" i="25"/>
  <c r="I9" i="25"/>
  <c r="K8" i="25"/>
  <c r="I7" i="25"/>
  <c r="K6" i="25"/>
  <c r="J14" i="25"/>
  <c r="I14" i="25"/>
  <c r="I15" i="25"/>
  <c r="H4" i="25"/>
  <c r="K25" i="25"/>
  <c r="I24" i="25"/>
  <c r="K23" i="25"/>
  <c r="I22" i="25"/>
  <c r="K21" i="25"/>
  <c r="I20" i="25"/>
  <c r="K19" i="25"/>
  <c r="I18" i="25"/>
  <c r="K17" i="25"/>
  <c r="I16" i="25"/>
  <c r="K15" i="25"/>
  <c r="H13" i="25"/>
  <c r="J12" i="25"/>
  <c r="H11" i="25"/>
  <c r="J10" i="25"/>
  <c r="H9" i="25"/>
  <c r="J8" i="25"/>
  <c r="H7" i="25"/>
  <c r="J6" i="25"/>
  <c r="H5" i="25"/>
  <c r="I4" i="25"/>
  <c r="J25" i="25"/>
  <c r="H24" i="25"/>
  <c r="J23" i="25"/>
  <c r="H22" i="25"/>
  <c r="J21" i="25"/>
  <c r="H20" i="25"/>
  <c r="J19" i="25"/>
  <c r="H18" i="25"/>
  <c r="J17" i="25"/>
  <c r="H16" i="25"/>
  <c r="J15" i="25"/>
  <c r="K14" i="25"/>
  <c r="K13" i="25"/>
  <c r="I12" i="25"/>
  <c r="K11" i="25"/>
  <c r="I10" i="25"/>
  <c r="K9" i="25"/>
  <c r="I8" i="25"/>
  <c r="K7" i="25"/>
  <c r="I6" i="25"/>
  <c r="K5" i="25"/>
  <c r="J4" i="25"/>
  <c r="I25" i="25"/>
  <c r="K24" i="25"/>
  <c r="I23" i="25"/>
  <c r="K22" i="25"/>
  <c r="I21" i="25"/>
  <c r="K20" i="25"/>
  <c r="I19" i="25"/>
  <c r="K18" i="25"/>
  <c r="I17" i="25"/>
  <c r="K16" i="25"/>
  <c r="H15" i="25"/>
  <c r="H14" i="25"/>
  <c r="J13" i="25"/>
  <c r="H12" i="25"/>
  <c r="J11" i="25"/>
  <c r="H10" i="25"/>
  <c r="J9" i="25"/>
  <c r="H8" i="25"/>
  <c r="J7" i="25"/>
  <c r="H6" i="25"/>
  <c r="J5" i="25"/>
  <c r="F12" i="25"/>
  <c r="G12" i="25"/>
  <c r="F20" i="25"/>
  <c r="G20" i="25"/>
  <c r="G7" i="25"/>
  <c r="F24" i="25"/>
  <c r="G24" i="25"/>
  <c r="F13" i="25"/>
  <c r="G13" i="25"/>
  <c r="F9" i="25"/>
  <c r="G9" i="25"/>
  <c r="F17" i="25"/>
  <c r="G17" i="25"/>
  <c r="F21" i="25"/>
  <c r="G21" i="25"/>
  <c r="F14" i="25"/>
  <c r="G14" i="25"/>
  <c r="F10" i="25"/>
  <c r="G10" i="25"/>
  <c r="F18" i="25"/>
  <c r="G18" i="25"/>
  <c r="F5" i="25"/>
  <c r="G5" i="25"/>
  <c r="F22" i="25"/>
  <c r="G22" i="25"/>
  <c r="F15" i="25"/>
  <c r="G15" i="25"/>
  <c r="F11" i="25"/>
  <c r="F19" i="25"/>
  <c r="G19" i="25"/>
  <c r="F6" i="25"/>
  <c r="G6" i="25"/>
  <c r="F23" i="25"/>
  <c r="G23" i="25"/>
  <c r="F25" i="25"/>
  <c r="G25" i="25"/>
  <c r="F8" i="25"/>
  <c r="G8" i="25"/>
  <c r="G16" i="25"/>
  <c r="F16" i="25"/>
  <c r="X3" i="24"/>
  <c r="Y3" i="24"/>
  <c r="X4" i="24"/>
  <c r="Y4" i="24"/>
  <c r="X5" i="24"/>
  <c r="Y5" i="24"/>
  <c r="X6" i="24"/>
  <c r="Y6" i="24"/>
  <c r="X7" i="24"/>
  <c r="Y7" i="24"/>
  <c r="F4" i="25" l="1"/>
  <c r="F7" i="25"/>
  <c r="G4" i="25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6" i="22"/>
  <c r="M14" i="22"/>
  <c r="M15" i="22"/>
  <c r="N15" i="22" s="1"/>
  <c r="M18" i="22"/>
  <c r="J20" i="22"/>
  <c r="M20" i="22" s="1"/>
  <c r="N20" i="22" s="1"/>
  <c r="K20" i="22"/>
  <c r="J18" i="22"/>
  <c r="K18" i="22"/>
  <c r="K19" i="22"/>
  <c r="J19" i="22"/>
  <c r="M19" i="22" s="1"/>
  <c r="J17" i="22"/>
  <c r="M17" i="22" s="1"/>
  <c r="K17" i="22"/>
  <c r="J15" i="22"/>
  <c r="K15" i="22"/>
  <c r="K16" i="22"/>
  <c r="J16" i="22"/>
  <c r="M16" i="22" s="1"/>
  <c r="J14" i="22"/>
  <c r="K14" i="22"/>
  <c r="J12" i="22"/>
  <c r="M12" i="22" s="1"/>
  <c r="K12" i="22"/>
  <c r="K13" i="22"/>
  <c r="J13" i="22"/>
  <c r="M13" i="22" s="1"/>
  <c r="N14" i="22" l="1"/>
  <c r="J11" i="22"/>
  <c r="M11" i="22" s="1"/>
  <c r="K11" i="22"/>
  <c r="J6" i="22"/>
  <c r="M6" i="22" s="1"/>
  <c r="K6" i="22"/>
  <c r="J10" i="22"/>
  <c r="M10" i="22" s="1"/>
  <c r="N10" i="22" s="1"/>
  <c r="K10" i="22"/>
  <c r="K9" i="22"/>
  <c r="J9" i="22"/>
  <c r="M9" i="22" s="1"/>
  <c r="K8" i="22"/>
  <c r="K7" i="22"/>
  <c r="J8" i="22"/>
  <c r="M8" i="22" s="1"/>
  <c r="J7" i="22"/>
  <c r="M7" i="22" s="1"/>
  <c r="N7" i="22" s="1"/>
  <c r="N38" i="4" l="1"/>
  <c r="M38" i="4"/>
  <c r="G2" i="15"/>
  <c r="F2" i="15"/>
  <c r="F1" i="15"/>
  <c r="M39" i="4" s="1"/>
  <c r="G1" i="15"/>
  <c r="N39" i="4" s="1"/>
  <c r="D23" i="19" l="1"/>
  <c r="D19" i="19"/>
  <c r="E61" i="6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P5" i="20"/>
  <c r="L6" i="20"/>
  <c r="M6" i="20"/>
  <c r="N6" i="20"/>
  <c r="O6" i="20"/>
  <c r="P6" i="20"/>
  <c r="S6" i="20"/>
  <c r="L7" i="20"/>
  <c r="M7" i="20"/>
  <c r="N7" i="20"/>
  <c r="O7" i="20"/>
  <c r="P7" i="20"/>
  <c r="S7" i="20"/>
  <c r="L8" i="20"/>
  <c r="M8" i="20"/>
  <c r="N8" i="20"/>
  <c r="O8" i="20"/>
  <c r="P8" i="20"/>
  <c r="S8" i="20"/>
  <c r="L9" i="20"/>
  <c r="M9" i="20"/>
  <c r="N9" i="20"/>
  <c r="O9" i="20"/>
  <c r="P9" i="20"/>
  <c r="S9" i="20"/>
  <c r="L10" i="20"/>
  <c r="M10" i="20"/>
  <c r="N10" i="20"/>
  <c r="O10" i="20"/>
  <c r="P10" i="20"/>
  <c r="S10" i="20"/>
  <c r="L11" i="20"/>
  <c r="M11" i="20"/>
  <c r="N11" i="20"/>
  <c r="O11" i="20"/>
  <c r="P11" i="20"/>
  <c r="S11" i="20"/>
  <c r="L12" i="20"/>
  <c r="M12" i="20"/>
  <c r="N12" i="20"/>
  <c r="O12" i="20"/>
  <c r="P12" i="20"/>
  <c r="S12" i="20"/>
  <c r="L13" i="20"/>
  <c r="M13" i="20"/>
  <c r="N13" i="20"/>
  <c r="O13" i="20"/>
  <c r="P13" i="20"/>
  <c r="S13" i="20"/>
  <c r="L14" i="20"/>
  <c r="M14" i="20"/>
  <c r="N14" i="20"/>
  <c r="O14" i="20"/>
  <c r="P14" i="20"/>
  <c r="S14" i="20"/>
  <c r="L15" i="20"/>
  <c r="M15" i="20"/>
  <c r="N15" i="20"/>
  <c r="O15" i="20"/>
  <c r="P15" i="20"/>
  <c r="S15" i="20"/>
  <c r="L16" i="20"/>
  <c r="M16" i="20"/>
  <c r="N16" i="20"/>
  <c r="O16" i="20"/>
  <c r="P16" i="20"/>
  <c r="S16" i="20"/>
  <c r="L17" i="20"/>
  <c r="M17" i="20"/>
  <c r="N17" i="20"/>
  <c r="O17" i="20"/>
  <c r="P17" i="20"/>
  <c r="S17" i="20"/>
  <c r="L18" i="20"/>
  <c r="M18" i="20"/>
  <c r="N18" i="20"/>
  <c r="O18" i="20"/>
  <c r="P18" i="20"/>
  <c r="S18" i="20"/>
  <c r="L19" i="20"/>
  <c r="M19" i="20"/>
  <c r="N19" i="20"/>
  <c r="O19" i="20"/>
  <c r="P19" i="20"/>
  <c r="S19" i="20"/>
  <c r="L20" i="20"/>
  <c r="M20" i="20"/>
  <c r="N20" i="20"/>
  <c r="O20" i="20"/>
  <c r="P20" i="20"/>
  <c r="S20" i="20"/>
  <c r="L21" i="20"/>
  <c r="M21" i="20"/>
  <c r="N21" i="20"/>
  <c r="O21" i="20"/>
  <c r="P21" i="20"/>
  <c r="S21" i="20"/>
  <c r="L22" i="20"/>
  <c r="M22" i="20"/>
  <c r="N22" i="20"/>
  <c r="O22" i="20"/>
  <c r="P22" i="20"/>
  <c r="S22" i="20"/>
  <c r="L23" i="20"/>
  <c r="M23" i="20"/>
  <c r="N23" i="20"/>
  <c r="O23" i="20"/>
  <c r="P23" i="20"/>
  <c r="S23" i="20"/>
  <c r="L24" i="20"/>
  <c r="M24" i="20"/>
  <c r="N24" i="20"/>
  <c r="O24" i="20"/>
  <c r="P24" i="20"/>
  <c r="S24" i="20"/>
  <c r="L25" i="20"/>
  <c r="M25" i="20"/>
  <c r="N25" i="20"/>
  <c r="O25" i="20"/>
  <c r="P25" i="20"/>
  <c r="S25" i="20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D12" i="19"/>
  <c r="D10" i="19"/>
  <c r="D9" i="19"/>
  <c r="D8" i="19"/>
  <c r="D7" i="19"/>
  <c r="AW12" i="6" l="1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W27" i="6"/>
  <c r="AW28" i="6"/>
  <c r="AW29" i="6"/>
  <c r="AW30" i="6"/>
  <c r="AW31" i="6"/>
  <c r="AW32" i="6"/>
  <c r="AW33" i="6"/>
  <c r="AW34" i="6"/>
  <c r="AW35" i="6"/>
  <c r="AW36" i="6"/>
  <c r="AW37" i="6"/>
  <c r="AW38" i="6"/>
  <c r="AW39" i="6"/>
  <c r="AW40" i="6"/>
  <c r="AW41" i="6"/>
  <c r="AW42" i="6"/>
  <c r="AW43" i="6"/>
  <c r="AW44" i="6"/>
  <c r="AW45" i="6"/>
  <c r="AW46" i="6"/>
  <c r="AW47" i="6"/>
  <c r="AW48" i="6"/>
  <c r="AW49" i="6"/>
  <c r="AW50" i="6"/>
  <c r="AW51" i="6"/>
  <c r="AW52" i="6"/>
  <c r="AW53" i="6"/>
  <c r="AW54" i="6"/>
  <c r="AW55" i="6"/>
  <c r="B64" i="16"/>
  <c r="G28" i="16"/>
  <c r="F28" i="16"/>
  <c r="G27" i="16"/>
  <c r="D27" i="16"/>
  <c r="C27" i="16"/>
  <c r="B27" i="16"/>
  <c r="A27" i="16"/>
  <c r="H26" i="16"/>
  <c r="G26" i="16"/>
  <c r="F26" i="16"/>
  <c r="E26" i="16"/>
  <c r="D26" i="16"/>
  <c r="C26" i="16"/>
  <c r="B26" i="16"/>
  <c r="A26" i="16"/>
  <c r="B3" i="16"/>
  <c r="A3" i="16"/>
  <c r="F75" i="17" l="1"/>
  <c r="E75" i="17"/>
  <c r="D75" i="17"/>
  <c r="C75" i="17"/>
  <c r="F74" i="17"/>
  <c r="E74" i="17"/>
  <c r="D74" i="17"/>
  <c r="C74" i="17"/>
  <c r="F73" i="17"/>
  <c r="E73" i="17"/>
  <c r="D73" i="17"/>
  <c r="C73" i="17"/>
  <c r="F72" i="17"/>
  <c r="E72" i="17"/>
  <c r="D72" i="17"/>
  <c r="C72" i="17"/>
  <c r="B75" i="17"/>
  <c r="B74" i="17"/>
  <c r="B73" i="17"/>
  <c r="B72" i="17"/>
  <c r="F48" i="17"/>
  <c r="E48" i="17"/>
  <c r="F47" i="17"/>
  <c r="E47" i="17"/>
  <c r="F46" i="17"/>
  <c r="E46" i="17"/>
  <c r="F45" i="17"/>
  <c r="E45" i="17"/>
  <c r="F44" i="17"/>
  <c r="E44" i="17"/>
  <c r="F43" i="17"/>
  <c r="E43" i="17"/>
  <c r="F42" i="17"/>
  <c r="E42" i="17"/>
  <c r="F41" i="17"/>
  <c r="E41" i="17"/>
  <c r="F40" i="17"/>
  <c r="E40" i="17"/>
  <c r="F39" i="17"/>
  <c r="E39" i="17"/>
  <c r="Q52" i="16"/>
  <c r="Q53" i="16"/>
  <c r="Q54" i="16"/>
  <c r="Q55" i="16"/>
  <c r="Q56" i="16"/>
  <c r="Q57" i="16"/>
  <c r="Q58" i="16"/>
  <c r="Q59" i="16"/>
  <c r="Q60" i="16"/>
  <c r="Q61" i="16"/>
  <c r="H42" i="13" l="1"/>
  <c r="G42" i="13"/>
  <c r="G41" i="13"/>
  <c r="H41" i="13"/>
  <c r="H40" i="13"/>
  <c r="G40" i="13"/>
  <c r="G29" i="13"/>
  <c r="H29" i="13"/>
  <c r="G30" i="13"/>
  <c r="H30" i="13"/>
  <c r="G31" i="13"/>
  <c r="H31" i="13"/>
  <c r="G32" i="13"/>
  <c r="H32" i="13"/>
  <c r="G33" i="13"/>
  <c r="H33" i="13"/>
  <c r="G34" i="13"/>
  <c r="H34" i="13"/>
  <c r="G35" i="13"/>
  <c r="H35" i="13"/>
  <c r="G36" i="13"/>
  <c r="H36" i="13"/>
  <c r="G37" i="13"/>
  <c r="H37" i="13"/>
  <c r="G38" i="13"/>
  <c r="H38" i="13"/>
  <c r="P26" i="13"/>
  <c r="I1" i="13"/>
  <c r="I29" i="13" s="1"/>
  <c r="Q5" i="16" s="1"/>
  <c r="J29" i="13" s="1"/>
  <c r="G5" i="13"/>
  <c r="H5" i="13"/>
  <c r="G6" i="13"/>
  <c r="H6" i="13"/>
  <c r="G7" i="13"/>
  <c r="H7" i="13"/>
  <c r="G8" i="13"/>
  <c r="H8" i="13"/>
  <c r="I8" i="13" s="1"/>
  <c r="Q21" i="16" s="1"/>
  <c r="J8" i="13" s="1"/>
  <c r="M8" i="13" s="1"/>
  <c r="G9" i="13"/>
  <c r="H9" i="13"/>
  <c r="I9" i="13" s="1"/>
  <c r="Q20" i="16" s="1"/>
  <c r="G10" i="13"/>
  <c r="H10" i="13"/>
  <c r="G11" i="13"/>
  <c r="H11" i="13"/>
  <c r="G12" i="13"/>
  <c r="H12" i="13"/>
  <c r="I12" i="13" s="1"/>
  <c r="Q17" i="16" s="1"/>
  <c r="J12" i="13" s="1"/>
  <c r="M12" i="13" s="1"/>
  <c r="G13" i="13"/>
  <c r="H13" i="13"/>
  <c r="I13" i="13" s="1"/>
  <c r="Q16" i="16" s="1"/>
  <c r="G14" i="13"/>
  <c r="H14" i="13"/>
  <c r="H4" i="13"/>
  <c r="I4" i="13" s="1"/>
  <c r="Q25" i="16" s="1"/>
  <c r="J4" i="13" s="1"/>
  <c r="M4" i="13" s="1"/>
  <c r="G4" i="13"/>
  <c r="B66" i="16"/>
  <c r="A66" i="16"/>
  <c r="G65" i="16"/>
  <c r="F65" i="16"/>
  <c r="G64" i="16"/>
  <c r="D64" i="16"/>
  <c r="H63" i="16"/>
  <c r="G63" i="16"/>
  <c r="F63" i="16"/>
  <c r="E63" i="16"/>
  <c r="D63" i="16"/>
  <c r="C63" i="16"/>
  <c r="B63" i="16"/>
  <c r="A63" i="16"/>
  <c r="B61" i="16"/>
  <c r="B60" i="16"/>
  <c r="B59" i="16"/>
  <c r="B58" i="16"/>
  <c r="F57" i="16"/>
  <c r="B57" i="16"/>
  <c r="B56" i="16"/>
  <c r="B55" i="16"/>
  <c r="B54" i="16"/>
  <c r="F53" i="16"/>
  <c r="B53" i="16"/>
  <c r="A53" i="16"/>
  <c r="F52" i="16"/>
  <c r="B52" i="16"/>
  <c r="A52" i="16"/>
  <c r="B50" i="16"/>
  <c r="B49" i="16"/>
  <c r="B48" i="16"/>
  <c r="B47" i="16"/>
  <c r="B46" i="16"/>
  <c r="B45" i="16"/>
  <c r="B44" i="16"/>
  <c r="B43" i="16"/>
  <c r="B42" i="16"/>
  <c r="A42" i="16"/>
  <c r="B41" i="16"/>
  <c r="A41" i="16"/>
  <c r="B39" i="16"/>
  <c r="B38" i="16"/>
  <c r="B37" i="16"/>
  <c r="B36" i="16"/>
  <c r="B35" i="16"/>
  <c r="B34" i="16"/>
  <c r="B33" i="16"/>
  <c r="B32" i="16"/>
  <c r="B31" i="16"/>
  <c r="A31" i="16"/>
  <c r="B30" i="16"/>
  <c r="A30" i="16"/>
  <c r="B25" i="16"/>
  <c r="B24" i="16"/>
  <c r="B23" i="16"/>
  <c r="B22" i="16"/>
  <c r="B21" i="16"/>
  <c r="B20" i="16"/>
  <c r="B19" i="16"/>
  <c r="B18" i="16"/>
  <c r="B17" i="16"/>
  <c r="A17" i="16"/>
  <c r="B16" i="16"/>
  <c r="A16" i="16"/>
  <c r="B14" i="16"/>
  <c r="B13" i="16"/>
  <c r="B12" i="16"/>
  <c r="B11" i="16"/>
  <c r="B10" i="16"/>
  <c r="B9" i="16"/>
  <c r="B8" i="16"/>
  <c r="B7" i="16"/>
  <c r="B6" i="16"/>
  <c r="A6" i="16"/>
  <c r="B5" i="16"/>
  <c r="A5" i="16"/>
  <c r="G4" i="16"/>
  <c r="F4" i="16"/>
  <c r="G3" i="16"/>
  <c r="D3" i="16"/>
  <c r="C3" i="16"/>
  <c r="H2" i="16"/>
  <c r="G2" i="16"/>
  <c r="F2" i="16"/>
  <c r="E2" i="16"/>
  <c r="D2" i="16"/>
  <c r="C2" i="16"/>
  <c r="B2" i="16"/>
  <c r="A2" i="16"/>
  <c r="S66" i="16"/>
  <c r="H66" i="16" s="1"/>
  <c r="S61" i="16"/>
  <c r="H61" i="16" s="1"/>
  <c r="S60" i="16"/>
  <c r="H60" i="16" s="1"/>
  <c r="S59" i="16"/>
  <c r="H59" i="16" s="1"/>
  <c r="S58" i="16"/>
  <c r="H58" i="16" s="1"/>
  <c r="S57" i="16"/>
  <c r="H57" i="16" s="1"/>
  <c r="S56" i="16"/>
  <c r="H56" i="16" s="1"/>
  <c r="S55" i="16"/>
  <c r="H55" i="16" s="1"/>
  <c r="S54" i="16"/>
  <c r="H54" i="16" s="1"/>
  <c r="S53" i="16"/>
  <c r="H53" i="16" s="1"/>
  <c r="S52" i="16"/>
  <c r="H52" i="16" s="1"/>
  <c r="S50" i="16"/>
  <c r="H50" i="16" s="1"/>
  <c r="S49" i="16"/>
  <c r="H49" i="16" s="1"/>
  <c r="S48" i="16"/>
  <c r="H48" i="16" s="1"/>
  <c r="S47" i="16"/>
  <c r="H47" i="16" s="1"/>
  <c r="S46" i="16"/>
  <c r="H46" i="16" s="1"/>
  <c r="S45" i="16"/>
  <c r="H45" i="16" s="1"/>
  <c r="S44" i="16"/>
  <c r="H44" i="16" s="1"/>
  <c r="S43" i="16"/>
  <c r="H43" i="16" s="1"/>
  <c r="S42" i="16"/>
  <c r="H42" i="16" s="1"/>
  <c r="S41" i="16"/>
  <c r="H41" i="16" s="1"/>
  <c r="S39" i="16"/>
  <c r="H39" i="16" s="1"/>
  <c r="S38" i="16"/>
  <c r="H38" i="16" s="1"/>
  <c r="S37" i="16"/>
  <c r="H37" i="16" s="1"/>
  <c r="S36" i="16"/>
  <c r="H36" i="16" s="1"/>
  <c r="S35" i="16"/>
  <c r="H35" i="16" s="1"/>
  <c r="S34" i="16"/>
  <c r="H34" i="16" s="1"/>
  <c r="S33" i="16"/>
  <c r="H33" i="16" s="1"/>
  <c r="S32" i="16"/>
  <c r="H32" i="16" s="1"/>
  <c r="S31" i="16"/>
  <c r="H31" i="16" s="1"/>
  <c r="S30" i="16"/>
  <c r="H30" i="16" s="1"/>
  <c r="S25" i="16"/>
  <c r="H25" i="16" s="1"/>
  <c r="S24" i="16"/>
  <c r="H24" i="16" s="1"/>
  <c r="S23" i="16"/>
  <c r="H23" i="16" s="1"/>
  <c r="S22" i="16"/>
  <c r="H22" i="16" s="1"/>
  <c r="S21" i="16"/>
  <c r="H21" i="16" s="1"/>
  <c r="S20" i="16"/>
  <c r="H20" i="16" s="1"/>
  <c r="S19" i="16"/>
  <c r="H19" i="16" s="1"/>
  <c r="S18" i="16"/>
  <c r="H18" i="16" s="1"/>
  <c r="S17" i="16"/>
  <c r="H17" i="16" s="1"/>
  <c r="S16" i="16"/>
  <c r="H16" i="16" s="1"/>
  <c r="S14" i="16"/>
  <c r="H14" i="16" s="1"/>
  <c r="S13" i="16"/>
  <c r="H13" i="16" s="1"/>
  <c r="S12" i="16"/>
  <c r="H12" i="16" s="1"/>
  <c r="S11" i="16"/>
  <c r="H11" i="16" s="1"/>
  <c r="S10" i="16"/>
  <c r="H10" i="16" s="1"/>
  <c r="S9" i="16"/>
  <c r="H9" i="16" s="1"/>
  <c r="S8" i="16"/>
  <c r="H8" i="16" s="1"/>
  <c r="S7" i="16"/>
  <c r="H7" i="16" s="1"/>
  <c r="S6" i="16"/>
  <c r="H6" i="16" s="1"/>
  <c r="S5" i="16"/>
  <c r="H5" i="16" s="1"/>
  <c r="H65" i="6"/>
  <c r="M65" i="6" s="1"/>
  <c r="B75" i="6"/>
  <c r="P66" i="16"/>
  <c r="E66" i="16" s="1"/>
  <c r="P61" i="16"/>
  <c r="E61" i="16" s="1"/>
  <c r="P60" i="16"/>
  <c r="E60" i="16" s="1"/>
  <c r="P59" i="16"/>
  <c r="E59" i="16" s="1"/>
  <c r="P58" i="16"/>
  <c r="E58" i="16" s="1"/>
  <c r="P57" i="16"/>
  <c r="E57" i="16" s="1"/>
  <c r="P56" i="16"/>
  <c r="E56" i="16" s="1"/>
  <c r="P55" i="16"/>
  <c r="E55" i="16" s="1"/>
  <c r="P54" i="16"/>
  <c r="E54" i="16" s="1"/>
  <c r="P53" i="16"/>
  <c r="E53" i="16" s="1"/>
  <c r="P52" i="16"/>
  <c r="E52" i="16" s="1"/>
  <c r="P50" i="16"/>
  <c r="E50" i="16" s="1"/>
  <c r="P49" i="16"/>
  <c r="E49" i="16" s="1"/>
  <c r="P48" i="16"/>
  <c r="E48" i="16" s="1"/>
  <c r="P47" i="16"/>
  <c r="E47" i="16" s="1"/>
  <c r="P46" i="16"/>
  <c r="E46" i="16" s="1"/>
  <c r="P45" i="16"/>
  <c r="E45" i="16" s="1"/>
  <c r="P44" i="16"/>
  <c r="E44" i="16" s="1"/>
  <c r="P43" i="16"/>
  <c r="E43" i="16" s="1"/>
  <c r="P42" i="16"/>
  <c r="E42" i="16" s="1"/>
  <c r="P41" i="16"/>
  <c r="E41" i="16" s="1"/>
  <c r="P39" i="16"/>
  <c r="E39" i="16" s="1"/>
  <c r="P38" i="16"/>
  <c r="E38" i="16" s="1"/>
  <c r="P37" i="16"/>
  <c r="E37" i="16" s="1"/>
  <c r="P36" i="16"/>
  <c r="E36" i="16" s="1"/>
  <c r="P35" i="16"/>
  <c r="E35" i="16" s="1"/>
  <c r="P34" i="16"/>
  <c r="E34" i="16" s="1"/>
  <c r="P33" i="16"/>
  <c r="E33" i="16" s="1"/>
  <c r="P32" i="16"/>
  <c r="E32" i="16" s="1"/>
  <c r="P31" i="16"/>
  <c r="E31" i="16" s="1"/>
  <c r="P30" i="16"/>
  <c r="E30" i="16" s="1"/>
  <c r="P25" i="16"/>
  <c r="E25" i="16" s="1"/>
  <c r="P24" i="16"/>
  <c r="E24" i="16" s="1"/>
  <c r="P23" i="16"/>
  <c r="E23" i="16" s="1"/>
  <c r="P22" i="16"/>
  <c r="E22" i="16" s="1"/>
  <c r="P21" i="16"/>
  <c r="E21" i="16" s="1"/>
  <c r="P20" i="16"/>
  <c r="E20" i="16" s="1"/>
  <c r="P19" i="16"/>
  <c r="E19" i="16" s="1"/>
  <c r="P18" i="16"/>
  <c r="E18" i="16" s="1"/>
  <c r="P17" i="16"/>
  <c r="E17" i="16" s="1"/>
  <c r="P16" i="16"/>
  <c r="E16" i="16" s="1"/>
  <c r="P14" i="16"/>
  <c r="E14" i="16" s="1"/>
  <c r="P13" i="16"/>
  <c r="E13" i="16" s="1"/>
  <c r="P12" i="16"/>
  <c r="E12" i="16" s="1"/>
  <c r="P11" i="16"/>
  <c r="E11" i="16" s="1"/>
  <c r="P10" i="16"/>
  <c r="E10" i="16" s="1"/>
  <c r="P9" i="16"/>
  <c r="E9" i="16" s="1"/>
  <c r="P8" i="16"/>
  <c r="E8" i="16" s="1"/>
  <c r="P7" i="16"/>
  <c r="E7" i="16" s="1"/>
  <c r="P6" i="16"/>
  <c r="E6" i="16" s="1"/>
  <c r="P5" i="16"/>
  <c r="E5" i="16" s="1"/>
  <c r="O66" i="16"/>
  <c r="D66" i="16" s="1"/>
  <c r="O61" i="16"/>
  <c r="O60" i="16"/>
  <c r="O59" i="16"/>
  <c r="O58" i="16"/>
  <c r="O57" i="16"/>
  <c r="O56" i="16"/>
  <c r="O55" i="16"/>
  <c r="D55" i="16" s="1"/>
  <c r="O54" i="16"/>
  <c r="D54" i="16" s="1"/>
  <c r="O53" i="16"/>
  <c r="O52" i="16"/>
  <c r="O50" i="16"/>
  <c r="O49" i="16"/>
  <c r="O48" i="16"/>
  <c r="O47" i="16"/>
  <c r="O46" i="16"/>
  <c r="O45" i="16"/>
  <c r="D45" i="16" s="1"/>
  <c r="O44" i="16"/>
  <c r="O43" i="16"/>
  <c r="O42" i="16"/>
  <c r="O41" i="16"/>
  <c r="D41" i="16" s="1"/>
  <c r="O39" i="16"/>
  <c r="O38" i="16"/>
  <c r="O37" i="16"/>
  <c r="O36" i="16"/>
  <c r="D36" i="16" s="1"/>
  <c r="O35" i="16"/>
  <c r="O34" i="16"/>
  <c r="O33" i="16"/>
  <c r="O32" i="16"/>
  <c r="D32" i="16" s="1"/>
  <c r="O31" i="16"/>
  <c r="O30" i="16"/>
  <c r="O25" i="16"/>
  <c r="O24" i="16"/>
  <c r="D24" i="16" s="1"/>
  <c r="O23" i="16"/>
  <c r="O22" i="16"/>
  <c r="O21" i="16"/>
  <c r="D21" i="16" s="1"/>
  <c r="O20" i="16"/>
  <c r="D20" i="16" s="1"/>
  <c r="O19" i="16"/>
  <c r="O18" i="16"/>
  <c r="O17" i="16"/>
  <c r="O16" i="16"/>
  <c r="O14" i="16"/>
  <c r="O13" i="16"/>
  <c r="O12" i="16"/>
  <c r="D12" i="16" s="1"/>
  <c r="O11" i="16"/>
  <c r="D11" i="16" s="1"/>
  <c r="O10" i="16"/>
  <c r="O9" i="16"/>
  <c r="O8" i="16"/>
  <c r="D8" i="16" s="1"/>
  <c r="O7" i="16"/>
  <c r="D7" i="16" s="1"/>
  <c r="O6" i="16"/>
  <c r="O5" i="16"/>
  <c r="F60" i="16"/>
  <c r="F58" i="16"/>
  <c r="Q50" i="16"/>
  <c r="Q49" i="16"/>
  <c r="Q48" i="16"/>
  <c r="F48" i="16" s="1"/>
  <c r="Q47" i="16"/>
  <c r="Q46" i="16"/>
  <c r="Q45" i="16"/>
  <c r="Q44" i="16"/>
  <c r="F44" i="16" s="1"/>
  <c r="Q43" i="16"/>
  <c r="F43" i="16" s="1"/>
  <c r="Q42" i="16"/>
  <c r="Q41" i="16"/>
  <c r="F41" i="16" s="1"/>
  <c r="Q39" i="16"/>
  <c r="F39" i="16" s="1"/>
  <c r="Q38" i="16"/>
  <c r="Q37" i="16"/>
  <c r="Q36" i="16"/>
  <c r="Q35" i="16"/>
  <c r="F35" i="16" s="1"/>
  <c r="Q34" i="16"/>
  <c r="F34" i="16" s="1"/>
  <c r="Q33" i="16"/>
  <c r="Q32" i="16"/>
  <c r="Q31" i="16"/>
  <c r="F31" i="16" s="1"/>
  <c r="Q30" i="16"/>
  <c r="F30" i="16" s="1"/>
  <c r="G56" i="4"/>
  <c r="I56" i="4"/>
  <c r="G57" i="4"/>
  <c r="I57" i="4"/>
  <c r="G58" i="4"/>
  <c r="I58" i="4"/>
  <c r="I5" i="13" l="1"/>
  <c r="Q24" i="16" s="1"/>
  <c r="J5" i="13" s="1"/>
  <c r="M5" i="13" s="1"/>
  <c r="I33" i="13"/>
  <c r="Q9" i="16" s="1"/>
  <c r="J33" i="13" s="1"/>
  <c r="I11" i="13"/>
  <c r="Q18" i="16" s="1"/>
  <c r="F18" i="16" s="1"/>
  <c r="I7" i="13"/>
  <c r="Q22" i="16" s="1"/>
  <c r="I41" i="13"/>
  <c r="I10" i="13"/>
  <c r="Q19" i="16" s="1"/>
  <c r="J10" i="13" s="1"/>
  <c r="M10" i="13" s="1"/>
  <c r="I6" i="13"/>
  <c r="Q23" i="16" s="1"/>
  <c r="F23" i="16" s="1"/>
  <c r="I37" i="13"/>
  <c r="Q13" i="16" s="1"/>
  <c r="J37" i="13" s="1"/>
  <c r="F22" i="16"/>
  <c r="J7" i="13"/>
  <c r="M7" i="13" s="1"/>
  <c r="J13" i="13"/>
  <c r="M13" i="13" s="1"/>
  <c r="J41" i="13"/>
  <c r="M41" i="13" s="1"/>
  <c r="J9" i="13"/>
  <c r="M9" i="13" s="1"/>
  <c r="F20" i="16"/>
  <c r="E20" i="13"/>
  <c r="I35" i="13"/>
  <c r="Q11" i="16" s="1"/>
  <c r="J35" i="13" s="1"/>
  <c r="I31" i="13"/>
  <c r="Q7" i="16" s="1"/>
  <c r="J31" i="13" s="1"/>
  <c r="I38" i="13"/>
  <c r="Q14" i="16" s="1"/>
  <c r="J38" i="13" s="1"/>
  <c r="I36" i="13"/>
  <c r="Q12" i="16" s="1"/>
  <c r="J36" i="13" s="1"/>
  <c r="I34" i="13"/>
  <c r="Q10" i="16" s="1"/>
  <c r="I32" i="13"/>
  <c r="Q8" i="16" s="1"/>
  <c r="J32" i="13" s="1"/>
  <c r="I30" i="13"/>
  <c r="Q6" i="16" s="1"/>
  <c r="J30" i="13" s="1"/>
  <c r="I40" i="13"/>
  <c r="J40" i="13"/>
  <c r="M40" i="13" s="1"/>
  <c r="M29" i="13"/>
  <c r="M36" i="13"/>
  <c r="M31" i="13"/>
  <c r="M33" i="13"/>
  <c r="I42" i="13"/>
  <c r="Q66" i="16" s="1"/>
  <c r="J42" i="13" s="1"/>
  <c r="F8" i="16"/>
  <c r="F12" i="16"/>
  <c r="F17" i="16"/>
  <c r="F21" i="16"/>
  <c r="F25" i="16"/>
  <c r="F33" i="16"/>
  <c r="F37" i="16"/>
  <c r="F42" i="16"/>
  <c r="F46" i="16"/>
  <c r="F50" i="16"/>
  <c r="F55" i="16"/>
  <c r="F59" i="16"/>
  <c r="AF5" i="16"/>
  <c r="D5" i="16"/>
  <c r="D9" i="16"/>
  <c r="D13" i="16"/>
  <c r="D18" i="16"/>
  <c r="D22" i="16"/>
  <c r="D30" i="16"/>
  <c r="D34" i="16"/>
  <c r="D38" i="16"/>
  <c r="D43" i="16"/>
  <c r="D47" i="16"/>
  <c r="D52" i="16"/>
  <c r="D56" i="16"/>
  <c r="D60" i="16"/>
  <c r="F5" i="16"/>
  <c r="F38" i="16"/>
  <c r="F47" i="16"/>
  <c r="F56" i="16"/>
  <c r="D6" i="16"/>
  <c r="D10" i="16"/>
  <c r="D14" i="16"/>
  <c r="D19" i="16"/>
  <c r="D23" i="16"/>
  <c r="D31" i="16"/>
  <c r="D35" i="16"/>
  <c r="D39" i="16"/>
  <c r="D44" i="16"/>
  <c r="D48" i="16"/>
  <c r="D53" i="16"/>
  <c r="D57" i="16"/>
  <c r="D61" i="16"/>
  <c r="F7" i="16"/>
  <c r="F16" i="16"/>
  <c r="F24" i="16"/>
  <c r="F32" i="16"/>
  <c r="F36" i="16"/>
  <c r="F45" i="16"/>
  <c r="F49" i="16"/>
  <c r="F54" i="16"/>
  <c r="D50" i="16"/>
  <c r="D59" i="16"/>
  <c r="F9" i="16"/>
  <c r="D17" i="16"/>
  <c r="D25" i="16"/>
  <c r="D33" i="16"/>
  <c r="D37" i="16"/>
  <c r="D42" i="16"/>
  <c r="D46" i="16"/>
  <c r="D49" i="16"/>
  <c r="D58" i="16"/>
  <c r="F61" i="16"/>
  <c r="D16" i="16"/>
  <c r="J65" i="6"/>
  <c r="L65" i="6"/>
  <c r="N13" i="5"/>
  <c r="O13" i="5"/>
  <c r="P13" i="5"/>
  <c r="Q13" i="5"/>
  <c r="R13" i="5"/>
  <c r="S13" i="5"/>
  <c r="T13" i="5"/>
  <c r="L19" i="5"/>
  <c r="M13" i="5" s="1"/>
  <c r="Y13" i="5" s="1"/>
  <c r="G69" i="4"/>
  <c r="I69" i="4"/>
  <c r="F11" i="16" l="1"/>
  <c r="M37" i="13"/>
  <c r="F13" i="16"/>
  <c r="F19" i="16"/>
  <c r="J6" i="13"/>
  <c r="M6" i="13" s="1"/>
  <c r="M14" i="13" s="1"/>
  <c r="J11" i="13"/>
  <c r="M11" i="13" s="1"/>
  <c r="M35" i="13"/>
  <c r="M32" i="13"/>
  <c r="M30" i="13"/>
  <c r="M38" i="13"/>
  <c r="F14" i="16"/>
  <c r="F10" i="16"/>
  <c r="J34" i="13"/>
  <c r="M34" i="13" s="1"/>
  <c r="F6" i="16"/>
  <c r="F66" i="16"/>
  <c r="M42" i="13"/>
  <c r="D9" i="14" l="1"/>
  <c r="Y3" i="5" l="1"/>
  <c r="Y4" i="5"/>
  <c r="Y5" i="5"/>
  <c r="Y6" i="5"/>
  <c r="Y7" i="5"/>
  <c r="Y8" i="5"/>
  <c r="Y9" i="5"/>
  <c r="Y10" i="5"/>
  <c r="Y11" i="5"/>
  <c r="Y12" i="5"/>
  <c r="AE3" i="5"/>
  <c r="AE4" i="5"/>
  <c r="AE5" i="5"/>
  <c r="AE6" i="5"/>
  <c r="AE7" i="5"/>
  <c r="AE8" i="5"/>
  <c r="AE9" i="5"/>
  <c r="AE10" i="5"/>
  <c r="AE11" i="5"/>
  <c r="AE12" i="5"/>
  <c r="C40" i="6"/>
  <c r="F6" i="5"/>
  <c r="F9" i="5"/>
  <c r="G12" i="5"/>
  <c r="F7" i="5"/>
  <c r="F5" i="5"/>
  <c r="AW6" i="6"/>
  <c r="AW7" i="6"/>
  <c r="AW8" i="6"/>
  <c r="AW9" i="6"/>
  <c r="AW10" i="6"/>
  <c r="AW11" i="6"/>
  <c r="AW5" i="6"/>
  <c r="F8" i="5"/>
  <c r="X19" i="5"/>
  <c r="W19" i="5"/>
  <c r="G10" i="4"/>
  <c r="G22" i="4"/>
  <c r="G25" i="4"/>
  <c r="E14" i="6"/>
  <c r="E75" i="6"/>
  <c r="F75" i="6" s="1"/>
  <c r="E74" i="6"/>
  <c r="F74" i="6" s="1"/>
  <c r="C74" i="6"/>
  <c r="I10" i="4"/>
  <c r="I22" i="4"/>
  <c r="I25" i="4"/>
  <c r="C61" i="6"/>
  <c r="E40" i="6"/>
  <c r="F40" i="6" s="1"/>
  <c r="E38" i="6"/>
  <c r="F38" i="6" s="1"/>
  <c r="E60" i="6"/>
  <c r="AH45" i="6"/>
  <c r="AM45" i="6" s="1"/>
  <c r="E59" i="6"/>
  <c r="F59" i="6" s="1"/>
  <c r="C59" i="6"/>
  <c r="E45" i="6"/>
  <c r="F45" i="6"/>
  <c r="C45" i="6"/>
  <c r="E44" i="6"/>
  <c r="F44" i="6"/>
  <c r="C44" i="6"/>
  <c r="E43" i="6"/>
  <c r="E42" i="6"/>
  <c r="E41" i="6"/>
  <c r="E39" i="6"/>
  <c r="C38" i="6"/>
  <c r="E22" i="6"/>
  <c r="F22" i="6"/>
  <c r="C22" i="6"/>
  <c r="E21" i="6"/>
  <c r="E19" i="6"/>
  <c r="E18" i="6"/>
  <c r="E17" i="6"/>
  <c r="E16" i="6"/>
  <c r="E15" i="6"/>
  <c r="F15" i="6"/>
  <c r="C15" i="6"/>
  <c r="I68" i="4"/>
  <c r="G68" i="4"/>
  <c r="I67" i="4"/>
  <c r="G67" i="4"/>
  <c r="I66" i="4"/>
  <c r="G66" i="4"/>
  <c r="I65" i="4"/>
  <c r="G65" i="4"/>
  <c r="I64" i="4"/>
  <c r="G64" i="4"/>
  <c r="I63" i="4"/>
  <c r="G63" i="4"/>
  <c r="I62" i="4"/>
  <c r="G62" i="4"/>
  <c r="I61" i="4"/>
  <c r="G61" i="4"/>
  <c r="I60" i="4"/>
  <c r="G60" i="4"/>
  <c r="I59" i="4"/>
  <c r="G59" i="4"/>
  <c r="I55" i="4"/>
  <c r="G55" i="4"/>
  <c r="I54" i="4"/>
  <c r="G54" i="4"/>
  <c r="I53" i="4"/>
  <c r="G53" i="4"/>
  <c r="I52" i="4"/>
  <c r="G52" i="4"/>
  <c r="I51" i="4"/>
  <c r="G51" i="4"/>
  <c r="I50" i="4"/>
  <c r="G50" i="4"/>
  <c r="I49" i="4"/>
  <c r="G49" i="4"/>
  <c r="I48" i="4"/>
  <c r="G48" i="4"/>
  <c r="I47" i="4"/>
  <c r="G47" i="4"/>
  <c r="I46" i="4"/>
  <c r="G46" i="4"/>
  <c r="I45" i="4"/>
  <c r="G45" i="4"/>
  <c r="I44" i="4"/>
  <c r="G44" i="4"/>
  <c r="I43" i="4"/>
  <c r="G43" i="4"/>
  <c r="I42" i="4"/>
  <c r="G42" i="4"/>
  <c r="I41" i="4"/>
  <c r="G41" i="4"/>
  <c r="I40" i="4"/>
  <c r="G40" i="4"/>
  <c r="I39" i="4"/>
  <c r="G39" i="4"/>
  <c r="I38" i="4"/>
  <c r="G38" i="4"/>
  <c r="I37" i="4"/>
  <c r="G37" i="4"/>
  <c r="I36" i="4"/>
  <c r="G36" i="4"/>
  <c r="I35" i="4"/>
  <c r="G35" i="4"/>
  <c r="I34" i="4"/>
  <c r="G34" i="4"/>
  <c r="I33" i="4"/>
  <c r="G33" i="4"/>
  <c r="I32" i="4"/>
  <c r="G32" i="4"/>
  <c r="I31" i="4"/>
  <c r="G31" i="4"/>
  <c r="I30" i="4"/>
  <c r="G30" i="4"/>
  <c r="I29" i="4"/>
  <c r="G29" i="4"/>
  <c r="I28" i="4"/>
  <c r="G28" i="4"/>
  <c r="I27" i="4"/>
  <c r="G27" i="4"/>
  <c r="I26" i="4"/>
  <c r="G26" i="4"/>
  <c r="I24" i="4"/>
  <c r="G24" i="4"/>
  <c r="I23" i="4"/>
  <c r="G23" i="4"/>
  <c r="I21" i="4"/>
  <c r="G21" i="4"/>
  <c r="I20" i="4"/>
  <c r="G20" i="4"/>
  <c r="I19" i="4"/>
  <c r="G19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9" i="4"/>
  <c r="G9" i="4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1" i="5"/>
  <c r="Q20" i="5"/>
  <c r="G9" i="5"/>
  <c r="G8" i="5"/>
  <c r="G7" i="5"/>
  <c r="G6" i="5"/>
  <c r="G5" i="5"/>
  <c r="G4" i="5"/>
  <c r="P3" i="5"/>
  <c r="R2" i="5"/>
  <c r="AD5" i="5" s="1"/>
  <c r="Q2" i="5"/>
  <c r="AC2" i="5" s="1"/>
  <c r="P2" i="5"/>
  <c r="AB7" i="5" s="1"/>
  <c r="O2" i="5"/>
  <c r="AA4" i="5" s="1"/>
  <c r="N2" i="5"/>
  <c r="Z5" i="5" s="1"/>
  <c r="M2" i="5"/>
  <c r="Y2" i="5" s="1"/>
  <c r="H36" i="5" l="1"/>
  <c r="AB3" i="5"/>
  <c r="AD12" i="5"/>
  <c r="Z12" i="5"/>
  <c r="AA11" i="5"/>
  <c r="AB10" i="5"/>
  <c r="AC9" i="5"/>
  <c r="AD8" i="5"/>
  <c r="Z8" i="5"/>
  <c r="AA7" i="5"/>
  <c r="AB6" i="5"/>
  <c r="AC5" i="5"/>
  <c r="AD4" i="5"/>
  <c r="Z4" i="5"/>
  <c r="AA3" i="5"/>
  <c r="AB2" i="5"/>
  <c r="H54" i="4"/>
  <c r="G37" i="5"/>
  <c r="G31" i="5"/>
  <c r="AC12" i="5"/>
  <c r="AD11" i="5"/>
  <c r="Z11" i="5"/>
  <c r="AA10" i="5"/>
  <c r="AB9" i="5"/>
  <c r="AC8" i="5"/>
  <c r="AD7" i="5"/>
  <c r="Z7" i="5"/>
  <c r="AA6" i="5"/>
  <c r="AB5" i="5"/>
  <c r="AC4" i="5"/>
  <c r="AD3" i="5"/>
  <c r="Z3" i="5"/>
  <c r="AA2" i="5"/>
  <c r="AB12" i="5"/>
  <c r="AC11" i="5"/>
  <c r="AD10" i="5"/>
  <c r="Z10" i="5"/>
  <c r="AA9" i="5"/>
  <c r="AB8" i="5"/>
  <c r="AC7" i="5"/>
  <c r="AD6" i="5"/>
  <c r="Z6" i="5"/>
  <c r="AA5" i="5"/>
  <c r="AB4" i="5"/>
  <c r="AC3" i="5"/>
  <c r="AD2" i="5"/>
  <c r="Z2" i="5"/>
  <c r="AA12" i="5"/>
  <c r="AB11" i="5"/>
  <c r="AC10" i="5"/>
  <c r="AD9" i="5"/>
  <c r="Z9" i="5"/>
  <c r="AA8" i="5"/>
  <c r="AC6" i="5"/>
  <c r="F56" i="4"/>
  <c r="F57" i="4"/>
  <c r="F58" i="4"/>
  <c r="H56" i="4"/>
  <c r="H57" i="4"/>
  <c r="H58" i="4"/>
  <c r="F54" i="4"/>
  <c r="F41" i="4"/>
  <c r="N38" i="16" s="1"/>
  <c r="F42" i="4"/>
  <c r="N39" i="16" s="1"/>
  <c r="H32" i="5"/>
  <c r="H38" i="5"/>
  <c r="H69" i="4" s="1"/>
  <c r="G29" i="5"/>
  <c r="G32" i="5"/>
  <c r="G27" i="5"/>
  <c r="G36" i="5"/>
  <c r="H37" i="5"/>
  <c r="G34" i="5"/>
  <c r="H35" i="5"/>
  <c r="H27" i="5"/>
  <c r="H49" i="4"/>
  <c r="H64" i="4"/>
  <c r="H59" i="4"/>
  <c r="H51" i="4"/>
  <c r="H67" i="4"/>
  <c r="H55" i="4"/>
  <c r="H61" i="4"/>
  <c r="H65" i="4"/>
  <c r="H62" i="4"/>
  <c r="H44" i="4"/>
  <c r="H53" i="4"/>
  <c r="G38" i="5"/>
  <c r="F51" i="4" s="1"/>
  <c r="N23" i="16" s="1"/>
  <c r="H26" i="5"/>
  <c r="H21" i="4" s="1"/>
  <c r="H33" i="5"/>
  <c r="F39" i="4"/>
  <c r="N36" i="16" s="1"/>
  <c r="H39" i="5"/>
  <c r="F40" i="4"/>
  <c r="N37" i="16" s="1"/>
  <c r="G39" i="5"/>
  <c r="G33" i="5"/>
  <c r="G26" i="5"/>
  <c r="F34" i="4" s="1"/>
  <c r="N31" i="16" s="1"/>
  <c r="H29" i="5"/>
  <c r="G30" i="5"/>
  <c r="H31" i="5"/>
  <c r="H28" i="5"/>
  <c r="H34" i="5"/>
  <c r="H30" i="5"/>
  <c r="G35" i="5"/>
  <c r="G28" i="5"/>
  <c r="H40" i="4"/>
  <c r="H41" i="4"/>
  <c r="H42" i="4"/>
  <c r="H39" i="4"/>
  <c r="F50" i="4"/>
  <c r="F48" i="4"/>
  <c r="AO26" i="6"/>
  <c r="AO5" i="6"/>
  <c r="AH10" i="6"/>
  <c r="AN10" i="6" s="1"/>
  <c r="AO9" i="6"/>
  <c r="AH7" i="6"/>
  <c r="AN7" i="6" s="1"/>
  <c r="AH9" i="6"/>
  <c r="AK9" i="6" s="1"/>
  <c r="AH5" i="6"/>
  <c r="AK5" i="6" s="1"/>
  <c r="AH41" i="6"/>
  <c r="AM41" i="6" s="1"/>
  <c r="AO59" i="6"/>
  <c r="AO8" i="6"/>
  <c r="D34" i="6"/>
  <c r="B60" i="6" s="1"/>
  <c r="F60" i="6" s="1"/>
  <c r="AH6" i="6"/>
  <c r="AM6" i="6" s="1"/>
  <c r="B21" i="6"/>
  <c r="C21" i="6" s="1"/>
  <c r="AO30" i="6"/>
  <c r="AL39" i="6"/>
  <c r="AH49" i="6"/>
  <c r="AJ49" i="6" s="1"/>
  <c r="AO10" i="6"/>
  <c r="D11" i="6"/>
  <c r="B37" i="6" s="1"/>
  <c r="AO7" i="6"/>
  <c r="G80" i="6"/>
  <c r="AO34" i="6"/>
  <c r="AL54" i="6"/>
  <c r="AH11" i="6"/>
  <c r="AK11" i="6" s="1"/>
  <c r="AO6" i="6"/>
  <c r="AO11" i="6"/>
  <c r="AH8" i="6"/>
  <c r="AK8" i="6" s="1"/>
  <c r="AO22" i="6"/>
  <c r="G66" i="6"/>
  <c r="AI38" i="6"/>
  <c r="AO47" i="6"/>
  <c r="AL56" i="6"/>
  <c r="AH57" i="6"/>
  <c r="AN57" i="6" s="1"/>
  <c r="AO24" i="6"/>
  <c r="AO28" i="6"/>
  <c r="AO32" i="6"/>
  <c r="AO36" i="6"/>
  <c r="AL38" i="6"/>
  <c r="AO42" i="6"/>
  <c r="AH47" i="6"/>
  <c r="AK47" i="6" s="1"/>
  <c r="AH51" i="6"/>
  <c r="AK51" i="6" s="1"/>
  <c r="AO56" i="6"/>
  <c r="AI35" i="6"/>
  <c r="AH40" i="6"/>
  <c r="AM40" i="6" s="1"/>
  <c r="AO51" i="6"/>
  <c r="AI58" i="6"/>
  <c r="AO20" i="6"/>
  <c r="AI33" i="6"/>
  <c r="AI37" i="6"/>
  <c r="AO41" i="6"/>
  <c r="AO44" i="6"/>
  <c r="AO45" i="6"/>
  <c r="AO49" i="6"/>
  <c r="AL53" i="6"/>
  <c r="AO15" i="6"/>
  <c r="AO18" i="6"/>
  <c r="AO19" i="6"/>
  <c r="AO23" i="6"/>
  <c r="AO25" i="6"/>
  <c r="AO27" i="6"/>
  <c r="AO29" i="6"/>
  <c r="AO31" i="6"/>
  <c r="AO33" i="6"/>
  <c r="AO35" i="6"/>
  <c r="AO37" i="6"/>
  <c r="AL40" i="6"/>
  <c r="AI43" i="6"/>
  <c r="AO46" i="6"/>
  <c r="AO48" i="6"/>
  <c r="AO50" i="6"/>
  <c r="AO52" i="6"/>
  <c r="AH54" i="6"/>
  <c r="AK54" i="6" s="1"/>
  <c r="AO57" i="6"/>
  <c r="AI57" i="6"/>
  <c r="AH52" i="6"/>
  <c r="AN52" i="6" s="1"/>
  <c r="AH17" i="6"/>
  <c r="AM17" i="6" s="1"/>
  <c r="AH18" i="6"/>
  <c r="AN18" i="6" s="1"/>
  <c r="AI32" i="6"/>
  <c r="AI34" i="6"/>
  <c r="AI36" i="6"/>
  <c r="AH39" i="6"/>
  <c r="AM39" i="6" s="1"/>
  <c r="AI42" i="6"/>
  <c r="AL43" i="6"/>
  <c r="AI44" i="6"/>
  <c r="AH46" i="6"/>
  <c r="AH48" i="6"/>
  <c r="AK48" i="6" s="1"/>
  <c r="AH50" i="6"/>
  <c r="AN50" i="6" s="1"/>
  <c r="AL52" i="6"/>
  <c r="AL55" i="6"/>
  <c r="AL58" i="6"/>
  <c r="AI56" i="6"/>
  <c r="AI59" i="6"/>
  <c r="AH59" i="6"/>
  <c r="AN59" i="6" s="1"/>
  <c r="AO12" i="6"/>
  <c r="AO13" i="6"/>
  <c r="AO14" i="6"/>
  <c r="AH15" i="6"/>
  <c r="AM15" i="6" s="1"/>
  <c r="AO16" i="6"/>
  <c r="AH19" i="6"/>
  <c r="AM19" i="6" s="1"/>
  <c r="AH20" i="6"/>
  <c r="AN20" i="6" s="1"/>
  <c r="AO21" i="6"/>
  <c r="AH22" i="6"/>
  <c r="AM22" i="6" s="1"/>
  <c r="AH23" i="6"/>
  <c r="AK23" i="6" s="1"/>
  <c r="AH24" i="6"/>
  <c r="AJ24" i="6" s="1"/>
  <c r="AH25" i="6"/>
  <c r="AK25" i="6" s="1"/>
  <c r="AH26" i="6"/>
  <c r="AM26" i="6" s="1"/>
  <c r="AH27" i="6"/>
  <c r="AM27" i="6" s="1"/>
  <c r="AH28" i="6"/>
  <c r="AM28" i="6" s="1"/>
  <c r="AH29" i="6"/>
  <c r="AJ29" i="6" s="1"/>
  <c r="AH30" i="6"/>
  <c r="AM30" i="6" s="1"/>
  <c r="AH31" i="6"/>
  <c r="AM31" i="6" s="1"/>
  <c r="AH32" i="6"/>
  <c r="AN32" i="6" s="1"/>
  <c r="AH33" i="6"/>
  <c r="AM33" i="6" s="1"/>
  <c r="AH34" i="6"/>
  <c r="AM34" i="6" s="1"/>
  <c r="AH35" i="6"/>
  <c r="AM35" i="6" s="1"/>
  <c r="AH36" i="6"/>
  <c r="AK36" i="6" s="1"/>
  <c r="AH37" i="6"/>
  <c r="AM37" i="6" s="1"/>
  <c r="AO38" i="6"/>
  <c r="AI39" i="6"/>
  <c r="AI40" i="6"/>
  <c r="AL41" i="6"/>
  <c r="AH42" i="6"/>
  <c r="AM42" i="6" s="1"/>
  <c r="AO43" i="6"/>
  <c r="AH44" i="6"/>
  <c r="AK44" i="6" s="1"/>
  <c r="AL45" i="6"/>
  <c r="AL46" i="6"/>
  <c r="AL47" i="6"/>
  <c r="AL48" i="6"/>
  <c r="AL49" i="6"/>
  <c r="AL50" i="6"/>
  <c r="AL51" i="6"/>
  <c r="AI53" i="6"/>
  <c r="AI54" i="6"/>
  <c r="AO55" i="6"/>
  <c r="AH56" i="6"/>
  <c r="AK56" i="6" s="1"/>
  <c r="AO58" i="6"/>
  <c r="AL59" i="6"/>
  <c r="AI55" i="6"/>
  <c r="AH58" i="6"/>
  <c r="AJ58" i="6" s="1"/>
  <c r="AH53" i="6"/>
  <c r="AK53" i="6" s="1"/>
  <c r="AH12" i="6"/>
  <c r="AK12" i="6" s="1"/>
  <c r="AH13" i="6"/>
  <c r="AJ13" i="6" s="1"/>
  <c r="AH14" i="6"/>
  <c r="AJ14" i="6" s="1"/>
  <c r="AH16" i="6"/>
  <c r="AM16" i="6" s="1"/>
  <c r="AO17" i="6"/>
  <c r="AH21" i="6"/>
  <c r="AJ21" i="6" s="1"/>
  <c r="AL32" i="6"/>
  <c r="AL33" i="6"/>
  <c r="AL34" i="6"/>
  <c r="AL35" i="6"/>
  <c r="AL36" i="6"/>
  <c r="AL37" i="6"/>
  <c r="AH38" i="6"/>
  <c r="AJ38" i="6" s="1"/>
  <c r="AO39" i="6"/>
  <c r="AO40" i="6"/>
  <c r="AI41" i="6"/>
  <c r="AL42" i="6"/>
  <c r="AH43" i="6"/>
  <c r="AJ43" i="6" s="1"/>
  <c r="AL44" i="6"/>
  <c r="AI45" i="6"/>
  <c r="AI46" i="6"/>
  <c r="AI47" i="6"/>
  <c r="AI48" i="6"/>
  <c r="AI49" i="6"/>
  <c r="AI50" i="6"/>
  <c r="AI51" i="6"/>
  <c r="AI52" i="6"/>
  <c r="AO53" i="6"/>
  <c r="AO54" i="6"/>
  <c r="AH55" i="6"/>
  <c r="AK55" i="6" s="1"/>
  <c r="AL57" i="6"/>
  <c r="H19" i="4"/>
  <c r="F61" i="6"/>
  <c r="C75" i="6"/>
  <c r="AK45" i="6"/>
  <c r="AJ45" i="6"/>
  <c r="AN45" i="6"/>
  <c r="H28" i="4" l="1"/>
  <c r="H12" i="4"/>
  <c r="F22" i="19" s="1"/>
  <c r="H37" i="4"/>
  <c r="M42" i="4" s="1"/>
  <c r="F33" i="4"/>
  <c r="N30" i="16" s="1"/>
  <c r="F32" i="4"/>
  <c r="C25" i="19" s="1"/>
  <c r="H27" i="4"/>
  <c r="H29" i="4"/>
  <c r="F13" i="19" s="1"/>
  <c r="F35" i="4"/>
  <c r="N32" i="16" s="1"/>
  <c r="U32" i="16" s="1"/>
  <c r="F36" i="4"/>
  <c r="N33" i="16" s="1"/>
  <c r="C33" i="16" s="1"/>
  <c r="H36" i="4"/>
  <c r="H22" i="4"/>
  <c r="M41" i="4" s="1"/>
  <c r="H18" i="4"/>
  <c r="F19" i="19" s="1"/>
  <c r="H33" i="4"/>
  <c r="AL29" i="6" s="1"/>
  <c r="H35" i="4"/>
  <c r="AL31" i="6" s="1"/>
  <c r="F38" i="4"/>
  <c r="N35" i="16" s="1"/>
  <c r="C35" i="16" s="1"/>
  <c r="F30" i="4"/>
  <c r="C21" i="19" s="1"/>
  <c r="H16" i="4"/>
  <c r="F15" i="19" s="1"/>
  <c r="H14" i="4"/>
  <c r="AL10" i="6" s="1"/>
  <c r="F24" i="4"/>
  <c r="C20" i="19" s="1"/>
  <c r="F12" i="4"/>
  <c r="C22" i="19" s="1"/>
  <c r="H10" i="4"/>
  <c r="F18" i="19" s="1"/>
  <c r="H34" i="4"/>
  <c r="K34" i="4" s="1"/>
  <c r="F37" i="4"/>
  <c r="K37" i="4" s="1"/>
  <c r="H26" i="4"/>
  <c r="F24" i="19" s="1"/>
  <c r="H25" i="4"/>
  <c r="F27" i="19" s="1"/>
  <c r="H38" i="4"/>
  <c r="M43" i="4" s="1"/>
  <c r="AI29" i="6"/>
  <c r="H32" i="4"/>
  <c r="AI28" i="6"/>
  <c r="F17" i="19"/>
  <c r="AI30" i="6"/>
  <c r="F26" i="19"/>
  <c r="F6" i="19"/>
  <c r="F11" i="4"/>
  <c r="C14" i="19" s="1"/>
  <c r="F26" i="4"/>
  <c r="C24" i="19" s="1"/>
  <c r="H24" i="4"/>
  <c r="H23" i="4"/>
  <c r="AL19" i="6" s="1"/>
  <c r="H31" i="4"/>
  <c r="H30" i="4"/>
  <c r="H15" i="4"/>
  <c r="AL11" i="6" s="1"/>
  <c r="K54" i="4"/>
  <c r="AS49" i="6"/>
  <c r="AL15" i="6"/>
  <c r="N53" i="16"/>
  <c r="U53" i="16" s="1"/>
  <c r="N52" i="16"/>
  <c r="U52" i="16" s="1"/>
  <c r="N45" i="16"/>
  <c r="C45" i="16" s="1"/>
  <c r="K65" i="6"/>
  <c r="AL14" i="6"/>
  <c r="K57" i="4"/>
  <c r="K42" i="4"/>
  <c r="K58" i="4"/>
  <c r="K56" i="4"/>
  <c r="AQ38" i="6"/>
  <c r="AS45" i="6"/>
  <c r="AS43" i="6"/>
  <c r="AQ49" i="6"/>
  <c r="AS38" i="6"/>
  <c r="AQ45" i="6"/>
  <c r="AQ43" i="6"/>
  <c r="AG45" i="6"/>
  <c r="B73" i="6"/>
  <c r="F73" i="6" s="1"/>
  <c r="F37" i="6"/>
  <c r="C36" i="16"/>
  <c r="U36" i="16"/>
  <c r="C30" i="16"/>
  <c r="U30" i="16"/>
  <c r="C37" i="16"/>
  <c r="U37" i="16"/>
  <c r="C39" i="16"/>
  <c r="U39" i="16"/>
  <c r="C23" i="16"/>
  <c r="U23" i="16"/>
  <c r="C31" i="16"/>
  <c r="U31" i="16"/>
  <c r="C38" i="16"/>
  <c r="U38" i="16"/>
  <c r="K40" i="4"/>
  <c r="F29" i="4"/>
  <c r="F49" i="4"/>
  <c r="K49" i="4" s="1"/>
  <c r="F28" i="4"/>
  <c r="C17" i="19" s="1"/>
  <c r="F47" i="4"/>
  <c r="N19" i="16" s="1"/>
  <c r="H20" i="4"/>
  <c r="F23" i="19" s="1"/>
  <c r="F18" i="4"/>
  <c r="H11" i="4"/>
  <c r="F21" i="4"/>
  <c r="AI17" i="6" s="1"/>
  <c r="H9" i="4"/>
  <c r="AL5" i="6" s="1"/>
  <c r="F9" i="4"/>
  <c r="F59" i="4"/>
  <c r="N5" i="16" s="1"/>
  <c r="F64" i="4"/>
  <c r="K64" i="4" s="1"/>
  <c r="K39" i="4"/>
  <c r="F66" i="4"/>
  <c r="N12" i="16" s="1"/>
  <c r="H63" i="4"/>
  <c r="H47" i="4"/>
  <c r="H50" i="4"/>
  <c r="K50" i="4" s="1"/>
  <c r="H52" i="4"/>
  <c r="H60" i="4"/>
  <c r="H45" i="4"/>
  <c r="F25" i="4"/>
  <c r="C27" i="19" s="1"/>
  <c r="F52" i="4"/>
  <c r="N24" i="16" s="1"/>
  <c r="K41" i="4"/>
  <c r="F27" i="4"/>
  <c r="AI23" i="6" s="1"/>
  <c r="F23" i="4"/>
  <c r="AI19" i="6" s="1"/>
  <c r="F22" i="4"/>
  <c r="C16" i="19" s="1"/>
  <c r="H13" i="4"/>
  <c r="F9" i="19" s="1"/>
  <c r="H17" i="4"/>
  <c r="F31" i="4"/>
  <c r="AI27" i="6" s="1"/>
  <c r="F65" i="4"/>
  <c r="K65" i="4" s="1"/>
  <c r="F46" i="4"/>
  <c r="N18" i="16" s="1"/>
  <c r="H48" i="4"/>
  <c r="K48" i="4" s="1"/>
  <c r="H43" i="4"/>
  <c r="H46" i="4"/>
  <c r="H66" i="4"/>
  <c r="H68" i="4"/>
  <c r="K51" i="4"/>
  <c r="F63" i="4"/>
  <c r="F68" i="4"/>
  <c r="N14" i="16" s="1"/>
  <c r="F61" i="4"/>
  <c r="K61" i="4" s="1"/>
  <c r="F13" i="4"/>
  <c r="AI9" i="6" s="1"/>
  <c r="F10" i="4"/>
  <c r="C18" i="19" s="1"/>
  <c r="F14" i="4"/>
  <c r="F15" i="4"/>
  <c r="AI11" i="6" s="1"/>
  <c r="F69" i="4"/>
  <c r="K69" i="4" s="1"/>
  <c r="F62" i="4"/>
  <c r="F60" i="4"/>
  <c r="N6" i="16" s="1"/>
  <c r="F16" i="4"/>
  <c r="C15" i="19" s="1"/>
  <c r="F20" i="4"/>
  <c r="C23" i="19" s="1"/>
  <c r="F19" i="4"/>
  <c r="F17" i="4"/>
  <c r="C11" i="19" s="1"/>
  <c r="F44" i="4"/>
  <c r="F67" i="4"/>
  <c r="K67" i="4" s="1"/>
  <c r="F45" i="4"/>
  <c r="N17" i="16" s="1"/>
  <c r="F53" i="4"/>
  <c r="K53" i="4" s="1"/>
  <c r="F55" i="4"/>
  <c r="N66" i="16" s="1"/>
  <c r="F43" i="4"/>
  <c r="N46" i="16"/>
  <c r="N20" i="16"/>
  <c r="N43" i="16"/>
  <c r="N49" i="16"/>
  <c r="N11" i="16"/>
  <c r="N22" i="16"/>
  <c r="N34" i="16"/>
  <c r="AN5" i="6"/>
  <c r="AK10" i="6"/>
  <c r="AJ7" i="6"/>
  <c r="AK7" i="6"/>
  <c r="B14" i="6"/>
  <c r="F14" i="6" s="1"/>
  <c r="B18" i="6"/>
  <c r="F18" i="6" s="1"/>
  <c r="AM7" i="6"/>
  <c r="AJ41" i="6"/>
  <c r="AG41" i="6" s="1"/>
  <c r="F21" i="6"/>
  <c r="AJ10" i="6"/>
  <c r="AM10" i="6"/>
  <c r="AM5" i="6"/>
  <c r="B17" i="6"/>
  <c r="C17" i="6" s="1"/>
  <c r="AJ5" i="6"/>
  <c r="B16" i="6"/>
  <c r="F16" i="6" s="1"/>
  <c r="B19" i="6"/>
  <c r="C19" i="6" s="1"/>
  <c r="AN9" i="6"/>
  <c r="AM9" i="6"/>
  <c r="AJ9" i="6"/>
  <c r="B20" i="6"/>
  <c r="C20" i="6" s="1"/>
  <c r="AN41" i="6"/>
  <c r="AM8" i="6"/>
  <c r="B41" i="6"/>
  <c r="F41" i="6" s="1"/>
  <c r="AK41" i="6"/>
  <c r="AJ8" i="6"/>
  <c r="B42" i="6"/>
  <c r="F42" i="6" s="1"/>
  <c r="B43" i="6"/>
  <c r="C43" i="6" s="1"/>
  <c r="AN6" i="6"/>
  <c r="B39" i="6"/>
  <c r="F39" i="6" s="1"/>
  <c r="AN8" i="6"/>
  <c r="AN49" i="6"/>
  <c r="AJ6" i="6"/>
  <c r="AJ11" i="6"/>
  <c r="AM49" i="6"/>
  <c r="AG49" i="6" s="1"/>
  <c r="AN11" i="6"/>
  <c r="AM11" i="6"/>
  <c r="AK49" i="6"/>
  <c r="AK6" i="6"/>
  <c r="AN30" i="6"/>
  <c r="AN16" i="6"/>
  <c r="AJ51" i="6"/>
  <c r="AS51" i="6" s="1"/>
  <c r="AM12" i="6"/>
  <c r="AK34" i="6"/>
  <c r="AN26" i="6"/>
  <c r="AJ54" i="6"/>
  <c r="AQ54" i="6" s="1"/>
  <c r="AN51" i="6"/>
  <c r="AN22" i="6"/>
  <c r="AJ26" i="6"/>
  <c r="AM51" i="6"/>
  <c r="AG51" i="6" s="1"/>
  <c r="AK30" i="6"/>
  <c r="AK27" i="6"/>
  <c r="AN56" i="6"/>
  <c r="AJ50" i="6"/>
  <c r="AS50" i="6" s="1"/>
  <c r="AJ28" i="6"/>
  <c r="AK57" i="6"/>
  <c r="AK31" i="6"/>
  <c r="AM57" i="6"/>
  <c r="AM23" i="6"/>
  <c r="AJ40" i="6"/>
  <c r="AG40" i="6" s="1"/>
  <c r="AN31" i="6"/>
  <c r="AN12" i="6"/>
  <c r="AM20" i="6"/>
  <c r="AM25" i="6"/>
  <c r="AN55" i="6"/>
  <c r="AK43" i="6"/>
  <c r="AM29" i="6"/>
  <c r="AM50" i="6"/>
  <c r="AM52" i="6"/>
  <c r="AM43" i="6"/>
  <c r="AG43" i="6" s="1"/>
  <c r="AM24" i="6"/>
  <c r="AK18" i="6"/>
  <c r="AJ52" i="6"/>
  <c r="AQ52" i="6" s="1"/>
  <c r="AN47" i="6"/>
  <c r="AK33" i="6"/>
  <c r="AK52" i="6"/>
  <c r="AK50" i="6"/>
  <c r="AK32" i="6"/>
  <c r="AJ47" i="6"/>
  <c r="AS47" i="6" s="1"/>
  <c r="AM47" i="6"/>
  <c r="AJ57" i="6"/>
  <c r="AJ32" i="6"/>
  <c r="AQ32" i="6" s="1"/>
  <c r="AK38" i="6"/>
  <c r="AJ48" i="6"/>
  <c r="AS48" i="6" s="1"/>
  <c r="AM13" i="6"/>
  <c r="AN23" i="6"/>
  <c r="AK40" i="6"/>
  <c r="AM55" i="6"/>
  <c r="AN13" i="6"/>
  <c r="AN17" i="6"/>
  <c r="AM44" i="6"/>
  <c r="AM48" i="6"/>
  <c r="AM18" i="6"/>
  <c r="AN28" i="6"/>
  <c r="AN14" i="6"/>
  <c r="AJ36" i="6"/>
  <c r="AQ36" i="6" s="1"/>
  <c r="AM32" i="6"/>
  <c r="AJ18" i="6"/>
  <c r="AN48" i="6"/>
  <c r="AM58" i="6"/>
  <c r="AN19" i="6"/>
  <c r="AN40" i="6"/>
  <c r="AJ17" i="6"/>
  <c r="AJ56" i="6"/>
  <c r="AN46" i="6"/>
  <c r="AJ46" i="6"/>
  <c r="AQ46" i="6" s="1"/>
  <c r="AJ12" i="6"/>
  <c r="AN27" i="6"/>
  <c r="AK35" i="6"/>
  <c r="AK19" i="6"/>
  <c r="AJ27" i="6"/>
  <c r="AJ59" i="6"/>
  <c r="AK22" i="6"/>
  <c r="AK26" i="6"/>
  <c r="AJ19" i="6"/>
  <c r="AM54" i="6"/>
  <c r="AJ39" i="6"/>
  <c r="AG39" i="6" s="1"/>
  <c r="AK46" i="6"/>
  <c r="AJ55" i="6"/>
  <c r="AS55" i="6" s="1"/>
  <c r="AJ31" i="6"/>
  <c r="AN35" i="6"/>
  <c r="AJ35" i="6"/>
  <c r="AG35" i="6" s="1"/>
  <c r="AK42" i="6"/>
  <c r="AN42" i="6"/>
  <c r="AJ15" i="6"/>
  <c r="AK39" i="6"/>
  <c r="AM46" i="6"/>
  <c r="AN43" i="6"/>
  <c r="AK16" i="6"/>
  <c r="AK59" i="6"/>
  <c r="AN34" i="6"/>
  <c r="AJ16" i="6"/>
  <c r="AK15" i="6"/>
  <c r="AN15" i="6"/>
  <c r="AJ22" i="6"/>
  <c r="AN39" i="6"/>
  <c r="AN54" i="6"/>
  <c r="AM59" i="6"/>
  <c r="AK17" i="6"/>
  <c r="AJ42" i="6"/>
  <c r="AG42" i="6" s="1"/>
  <c r="AJ23" i="6"/>
  <c r="AJ30" i="6"/>
  <c r="AJ34" i="6"/>
  <c r="AG34" i="6" s="1"/>
  <c r="AM56" i="6"/>
  <c r="AJ33" i="6"/>
  <c r="AG33" i="6" s="1"/>
  <c r="AM53" i="6"/>
  <c r="AM14" i="6"/>
  <c r="AK14" i="6"/>
  <c r="AJ53" i="6"/>
  <c r="AS53" i="6" s="1"/>
  <c r="AK24" i="6"/>
  <c r="AK29" i="6"/>
  <c r="AK58" i="6"/>
  <c r="AK13" i="6"/>
  <c r="AN58" i="6"/>
  <c r="AK20" i="6"/>
  <c r="AN36" i="6"/>
  <c r="AJ25" i="6"/>
  <c r="AJ37" i="6"/>
  <c r="AG37" i="6" s="1"/>
  <c r="AN29" i="6"/>
  <c r="AN25" i="6"/>
  <c r="AM36" i="6"/>
  <c r="AN37" i="6"/>
  <c r="AN33" i="6"/>
  <c r="AJ20" i="6"/>
  <c r="AJ44" i="6"/>
  <c r="AQ44" i="6" s="1"/>
  <c r="AK37" i="6"/>
  <c r="AN24" i="6"/>
  <c r="AM38" i="6"/>
  <c r="AG38" i="6" s="1"/>
  <c r="AK28" i="6"/>
  <c r="AK21" i="6"/>
  <c r="AN53" i="6"/>
  <c r="AN38" i="6"/>
  <c r="AM21" i="6"/>
  <c r="AN21" i="6"/>
  <c r="AN44" i="6"/>
  <c r="C60" i="6"/>
  <c r="AI8" i="6"/>
  <c r="AL6" i="6"/>
  <c r="K12" i="4"/>
  <c r="K35" i="4" l="1"/>
  <c r="AI31" i="6"/>
  <c r="AZ31" i="6" s="1"/>
  <c r="C32" i="16"/>
  <c r="AL25" i="6"/>
  <c r="AL22" i="6"/>
  <c r="K33" i="4"/>
  <c r="BB29" i="6"/>
  <c r="BH29" i="6" s="1"/>
  <c r="AI6" i="6"/>
  <c r="AG6" i="6" s="1"/>
  <c r="R6" i="16" s="1"/>
  <c r="K30" i="13" s="1"/>
  <c r="L30" i="13" s="1"/>
  <c r="U35" i="16"/>
  <c r="AI26" i="6"/>
  <c r="AL9" i="6"/>
  <c r="AQ29" i="6"/>
  <c r="U33" i="16"/>
  <c r="AL21" i="6"/>
  <c r="K36" i="4"/>
  <c r="K38" i="4"/>
  <c r="AZ29" i="6"/>
  <c r="BA29" i="6" s="1"/>
  <c r="AG29" i="6"/>
  <c r="AS29" i="6"/>
  <c r="M44" i="4"/>
  <c r="F7" i="19"/>
  <c r="AL18" i="6"/>
  <c r="F16" i="19"/>
  <c r="AG28" i="6"/>
  <c r="AX28" i="6" s="1"/>
  <c r="F10" i="19"/>
  <c r="AL30" i="6"/>
  <c r="BB30" i="6" s="1"/>
  <c r="AI7" i="6"/>
  <c r="AZ9" i="6"/>
  <c r="BG9" i="6" s="1"/>
  <c r="F25" i="19"/>
  <c r="AL28" i="6"/>
  <c r="AZ28" i="6" s="1"/>
  <c r="BG28" i="6" s="1"/>
  <c r="K32" i="4"/>
  <c r="AG26" i="6"/>
  <c r="AX26" i="6" s="1"/>
  <c r="AG31" i="6"/>
  <c r="AX31" i="6" s="1"/>
  <c r="BB31" i="6"/>
  <c r="BC31" i="6" s="1"/>
  <c r="AG30" i="6"/>
  <c r="AX30" i="6" s="1"/>
  <c r="AL17" i="6"/>
  <c r="AZ17" i="6" s="1"/>
  <c r="F20" i="19"/>
  <c r="AG27" i="6"/>
  <c r="AX27" i="6" s="1"/>
  <c r="F11" i="19"/>
  <c r="AL13" i="6"/>
  <c r="C13" i="19"/>
  <c r="AI25" i="6"/>
  <c r="AG25" i="6" s="1"/>
  <c r="AL20" i="6"/>
  <c r="AL23" i="6"/>
  <c r="BB23" i="6" s="1"/>
  <c r="BH23" i="6" s="1"/>
  <c r="F21" i="19"/>
  <c r="AL26" i="6"/>
  <c r="AL24" i="6"/>
  <c r="F8" i="19"/>
  <c r="AL27" i="6"/>
  <c r="BB27" i="6" s="1"/>
  <c r="C6" i="19"/>
  <c r="C26" i="19"/>
  <c r="F14" i="19"/>
  <c r="AL7" i="6"/>
  <c r="AZ7" i="6" s="1"/>
  <c r="BB19" i="6"/>
  <c r="BH19" i="6" s="1"/>
  <c r="AL16" i="6"/>
  <c r="F12" i="19"/>
  <c r="BB11" i="6"/>
  <c r="BH11" i="6" s="1"/>
  <c r="AZ19" i="6"/>
  <c r="BA31" i="6"/>
  <c r="BG31" i="6"/>
  <c r="AZ11" i="6"/>
  <c r="BB9" i="6"/>
  <c r="BH9" i="6" s="1"/>
  <c r="AQ23" i="6"/>
  <c r="AR23" i="6" s="1"/>
  <c r="K30" i="4"/>
  <c r="C53" i="16"/>
  <c r="K26" i="4"/>
  <c r="K24" i="4"/>
  <c r="AG19" i="6"/>
  <c r="AX19" i="6" s="1"/>
  <c r="AQ17" i="6"/>
  <c r="AU17" i="6" s="1"/>
  <c r="AV17" i="6" s="1"/>
  <c r="C52" i="16"/>
  <c r="C10" i="19"/>
  <c r="AQ7" i="6"/>
  <c r="AU7" i="6" s="1"/>
  <c r="AV7" i="6" s="1"/>
  <c r="U45" i="16"/>
  <c r="N54" i="16"/>
  <c r="U54" i="16" s="1"/>
  <c r="C12" i="19"/>
  <c r="AI16" i="6"/>
  <c r="N44" i="16"/>
  <c r="U44" i="16" s="1"/>
  <c r="AL12" i="6"/>
  <c r="N48" i="16"/>
  <c r="U48" i="16" s="1"/>
  <c r="AI22" i="6"/>
  <c r="AI10" i="6"/>
  <c r="AZ10" i="6" s="1"/>
  <c r="AI18" i="6"/>
  <c r="N58" i="16"/>
  <c r="C58" i="16" s="1"/>
  <c r="C8" i="19"/>
  <c r="AI12" i="6"/>
  <c r="N55" i="16"/>
  <c r="U55" i="16" s="1"/>
  <c r="AL8" i="6"/>
  <c r="BB8" i="6" s="1"/>
  <c r="BH8" i="6" s="1"/>
  <c r="N50" i="16"/>
  <c r="U50" i="16" s="1"/>
  <c r="AI24" i="6"/>
  <c r="C7" i="19"/>
  <c r="AI13" i="6"/>
  <c r="N57" i="16"/>
  <c r="U57" i="16" s="1"/>
  <c r="C9" i="19"/>
  <c r="AI20" i="6"/>
  <c r="N60" i="16"/>
  <c r="C60" i="16" s="1"/>
  <c r="AI14" i="6"/>
  <c r="AZ14" i="6" s="1"/>
  <c r="K10" i="4"/>
  <c r="I65" i="6"/>
  <c r="AI5" i="6"/>
  <c r="AZ5" i="6" s="1"/>
  <c r="K22" i="4"/>
  <c r="AI15" i="6"/>
  <c r="AZ15" i="6" s="1"/>
  <c r="K11" i="4"/>
  <c r="K28" i="4"/>
  <c r="C19" i="19"/>
  <c r="AI21" i="6"/>
  <c r="K17" i="4"/>
  <c r="K47" i="4"/>
  <c r="K43" i="4"/>
  <c r="K55" i="4"/>
  <c r="K60" i="4"/>
  <c r="K59" i="4"/>
  <c r="AQ48" i="6"/>
  <c r="AU48" i="6" s="1"/>
  <c r="AV48" i="6" s="1"/>
  <c r="AS54" i="6"/>
  <c r="AS18" i="6"/>
  <c r="AS40" i="6"/>
  <c r="AT40" i="6" s="1"/>
  <c r="AT38" i="6"/>
  <c r="AQ41" i="6"/>
  <c r="AR41" i="6" s="1"/>
  <c r="AQ30" i="6"/>
  <c r="AU30" i="6" s="1"/>
  <c r="AV30" i="6" s="1"/>
  <c r="AS36" i="6"/>
  <c r="AS46" i="6"/>
  <c r="AT43" i="6"/>
  <c r="AS30" i="6"/>
  <c r="AQ50" i="6"/>
  <c r="AR50" i="6" s="1"/>
  <c r="AQ40" i="6"/>
  <c r="AU40" i="6" s="1"/>
  <c r="AV40" i="6" s="1"/>
  <c r="AS35" i="6"/>
  <c r="AT35" i="6" s="1"/>
  <c r="AS32" i="6"/>
  <c r="AQ42" i="6"/>
  <c r="AR42" i="6" s="1"/>
  <c r="AT45" i="6"/>
  <c r="AT51" i="6"/>
  <c r="AU32" i="6"/>
  <c r="AV32" i="6" s="1"/>
  <c r="AR32" i="6"/>
  <c r="AU44" i="6"/>
  <c r="AV44" i="6" s="1"/>
  <c r="AR44" i="6"/>
  <c r="AU52" i="6"/>
  <c r="AV52" i="6" s="1"/>
  <c r="AR52" i="6"/>
  <c r="AU36" i="6"/>
  <c r="AV36" i="6" s="1"/>
  <c r="AR36" i="6"/>
  <c r="R22" i="16"/>
  <c r="K7" i="13" s="1"/>
  <c r="L7" i="13" s="1"/>
  <c r="R38" i="16"/>
  <c r="V38" i="16" s="1"/>
  <c r="AX33" i="6"/>
  <c r="R16" i="16"/>
  <c r="K13" i="13" s="1"/>
  <c r="L13" i="13" s="1"/>
  <c r="R45" i="16"/>
  <c r="V45" i="16" s="1"/>
  <c r="AX39" i="6"/>
  <c r="R31" i="16"/>
  <c r="V31" i="16" s="1"/>
  <c r="AU43" i="6"/>
  <c r="AV43" i="6" s="1"/>
  <c r="AR43" i="6"/>
  <c r="AQ26" i="6"/>
  <c r="AU45" i="6"/>
  <c r="AV45" i="6" s="1"/>
  <c r="AR45" i="6"/>
  <c r="AU49" i="6"/>
  <c r="AV49" i="6" s="1"/>
  <c r="AR49" i="6"/>
  <c r="AS34" i="6"/>
  <c r="AT34" i="6" s="1"/>
  <c r="AQ53" i="6"/>
  <c r="AS27" i="6"/>
  <c r="AQ27" i="6"/>
  <c r="AU38" i="6"/>
  <c r="AV38" i="6" s="1"/>
  <c r="AR38" i="6"/>
  <c r="R44" i="16"/>
  <c r="V44" i="16" s="1"/>
  <c r="AX38" i="6"/>
  <c r="R48" i="16"/>
  <c r="V48" i="16" s="1"/>
  <c r="AX42" i="6"/>
  <c r="R17" i="16"/>
  <c r="K12" i="13" s="1"/>
  <c r="L12" i="13" s="1"/>
  <c r="R36" i="16"/>
  <c r="V36" i="16" s="1"/>
  <c r="R46" i="16"/>
  <c r="G46" i="16" s="1"/>
  <c r="AX40" i="6"/>
  <c r="R47" i="16"/>
  <c r="V47" i="16" s="1"/>
  <c r="AX41" i="6"/>
  <c r="AS23" i="6"/>
  <c r="AQ39" i="6"/>
  <c r="AS31" i="6"/>
  <c r="AS52" i="6"/>
  <c r="AQ51" i="6"/>
  <c r="AS41" i="6"/>
  <c r="AT41" i="6" s="1"/>
  <c r="AQ34" i="6"/>
  <c r="AQ47" i="6"/>
  <c r="AQ35" i="6"/>
  <c r="AS44" i="6"/>
  <c r="AQ55" i="6"/>
  <c r="R39" i="16"/>
  <c r="V39" i="16" s="1"/>
  <c r="AX34" i="6"/>
  <c r="R23" i="16"/>
  <c r="K6" i="13" s="1"/>
  <c r="L6" i="13" s="1"/>
  <c r="R20" i="16"/>
  <c r="K9" i="13" s="1"/>
  <c r="L9" i="13" s="1"/>
  <c r="R32" i="16"/>
  <c r="V32" i="16" s="1"/>
  <c r="R25" i="16"/>
  <c r="K4" i="13" s="1"/>
  <c r="L4" i="13" s="1"/>
  <c r="R34" i="16"/>
  <c r="V34" i="16" s="1"/>
  <c r="R33" i="16"/>
  <c r="V33" i="16" s="1"/>
  <c r="AS19" i="6"/>
  <c r="AU29" i="6"/>
  <c r="AV29" i="6" s="1"/>
  <c r="AR29" i="6"/>
  <c r="AS17" i="6"/>
  <c r="AU46" i="6"/>
  <c r="AV46" i="6" s="1"/>
  <c r="AR46" i="6"/>
  <c r="AU54" i="6"/>
  <c r="AV54" i="6" s="1"/>
  <c r="AR54" i="6"/>
  <c r="R43" i="16"/>
  <c r="G43" i="16" s="1"/>
  <c r="AX37" i="6"/>
  <c r="R35" i="16"/>
  <c r="V35" i="16" s="1"/>
  <c r="R41" i="16"/>
  <c r="V41" i="16" s="1"/>
  <c r="AX35" i="6"/>
  <c r="R49" i="16"/>
  <c r="G49" i="16" s="1"/>
  <c r="AX43" i="6"/>
  <c r="R58" i="16"/>
  <c r="G58" i="16" s="1"/>
  <c r="AX51" i="6"/>
  <c r="R56" i="16"/>
  <c r="G56" i="16" s="1"/>
  <c r="AX49" i="6"/>
  <c r="R52" i="16"/>
  <c r="V52" i="16" s="1"/>
  <c r="AX45" i="6"/>
  <c r="AQ37" i="6"/>
  <c r="AS39" i="6"/>
  <c r="AT39" i="6" s="1"/>
  <c r="AS33" i="6"/>
  <c r="AT33" i="6" s="1"/>
  <c r="AQ31" i="6"/>
  <c r="AS42" i="6"/>
  <c r="AT42" i="6" s="1"/>
  <c r="AQ28" i="6"/>
  <c r="AS37" i="6"/>
  <c r="AT37" i="6" s="1"/>
  <c r="AQ33" i="6"/>
  <c r="AS26" i="6"/>
  <c r="AT49" i="6"/>
  <c r="AQ19" i="6"/>
  <c r="AS28" i="6"/>
  <c r="AG48" i="6"/>
  <c r="AT48" i="6" s="1"/>
  <c r="AG7" i="6"/>
  <c r="R7" i="16" s="1"/>
  <c r="K31" i="13" s="1"/>
  <c r="L31" i="13" s="1"/>
  <c r="AG36" i="6"/>
  <c r="AG53" i="6"/>
  <c r="AG55" i="6"/>
  <c r="AG47" i="6"/>
  <c r="C73" i="6"/>
  <c r="C34" i="16"/>
  <c r="U34" i="16"/>
  <c r="C49" i="16"/>
  <c r="U49" i="16"/>
  <c r="C12" i="16"/>
  <c r="U12" i="16"/>
  <c r="AG32" i="6"/>
  <c r="AG52" i="6"/>
  <c r="C43" i="16"/>
  <c r="U43" i="16"/>
  <c r="AG46" i="6"/>
  <c r="AG44" i="6"/>
  <c r="AG23" i="6"/>
  <c r="C11" i="16"/>
  <c r="U11" i="16"/>
  <c r="C46" i="16"/>
  <c r="U46" i="16"/>
  <c r="C6" i="16"/>
  <c r="U6" i="16"/>
  <c r="C14" i="16"/>
  <c r="U14" i="16"/>
  <c r="C18" i="16"/>
  <c r="U18" i="16"/>
  <c r="C19" i="16"/>
  <c r="U19" i="16"/>
  <c r="C17" i="16"/>
  <c r="U17" i="16"/>
  <c r="C24" i="16"/>
  <c r="U24" i="16"/>
  <c r="C5" i="16"/>
  <c r="U5" i="16"/>
  <c r="AG54" i="6"/>
  <c r="AG50" i="6"/>
  <c r="C22" i="16"/>
  <c r="U22" i="16"/>
  <c r="C20" i="16"/>
  <c r="U20" i="16"/>
  <c r="U66" i="16"/>
  <c r="C66" i="16"/>
  <c r="N42" i="16"/>
  <c r="K45" i="4"/>
  <c r="K25" i="4"/>
  <c r="K29" i="4"/>
  <c r="K18" i="4"/>
  <c r="K31" i="4"/>
  <c r="N21" i="16"/>
  <c r="N47" i="16"/>
  <c r="K23" i="4"/>
  <c r="N7" i="16"/>
  <c r="K66" i="4"/>
  <c r="K52" i="4"/>
  <c r="N59" i="16"/>
  <c r="K14" i="4"/>
  <c r="N10" i="16"/>
  <c r="K27" i="4"/>
  <c r="N41" i="16"/>
  <c r="K46" i="4"/>
  <c r="K9" i="4"/>
  <c r="K20" i="4"/>
  <c r="N25" i="16"/>
  <c r="K21" i="4"/>
  <c r="K16" i="4"/>
  <c r="N61" i="16"/>
  <c r="K19" i="4"/>
  <c r="N13" i="16"/>
  <c r="N9" i="16"/>
  <c r="K63" i="4"/>
  <c r="K13" i="4"/>
  <c r="K68" i="4"/>
  <c r="N56" i="16"/>
  <c r="K15" i="4"/>
  <c r="N8" i="16"/>
  <c r="K62" i="4"/>
  <c r="K44" i="4"/>
  <c r="N16" i="16"/>
  <c r="C18" i="6"/>
  <c r="AS7" i="6"/>
  <c r="C14" i="6"/>
  <c r="AG9" i="6"/>
  <c r="R9" i="16" s="1"/>
  <c r="K33" i="13" s="1"/>
  <c r="L33" i="13" s="1"/>
  <c r="F19" i="6"/>
  <c r="F17" i="6"/>
  <c r="C16" i="6"/>
  <c r="C42" i="6"/>
  <c r="C37" i="6"/>
  <c r="AG8" i="6"/>
  <c r="R8" i="16" s="1"/>
  <c r="K32" i="13" s="1"/>
  <c r="L32" i="13" s="1"/>
  <c r="F20" i="6"/>
  <c r="F43" i="6"/>
  <c r="F46" i="6" s="1"/>
  <c r="C41" i="6"/>
  <c r="C39" i="6"/>
  <c r="AG11" i="6"/>
  <c r="R11" i="16" s="1"/>
  <c r="K35" i="13" s="1"/>
  <c r="L35" i="13" s="1"/>
  <c r="AG17" i="6"/>
  <c r="AX17" i="6" s="1"/>
  <c r="AS11" i="6"/>
  <c r="AQ11" i="6"/>
  <c r="AQ9" i="6"/>
  <c r="AS9" i="6"/>
  <c r="AS8" i="6"/>
  <c r="AQ8" i="6"/>
  <c r="AZ22" i="6" l="1"/>
  <c r="BA22" i="6" s="1"/>
  <c r="AZ18" i="6"/>
  <c r="BG18" i="6" s="1"/>
  <c r="BB17" i="6"/>
  <c r="BH17" i="6" s="1"/>
  <c r="AQ6" i="6"/>
  <c r="AS6" i="6"/>
  <c r="AT6" i="6" s="1"/>
  <c r="BC29" i="6"/>
  <c r="AZ6" i="6"/>
  <c r="BG6" i="6" s="1"/>
  <c r="BB6" i="6"/>
  <c r="BH6" i="6" s="1"/>
  <c r="AT28" i="6"/>
  <c r="AT26" i="6"/>
  <c r="AT29" i="6"/>
  <c r="AX29" i="6"/>
  <c r="BH31" i="6"/>
  <c r="BG29" i="6"/>
  <c r="BH30" i="6"/>
  <c r="BC30" i="6"/>
  <c r="AZ30" i="6"/>
  <c r="BA28" i="6"/>
  <c r="BA9" i="6"/>
  <c r="AT31" i="6"/>
  <c r="BB7" i="6"/>
  <c r="BH7" i="6" s="1"/>
  <c r="BB28" i="6"/>
  <c r="AZ16" i="6"/>
  <c r="BG16" i="6" s="1"/>
  <c r="AQ25" i="6"/>
  <c r="AR25" i="6" s="1"/>
  <c r="AZ23" i="6"/>
  <c r="BG23" i="6" s="1"/>
  <c r="BC19" i="6"/>
  <c r="AT27" i="6"/>
  <c r="AS25" i="6"/>
  <c r="AT25" i="6" s="1"/>
  <c r="AT30" i="6"/>
  <c r="AZ20" i="6"/>
  <c r="BA20" i="6" s="1"/>
  <c r="AZ24" i="6"/>
  <c r="BA24" i="6" s="1"/>
  <c r="BA17" i="6"/>
  <c r="BG17" i="6"/>
  <c r="BA7" i="6"/>
  <c r="BG7" i="6"/>
  <c r="BH27" i="6"/>
  <c r="BC27" i="6"/>
  <c r="BB26" i="6"/>
  <c r="AZ26" i="6"/>
  <c r="AZ25" i="6"/>
  <c r="BB25" i="6"/>
  <c r="AZ27" i="6"/>
  <c r="AZ12" i="6"/>
  <c r="BA12" i="6" s="1"/>
  <c r="BC11" i="6"/>
  <c r="BB14" i="6"/>
  <c r="BH14" i="6" s="1"/>
  <c r="AU23" i="6"/>
  <c r="AV23" i="6" s="1"/>
  <c r="BC17" i="6"/>
  <c r="BC23" i="6"/>
  <c r="BB16" i="6"/>
  <c r="BH16" i="6" s="1"/>
  <c r="BB20" i="6"/>
  <c r="BH20" i="6" s="1"/>
  <c r="BA5" i="6"/>
  <c r="BG5" i="6"/>
  <c r="AZ13" i="6"/>
  <c r="BB13" i="6"/>
  <c r="BH13" i="6" s="1"/>
  <c r="BB24" i="6"/>
  <c r="BH24" i="6" s="1"/>
  <c r="BB5" i="6"/>
  <c r="BH5" i="6" s="1"/>
  <c r="BA18" i="6"/>
  <c r="BB12" i="6"/>
  <c r="BH12" i="6" s="1"/>
  <c r="BA19" i="6"/>
  <c r="BG19" i="6"/>
  <c r="BB10" i="6"/>
  <c r="BH10" i="6" s="1"/>
  <c r="AZ21" i="6"/>
  <c r="BB21" i="6"/>
  <c r="BH21" i="6" s="1"/>
  <c r="BA15" i="6"/>
  <c r="BG15" i="6"/>
  <c r="BA10" i="6"/>
  <c r="BG10" i="6"/>
  <c r="BB15" i="6"/>
  <c r="BH15" i="6" s="1"/>
  <c r="BA14" i="6"/>
  <c r="BG14" i="6"/>
  <c r="BC9" i="6"/>
  <c r="BA11" i="6"/>
  <c r="BG11" i="6"/>
  <c r="BB18" i="6"/>
  <c r="BH18" i="6" s="1"/>
  <c r="AZ8" i="6"/>
  <c r="BB22" i="6"/>
  <c r="BH22" i="6" s="1"/>
  <c r="C54" i="16"/>
  <c r="AG18" i="6"/>
  <c r="AX18" i="6" s="1"/>
  <c r="AR17" i="6"/>
  <c r="AT19" i="6"/>
  <c r="BC8" i="6"/>
  <c r="AS10" i="6"/>
  <c r="AG10" i="6"/>
  <c r="R10" i="16" s="1"/>
  <c r="K34" i="13" s="1"/>
  <c r="L34" i="13" s="1"/>
  <c r="AG12" i="6"/>
  <c r="AX12" i="6" s="1"/>
  <c r="AG20" i="6"/>
  <c r="AX20" i="6" s="1"/>
  <c r="C55" i="16"/>
  <c r="C44" i="16"/>
  <c r="C57" i="16"/>
  <c r="U60" i="16"/>
  <c r="AS5" i="6"/>
  <c r="AG5" i="6"/>
  <c r="R5" i="16" s="1"/>
  <c r="K29" i="13" s="1"/>
  <c r="L29" i="13" s="1"/>
  <c r="AQ16" i="6"/>
  <c r="AU16" i="6" s="1"/>
  <c r="AV16" i="6" s="1"/>
  <c r="AR7" i="6"/>
  <c r="C50" i="16"/>
  <c r="AG14" i="6"/>
  <c r="AX14" i="6" s="1"/>
  <c r="U58" i="16"/>
  <c r="AQ5" i="6"/>
  <c r="AU5" i="6" s="1"/>
  <c r="AV5" i="6" s="1"/>
  <c r="AS16" i="6"/>
  <c r="AG15" i="6"/>
  <c r="AX15" i="6" s="1"/>
  <c r="AG24" i="6"/>
  <c r="AX24" i="6" s="1"/>
  <c r="AS22" i="6"/>
  <c r="AQ22" i="6"/>
  <c r="AR22" i="6" s="1"/>
  <c r="AS20" i="6"/>
  <c r="AG13" i="6"/>
  <c r="AX13" i="6" s="1"/>
  <c r="AQ18" i="6"/>
  <c r="AU18" i="6" s="1"/>
  <c r="AV18" i="6" s="1"/>
  <c r="C48" i="16"/>
  <c r="AR40" i="6"/>
  <c r="AS12" i="6"/>
  <c r="AQ10" i="6"/>
  <c r="AR10" i="6" s="1"/>
  <c r="AG16" i="6"/>
  <c r="AX16" i="6" s="1"/>
  <c r="AQ20" i="6"/>
  <c r="AU20" i="6" s="1"/>
  <c r="AV20" i="6" s="1"/>
  <c r="AQ15" i="6"/>
  <c r="AU15" i="6" s="1"/>
  <c r="AV15" i="6" s="1"/>
  <c r="AG22" i="6"/>
  <c r="AX22" i="6" s="1"/>
  <c r="AS15" i="6"/>
  <c r="AQ12" i="6"/>
  <c r="AR12" i="6" s="1"/>
  <c r="AS21" i="6"/>
  <c r="AQ21" i="6"/>
  <c r="AQ14" i="6"/>
  <c r="AS14" i="6"/>
  <c r="AQ13" i="6"/>
  <c r="AS13" i="6"/>
  <c r="AS24" i="6"/>
  <c r="AQ24" i="6"/>
  <c r="AG21" i="6"/>
  <c r="AX21" i="6" s="1"/>
  <c r="V43" i="16"/>
  <c r="K41" i="13"/>
  <c r="L41" i="13" s="1"/>
  <c r="V22" i="16"/>
  <c r="G17" i="16"/>
  <c r="AU41" i="6"/>
  <c r="AV41" i="6" s="1"/>
  <c r="AU42" i="6"/>
  <c r="AV42" i="6" s="1"/>
  <c r="G20" i="16"/>
  <c r="AR48" i="6"/>
  <c r="AU50" i="6"/>
  <c r="AV50" i="6" s="1"/>
  <c r="G38" i="16"/>
  <c r="AR30" i="6"/>
  <c r="V56" i="16"/>
  <c r="V46" i="16"/>
  <c r="G32" i="16"/>
  <c r="G48" i="16"/>
  <c r="AT36" i="6"/>
  <c r="G31" i="16"/>
  <c r="G34" i="16"/>
  <c r="G36" i="16"/>
  <c r="G33" i="16"/>
  <c r="G45" i="16"/>
  <c r="V58" i="16"/>
  <c r="G41" i="16"/>
  <c r="G52" i="16"/>
  <c r="V16" i="16"/>
  <c r="G35" i="16"/>
  <c r="G25" i="16"/>
  <c r="G44" i="16"/>
  <c r="V49" i="16"/>
  <c r="G23" i="16"/>
  <c r="G47" i="16"/>
  <c r="G39" i="16"/>
  <c r="G22" i="16"/>
  <c r="V25" i="16"/>
  <c r="V17" i="16"/>
  <c r="V23" i="16"/>
  <c r="G16" i="16"/>
  <c r="V20" i="16"/>
  <c r="R57" i="16"/>
  <c r="G57" i="16" s="1"/>
  <c r="AX50" i="6"/>
  <c r="R21" i="16"/>
  <c r="K8" i="13" s="1"/>
  <c r="L8" i="13" s="1"/>
  <c r="R37" i="16"/>
  <c r="G37" i="16" s="1"/>
  <c r="AX32" i="6"/>
  <c r="AU19" i="6"/>
  <c r="AV19" i="6" s="1"/>
  <c r="AR19" i="6"/>
  <c r="AU28" i="6"/>
  <c r="AV28" i="6" s="1"/>
  <c r="AR28" i="6"/>
  <c r="AT17" i="6"/>
  <c r="AT32" i="6"/>
  <c r="AU35" i="6"/>
  <c r="AV35" i="6" s="1"/>
  <c r="AR35" i="6"/>
  <c r="AU51" i="6"/>
  <c r="AV51" i="6" s="1"/>
  <c r="AR51" i="6"/>
  <c r="AU53" i="6"/>
  <c r="AV53" i="6" s="1"/>
  <c r="AR53" i="6"/>
  <c r="AT50" i="6"/>
  <c r="R61" i="16"/>
  <c r="G61" i="16" s="1"/>
  <c r="AX54" i="6"/>
  <c r="R50" i="16"/>
  <c r="G50" i="16" s="1"/>
  <c r="AX44" i="6"/>
  <c r="AU37" i="6"/>
  <c r="AV37" i="6" s="1"/>
  <c r="AR37" i="6"/>
  <c r="AT52" i="6"/>
  <c r="AT23" i="6"/>
  <c r="AT54" i="6"/>
  <c r="R53" i="16"/>
  <c r="G53" i="16" s="1"/>
  <c r="AX46" i="6"/>
  <c r="R54" i="16"/>
  <c r="G54" i="16" s="1"/>
  <c r="AX47" i="6"/>
  <c r="R60" i="16"/>
  <c r="V60" i="16" s="1"/>
  <c r="AX53" i="6"/>
  <c r="R55" i="16"/>
  <c r="G55" i="16" s="1"/>
  <c r="AX48" i="6"/>
  <c r="AU33" i="6"/>
  <c r="AV33" i="6" s="1"/>
  <c r="AR33" i="6"/>
  <c r="AU31" i="6"/>
  <c r="AV31" i="6" s="1"/>
  <c r="AR31" i="6"/>
  <c r="AU55" i="6"/>
  <c r="AV55" i="6" s="1"/>
  <c r="AR55" i="6"/>
  <c r="AU47" i="6"/>
  <c r="AV47" i="6" s="1"/>
  <c r="AR47" i="6"/>
  <c r="AU39" i="6"/>
  <c r="AV39" i="6" s="1"/>
  <c r="AR39" i="6"/>
  <c r="AT46" i="6"/>
  <c r="AU27" i="6"/>
  <c r="AV27" i="6" s="1"/>
  <c r="AR27" i="6"/>
  <c r="AU26" i="6"/>
  <c r="AV26" i="6" s="1"/>
  <c r="AR26" i="6"/>
  <c r="R30" i="16"/>
  <c r="K40" i="13" s="1"/>
  <c r="L40" i="13" s="1"/>
  <c r="AX25" i="6"/>
  <c r="R24" i="16"/>
  <c r="K5" i="13" s="1"/>
  <c r="L5" i="13" s="1"/>
  <c r="AX23" i="6"/>
  <c r="R59" i="16"/>
  <c r="G59" i="16" s="1"/>
  <c r="AX52" i="6"/>
  <c r="R66" i="16"/>
  <c r="K42" i="13" s="1"/>
  <c r="L42" i="13" s="1"/>
  <c r="AX55" i="6"/>
  <c r="R42" i="16"/>
  <c r="V42" i="16" s="1"/>
  <c r="AX36" i="6"/>
  <c r="AT44" i="6"/>
  <c r="AU34" i="6"/>
  <c r="AV34" i="6" s="1"/>
  <c r="AR34" i="6"/>
  <c r="AT53" i="6"/>
  <c r="AT47" i="6"/>
  <c r="AT55" i="6"/>
  <c r="V7" i="16"/>
  <c r="AX7" i="6"/>
  <c r="AT7" i="6"/>
  <c r="G7" i="16"/>
  <c r="R12" i="16"/>
  <c r="K36" i="13" s="1"/>
  <c r="L36" i="13" s="1"/>
  <c r="G11" i="16"/>
  <c r="V11" i="16"/>
  <c r="C8" i="16"/>
  <c r="U8" i="16"/>
  <c r="C25" i="16"/>
  <c r="U25" i="16"/>
  <c r="C41" i="16"/>
  <c r="U41" i="16"/>
  <c r="C59" i="16"/>
  <c r="U59" i="16"/>
  <c r="R13" i="16"/>
  <c r="K37" i="13" s="1"/>
  <c r="L37" i="13" s="1"/>
  <c r="R14" i="16"/>
  <c r="K38" i="13" s="1"/>
  <c r="L38" i="13" s="1"/>
  <c r="G6" i="16"/>
  <c r="V6" i="16"/>
  <c r="G9" i="16"/>
  <c r="V9" i="16"/>
  <c r="C16" i="16"/>
  <c r="U16" i="16"/>
  <c r="C61" i="16"/>
  <c r="U61" i="16"/>
  <c r="C47" i="16"/>
  <c r="U47" i="16"/>
  <c r="C42" i="16"/>
  <c r="U42" i="16"/>
  <c r="R18" i="16"/>
  <c r="K11" i="13" s="1"/>
  <c r="L11" i="13" s="1"/>
  <c r="R19" i="16"/>
  <c r="K10" i="13" s="1"/>
  <c r="L10" i="13" s="1"/>
  <c r="C56" i="16"/>
  <c r="U56" i="16"/>
  <c r="C9" i="16"/>
  <c r="U9" i="16"/>
  <c r="C10" i="16"/>
  <c r="U10" i="16"/>
  <c r="C21" i="16"/>
  <c r="U21" i="16"/>
  <c r="G8" i="16"/>
  <c r="V8" i="16"/>
  <c r="C13" i="16"/>
  <c r="U13" i="16"/>
  <c r="C7" i="16"/>
  <c r="U7" i="16"/>
  <c r="F23" i="6"/>
  <c r="C46" i="6"/>
  <c r="C47" i="6" s="1"/>
  <c r="B58" i="6" s="1"/>
  <c r="C58" i="6" s="1"/>
  <c r="C62" i="6" s="1"/>
  <c r="C63" i="6" s="1"/>
  <c r="C23" i="6"/>
  <c r="C24" i="6" s="1"/>
  <c r="B72" i="6" s="1"/>
  <c r="C72" i="6" s="1"/>
  <c r="C76" i="6" s="1"/>
  <c r="C77" i="6" s="1"/>
  <c r="AT9" i="6"/>
  <c r="AR8" i="6"/>
  <c r="AU8" i="6"/>
  <c r="AV8" i="6" s="1"/>
  <c r="AU9" i="6"/>
  <c r="AV9" i="6" s="1"/>
  <c r="AR9" i="6"/>
  <c r="AU6" i="6"/>
  <c r="AV6" i="6" s="1"/>
  <c r="AR6" i="6"/>
  <c r="AT8" i="6"/>
  <c r="AX9" i="6"/>
  <c r="AX6" i="6"/>
  <c r="AU11" i="6"/>
  <c r="AV11" i="6" s="1"/>
  <c r="AR11" i="6"/>
  <c r="AX8" i="6"/>
  <c r="AX11" i="6"/>
  <c r="AT11" i="6"/>
  <c r="BA6" i="6" l="1"/>
  <c r="BG22" i="6"/>
  <c r="BC6" i="6"/>
  <c r="BC7" i="6"/>
  <c r="BA30" i="6"/>
  <c r="BG30" i="6"/>
  <c r="BC18" i="6"/>
  <c r="BA16" i="6"/>
  <c r="BC28" i="6"/>
  <c r="BH28" i="6"/>
  <c r="BA23" i="6"/>
  <c r="AU25" i="6"/>
  <c r="AV25" i="6" s="1"/>
  <c r="BG20" i="6"/>
  <c r="BC10" i="6"/>
  <c r="BG24" i="6"/>
  <c r="BG12" i="6"/>
  <c r="BA25" i="6"/>
  <c r="BG25" i="6"/>
  <c r="BA26" i="6"/>
  <c r="BG26" i="6"/>
  <c r="BG27" i="6"/>
  <c r="BA27" i="6"/>
  <c r="BH26" i="6"/>
  <c r="BC26" i="6"/>
  <c r="BH25" i="6"/>
  <c r="BC25" i="6"/>
  <c r="BC20" i="6"/>
  <c r="BC22" i="6"/>
  <c r="BC16" i="6"/>
  <c r="BC24" i="6"/>
  <c r="BC12" i="6"/>
  <c r="BC14" i="6"/>
  <c r="BC15" i="6"/>
  <c r="BG8" i="6"/>
  <c r="BA8" i="6"/>
  <c r="BC21" i="6"/>
  <c r="BA13" i="6"/>
  <c r="BG13" i="6"/>
  <c r="BC13" i="6"/>
  <c r="BC5" i="6"/>
  <c r="BA21" i="6"/>
  <c r="BG21" i="6"/>
  <c r="AT18" i="6"/>
  <c r="AU10" i="6"/>
  <c r="AV10" i="6" s="1"/>
  <c r="AX10" i="6"/>
  <c r="AU22" i="6"/>
  <c r="AV22" i="6" s="1"/>
  <c r="AT20" i="6"/>
  <c r="V10" i="16"/>
  <c r="AT13" i="6"/>
  <c r="AT10" i="6"/>
  <c r="G10" i="16"/>
  <c r="AR5" i="6"/>
  <c r="AT14" i="6"/>
  <c r="AT12" i="6"/>
  <c r="AR16" i="6"/>
  <c r="AX5" i="6"/>
  <c r="G5" i="16"/>
  <c r="AR15" i="6"/>
  <c r="AT5" i="6"/>
  <c r="V5" i="16"/>
  <c r="AT15" i="6"/>
  <c r="AU12" i="6"/>
  <c r="AV12" i="6" s="1"/>
  <c r="AR18" i="6"/>
  <c r="AR20" i="6"/>
  <c r="AT16" i="6"/>
  <c r="V53" i="16"/>
  <c r="AT24" i="6"/>
  <c r="AR14" i="6"/>
  <c r="AU14" i="6"/>
  <c r="AV14" i="6" s="1"/>
  <c r="AU21" i="6"/>
  <c r="AV21" i="6" s="1"/>
  <c r="AR21" i="6"/>
  <c r="AU24" i="6"/>
  <c r="AV24" i="6" s="1"/>
  <c r="AR24" i="6"/>
  <c r="AR13" i="6"/>
  <c r="AU13" i="6"/>
  <c r="AV13" i="6" s="1"/>
  <c r="AT21" i="6"/>
  <c r="AT22" i="6"/>
  <c r="G21" i="16"/>
  <c r="V54" i="16"/>
  <c r="V37" i="16"/>
  <c r="V57" i="16"/>
  <c r="V24" i="16"/>
  <c r="G24" i="16"/>
  <c r="G66" i="16"/>
  <c r="V21" i="16"/>
  <c r="G30" i="16"/>
  <c r="V66" i="16"/>
  <c r="V59" i="16"/>
  <c r="V61" i="16"/>
  <c r="G60" i="16"/>
  <c r="V30" i="16"/>
  <c r="G42" i="16"/>
  <c r="V55" i="16"/>
  <c r="V50" i="16"/>
  <c r="G19" i="16"/>
  <c r="V19" i="16"/>
  <c r="G18" i="16"/>
  <c r="V18" i="16"/>
  <c r="G13" i="16"/>
  <c r="V13" i="16"/>
  <c r="G14" i="16"/>
  <c r="V14" i="16"/>
  <c r="G12" i="16"/>
  <c r="V12" i="16"/>
  <c r="F24" i="6"/>
  <c r="E72" i="6" s="1"/>
  <c r="F72" i="6" s="1"/>
  <c r="F76" i="6" s="1"/>
  <c r="F77" i="6" s="1"/>
  <c r="F78" i="6" s="1"/>
  <c r="AD4" i="6" s="1"/>
  <c r="F47" i="6"/>
  <c r="E58" i="6" s="1"/>
  <c r="F58" i="6" s="1"/>
  <c r="F62" i="6" s="1"/>
  <c r="F63" i="6" s="1"/>
  <c r="F64" i="6" s="1"/>
  <c r="AF4" i="6" s="1"/>
  <c r="F25" i="6" l="1"/>
  <c r="F26" i="6" s="1"/>
  <c r="F48" i="6"/>
  <c r="F49" i="6" s="1"/>
  <c r="F79" i="6"/>
  <c r="F80" i="6" s="1"/>
  <c r="AC4" i="6" s="1"/>
  <c r="F65" i="6"/>
  <c r="F66" i="6" s="1"/>
  <c r="AE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Jones</author>
  </authors>
  <commentList>
    <comment ref="J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Forced to nominal so that zero calculation works. This can allow different zeros to be labelled by frequency (e.g.  400 and 400.01).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Corney</author>
    <author>k.jones</author>
  </authors>
  <commentList>
    <comment ref="M9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 xr:uid="{00000000-0006-0000-0600-000003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 xr:uid="{00000000-0006-0000-0600-000004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 xr:uid="{00000000-0006-0000-0600-000005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 xr:uid="{00000000-0006-0000-0600-000006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 xr:uid="{00000000-0006-0000-06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 xr:uid="{00000000-0006-0000-06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  <comment ref="L47" authorId="1" shapeId="0" xr:uid="{00000000-0006-0000-0600-000009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just 1.0 in source template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Jones</author>
    <author>t.stewart</author>
    <author>k.jones</author>
  </authors>
  <commentList>
    <comment ref="W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allow 10% as standard uncertainty
</t>
        </r>
      </text>
    </comment>
    <comment ref="B18" authorId="1" shapeId="0" xr:uid="{00000000-0006-0000-0700-000002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Assume 0.5 degree as have below?
KJ: agreed and modified</t>
        </r>
      </text>
    </comment>
    <comment ref="B20" authorId="1" shapeId="0" xr:uid="{00000000-0006-0000-0700-000003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in
2014, safer to stay with 16</t>
        </r>
      </text>
    </comment>
    <comment ref="B21" authorId="2" shapeId="0" xr:uid="{00000000-0006-0000-0700-000004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Sensitivity falls with f, 1 ppm at 2 kHz</t>
        </r>
      </text>
    </comment>
    <comment ref="B37" authorId="1" shapeId="0" xr:uid="{00000000-0006-0000-0700-000005000000}">
      <text>
        <r>
          <rPr>
            <sz val="8"/>
            <color indexed="81"/>
            <rFont val="Tahoma"/>
            <family val="2"/>
          </rPr>
          <t xml:space="preserve">t.stewart: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revert to 16 in 2014</t>
        </r>
      </text>
    </comment>
    <comment ref="L37" authorId="2" shapeId="0" xr:uid="{00000000-0006-0000-0700-000006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Revert after new CMCs developed and accepted.</t>
        </r>
      </text>
    </comment>
    <comment ref="D38" authorId="2" shapeId="0" xr:uid="{00000000-0006-0000-07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changed from 50 to 30 %, has impact on dof.</t>
        </r>
      </text>
    </comment>
    <comment ref="B40" authorId="2" shapeId="0" xr:uid="{00000000-0006-0000-07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say 1/f noise of 1 ppm at 100 Hz</t>
        </r>
      </text>
    </comment>
    <comment ref="D40" authorId="2" shapeId="0" xr:uid="{00000000-0006-0000-0700-000009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set to 1%, 30% compatible with CMC calculation</t>
        </r>
      </text>
    </comment>
    <comment ref="L40" authorId="2" shapeId="0" xr:uid="{00000000-0006-0000-0700-00000A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10 in last dial is more consistent with CMCs.</t>
        </r>
      </text>
    </comment>
    <comment ref="B41" authorId="2" shapeId="0" xr:uid="{00000000-0006-0000-0700-00000B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with x10 but!!! the dial setting takes care of the fact that there are 7 dials!!!!</t>
        </r>
      </text>
    </comment>
    <comment ref="B57" authorId="2" shapeId="0" xr:uid="{00000000-0006-0000-0700-00000C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done in % for the Muirhead inductors.</t>
        </r>
      </text>
    </comment>
    <comment ref="B59" authorId="2" shapeId="0" xr:uid="{00000000-0006-0000-0700-00000D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until rest of calculation is correct.</t>
        </r>
      </text>
    </comment>
    <comment ref="B60" authorId="2" shapeId="0" xr:uid="{00000000-0006-0000-0700-00000E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63" authorId="1" shapeId="0" xr:uid="{00000000-0006-0000-0700-00000F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Should it be "u combined (%)" ??
KJ: agree %</t>
        </r>
      </text>
    </comment>
    <comment ref="B72" authorId="2" shapeId="0" xr:uid="{00000000-0006-0000-0700-000010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% for Muirheads</t>
        </r>
      </text>
    </comment>
    <comment ref="B73" authorId="2" shapeId="0" xr:uid="{00000000-0006-0000-0700-00001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4" authorId="2" shapeId="0" xr:uid="{00000000-0006-0000-0700-000012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for now</t>
        </r>
      </text>
    </comment>
    <comment ref="B75" authorId="0" shapeId="0" xr:uid="{00000000-0006-0000-0700-000013000000}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1 pF is 1000 counts on range 6Y.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</author>
  </authors>
  <commentList>
    <comment ref="D16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Christian:</t>
        </r>
        <r>
          <rPr>
            <sz val="8"/>
            <color indexed="81"/>
            <rFont val="Tahoma"/>
            <family val="2"/>
          </rPr>
          <t xml:space="preserve">
Actually UB read 985.254</t>
        </r>
      </text>
    </comment>
  </commentList>
</comments>
</file>

<file path=xl/sharedStrings.xml><?xml version="1.0" encoding="utf-8"?>
<sst xmlns="http://schemas.openxmlformats.org/spreadsheetml/2006/main" count="1436" uniqueCount="724">
  <si>
    <t>C</t>
  </si>
  <si>
    <t>nS</t>
  </si>
  <si>
    <t>E1</t>
  </si>
  <si>
    <t>E2</t>
  </si>
  <si>
    <t>E3</t>
  </si>
  <si>
    <t>D1</t>
  </si>
  <si>
    <t>UNCERTAINTY</t>
  </si>
  <si>
    <t>Information for calculating expanded uncertainties</t>
  </si>
  <si>
    <t>GEUM uncertainty calculation template</t>
  </si>
  <si>
    <t>k-factor from degrees of freedom</t>
  </si>
  <si>
    <t>a</t>
  </si>
  <si>
    <t>b</t>
  </si>
  <si>
    <t xml:space="preserve">The 95% level of confidence expanded uncertainties are calculated using the Welch-Satterthwaite </t>
  </si>
  <si>
    <t>c</t>
  </si>
  <si>
    <t xml:space="preserve">formula to combine standard uncertainties.   The individual degrees of freedom are derived either </t>
  </si>
  <si>
    <t>d</t>
  </si>
  <si>
    <t>Label</t>
  </si>
  <si>
    <t>k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</si>
  <si>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</si>
  <si>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</si>
  <si>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</si>
  <si>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</si>
  <si>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Source of uncertainty</t>
  </si>
  <si>
    <t>Uncertainties</t>
  </si>
  <si>
    <t xml:space="preserve">Degrees of </t>
  </si>
  <si>
    <t>Variances</t>
  </si>
  <si>
    <t>% Accuracy</t>
  </si>
  <si>
    <t>Freedom, v</t>
  </si>
  <si>
    <t>u^4/v</t>
  </si>
  <si>
    <t>Sum of variance</t>
  </si>
  <si>
    <t>Sum of u^4/v</t>
  </si>
  <si>
    <t>effective v</t>
  </si>
  <si>
    <t>Assumptions</t>
  </si>
  <si>
    <t>Range</t>
  </si>
  <si>
    <t>Capacitance</t>
  </si>
  <si>
    <t>6Y</t>
  </si>
  <si>
    <t>3Y</t>
  </si>
  <si>
    <t>A1</t>
  </si>
  <si>
    <t>B10</t>
  </si>
  <si>
    <t>C1</t>
  </si>
  <si>
    <t>5Y</t>
  </si>
  <si>
    <t>C10</t>
  </si>
  <si>
    <t>7Y</t>
  </si>
  <si>
    <t>This table is the usual form for calculating spreadsheet corrections</t>
  </si>
  <si>
    <t>Date</t>
  </si>
  <si>
    <t>R4A</t>
  </si>
  <si>
    <t>R4B</t>
  </si>
  <si>
    <t>R4C</t>
  </si>
  <si>
    <t>G1</t>
  </si>
  <si>
    <t>G2</t>
  </si>
  <si>
    <t xml:space="preserve">Component </t>
  </si>
  <si>
    <t>Value</t>
  </si>
  <si>
    <t>1.6 kHz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</si>
  <si>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</si>
  <si>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</si>
  <si>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</si>
  <si>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</si>
  <si>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</si>
  <si>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</si>
  <si>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</si>
  <si>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</si>
  <si>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</si>
  <si>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</si>
  <si>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</si>
  <si>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</si>
  <si>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</si>
  <si>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</si>
  <si>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</si>
  <si>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</si>
  <si>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</si>
  <si>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</si>
  <si>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</si>
  <si>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</si>
  <si>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</si>
  <si>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</si>
  <si>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bridge calibration</t>
  </si>
  <si>
    <t>where Z3=R+jwC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</si>
  <si>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</si>
  <si>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</si>
  <si>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R4A is used for ranges 5 to 1 inclusive</t>
  </si>
  <si>
    <t>R4B is used on range 6 only</t>
  </si>
  <si>
    <t>R4C is used on range 7 only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</si>
  <si>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</si>
  <si>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</si>
  <si>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1Z</t>
  </si>
  <si>
    <t>2Z</t>
  </si>
  <si>
    <t>3Z</t>
  </si>
  <si>
    <t>4Z</t>
  </si>
  <si>
    <t>5Z</t>
  </si>
  <si>
    <t>6Z</t>
  </si>
  <si>
    <t>7Z</t>
  </si>
  <si>
    <t>1Y</t>
  </si>
  <si>
    <t>2Y</t>
  </si>
  <si>
    <t>4Y</t>
  </si>
  <si>
    <t>Unit Multiplier</t>
  </si>
  <si>
    <t>Multiplier (C&amp;L)</t>
  </si>
  <si>
    <t>Unit Name</t>
  </si>
  <si>
    <t>Multiplier (G&amp;R)</t>
  </si>
  <si>
    <r>
      <t>m</t>
    </r>
    <r>
      <rPr>
        <sz val="12"/>
        <rFont val="Symbol"/>
        <family val="1"/>
        <charset val="2"/>
      </rPr>
      <t>W</t>
    </r>
  </si>
  <si>
    <t>W</t>
  </si>
  <si>
    <t>ohm</t>
  </si>
  <si>
    <t>H</t>
  </si>
  <si>
    <r>
      <t>k</t>
    </r>
    <r>
      <rPr>
        <sz val="12"/>
        <rFont val="Symbol"/>
        <family val="1"/>
        <charset val="2"/>
      </rPr>
      <t>W</t>
    </r>
  </si>
  <si>
    <t>mS</t>
  </si>
  <si>
    <t>nF</t>
  </si>
  <si>
    <t>pF</t>
  </si>
  <si>
    <t>Model for uncertainty calculation.</t>
  </si>
  <si>
    <t>Loss angle</t>
  </si>
  <si>
    <t>Base on formula for Universal bridge....ie assign an uncertainty to each term.</t>
  </si>
  <si>
    <t xml:space="preserve">ac/dc error of standards </t>
  </si>
  <si>
    <t>5ppm considered two sigma limit, essentially relying on dc values of resistors</t>
  </si>
  <si>
    <t>dial linearity</t>
  </si>
  <si>
    <t>1 ppm of full scale</t>
  </si>
  <si>
    <t>amplifier/ratio</t>
  </si>
  <si>
    <t>temperature coefficient of resistors</t>
  </si>
  <si>
    <t>depends on matching of Vishay components</t>
  </si>
  <si>
    <t>temperature coefficient of capacitor</t>
  </si>
  <si>
    <t>2 ppm per degree for capacitor</t>
  </si>
  <si>
    <t>component stability</t>
  </si>
  <si>
    <t>resolution</t>
  </si>
  <si>
    <t>this might be range and frequency dependent</t>
  </si>
  <si>
    <t>expanded u (counts)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</si>
  <si>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</si>
  <si>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</si>
  <si>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-</t>
  </si>
  <si>
    <t>based on standard deviation of 1984 determinations, 160 counts (16 ppm) for C at full scale</t>
  </si>
  <si>
    <t>stability of resistors only</t>
  </si>
  <si>
    <t>ubridge uncertainty</t>
  </si>
  <si>
    <t>temperature coefficient</t>
  </si>
  <si>
    <t xml:space="preserve">Expanded </t>
  </si>
  <si>
    <t>uncertainty</t>
  </si>
  <si>
    <t>bridge calibration, using HP3458 as transfer instrument</t>
  </si>
  <si>
    <t>change</t>
  </si>
  <si>
    <t>(milliradian)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</si>
  <si>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</si>
  <si>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</si>
  <si>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</si>
  <si>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</si>
  <si>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correction_c</t>
  </si>
  <si>
    <t>Latest comment</t>
  </si>
  <si>
    <t>Increase from 2 to 5 ppm to account for short-term instability of 1000 pF capacitor</t>
  </si>
  <si>
    <t>(pF)</t>
  </si>
  <si>
    <t>G</t>
  </si>
  <si>
    <t>Frequency</t>
  </si>
  <si>
    <t>Hz</t>
  </si>
  <si>
    <t>loss angle</t>
  </si>
  <si>
    <t>milliradians</t>
  </si>
  <si>
    <t>bridge calibration, following MSLT.E.023.004.  Uncertainties have increased.</t>
  </si>
  <si>
    <t>Client</t>
  </si>
  <si>
    <t>Job number</t>
  </si>
  <si>
    <t>S Number</t>
  </si>
  <si>
    <t>Checked by:</t>
  </si>
  <si>
    <t>uC</t>
  </si>
  <si>
    <t>delta</t>
  </si>
  <si>
    <t>Start with S21580a</t>
  </si>
  <si>
    <t>Copy 'Universal Bridge' from most recent S21814 for RLC standards.</t>
  </si>
  <si>
    <t>Update history page for easier plotting.</t>
  </si>
  <si>
    <t>New UB calibrations need to be entered in Data block and accessed through the Date</t>
  </si>
  <si>
    <t>&lt;10</t>
  </si>
  <si>
    <t>except for range  4, up to 44?</t>
  </si>
  <si>
    <t>assume negligible c,d</t>
  </si>
  <si>
    <t>(G3=1/R4*)</t>
  </si>
  <si>
    <t>R&amp;F</t>
  </si>
  <si>
    <t>UBIII</t>
  </si>
  <si>
    <t>bridge calibration, following MSLT.E.023.004/5.  Uncertainties have increased slightly from 2005.</t>
  </si>
  <si>
    <t>Symbol font versions</t>
  </si>
  <si>
    <t>Plain version</t>
  </si>
  <si>
    <t>CMC n for L</t>
  </si>
  <si>
    <t>CMC m for R</t>
  </si>
  <si>
    <t>microH</t>
  </si>
  <si>
    <t>milliohm</t>
  </si>
  <si>
    <r>
      <t>m</t>
    </r>
    <r>
      <rPr>
        <sz val="12"/>
        <rFont val="Palatino"/>
        <family val="1"/>
      </rPr>
      <t>H</t>
    </r>
  </si>
  <si>
    <t>milliH</t>
  </si>
  <si>
    <t>mH</t>
  </si>
  <si>
    <t>kilohm</t>
  </si>
  <si>
    <t>microF</t>
  </si>
  <si>
    <t>milliS</t>
  </si>
  <si>
    <r>
      <t>m</t>
    </r>
    <r>
      <rPr>
        <sz val="12"/>
        <rFont val="Palatino"/>
        <family val="1"/>
      </rPr>
      <t>F</t>
    </r>
  </si>
  <si>
    <t>microS</t>
  </si>
  <si>
    <r>
      <t>m</t>
    </r>
    <r>
      <rPr>
        <sz val="12"/>
        <rFont val="Palatino"/>
        <family val="1"/>
      </rPr>
      <t>S</t>
    </r>
  </si>
  <si>
    <t>Carefully redefine critical block names.</t>
  </si>
  <si>
    <t>Item</t>
  </si>
  <si>
    <t>10 pF</t>
  </si>
  <si>
    <t>1 pF</t>
  </si>
  <si>
    <t>Alter label structure on Results page, could try to use vlookup to find range zeros on UniversalBridge sheet?</t>
  </si>
  <si>
    <t>Parameters dependent on component</t>
  </si>
  <si>
    <t>This is a data table with B9 as the column input cell.</t>
  </si>
  <si>
    <t>CMC</t>
  </si>
  <si>
    <t>IANZ</t>
  </si>
  <si>
    <t>This must be re-calculated with new data sets.</t>
  </si>
  <si>
    <t>The component label is the key variable for the table</t>
  </si>
  <si>
    <t>R alpha</t>
  </si>
  <si>
    <t>u_R alpha</t>
  </si>
  <si>
    <t>L/C alpha</t>
  </si>
  <si>
    <t>u_L/C alpha</t>
  </si>
  <si>
    <t>Aux L</t>
  </si>
  <si>
    <t>Aux R</t>
  </si>
  <si>
    <t>L/C uncertainty</t>
  </si>
  <si>
    <t>L/C</t>
  </si>
  <si>
    <t>mult</t>
  </si>
  <si>
    <t>n</t>
  </si>
  <si>
    <t>R/G</t>
  </si>
  <si>
    <t>m</t>
  </si>
  <si>
    <t>f</t>
  </si>
  <si>
    <t>CMC/U</t>
  </si>
  <si>
    <t>Component label</t>
  </si>
  <si>
    <t>Universal bridge reactance uncertainty</t>
  </si>
  <si>
    <t>for</t>
  </si>
  <si>
    <t xml:space="preserve"> u (counts)</t>
  </si>
  <si>
    <t>based on scatter of results in 1984, increased in 2004 and 2005</t>
  </si>
  <si>
    <t xml:space="preserve">Previous value was 7 ppm, now increased to 17 ppm to acount for errors on RHS of bridge.  </t>
  </si>
  <si>
    <t>some doubt on stability of capacitor in particular, increased in 2004</t>
  </si>
  <si>
    <t>16 ppm of resistance dial setting, see comment for resistance, reduced to 5 ppm after 2004 cal</t>
  </si>
  <si>
    <t>Link to conductance setting, previously just 2 counts</t>
  </si>
  <si>
    <t>Previous was 2, use latest value from MSLT.E.023.005, 200/f</t>
  </si>
  <si>
    <t>u combined (counts)</t>
  </si>
  <si>
    <t>1/ For all frequencies.  Additional noise typical at 50 Hz needs to be added</t>
  </si>
  <si>
    <t>4/ Updated following 2004/5 UB calibration, see AUDIREGC</t>
  </si>
  <si>
    <t>Universal bridge resistance uncertainty</t>
  </si>
  <si>
    <t>conductance dial setting</t>
  </si>
  <si>
    <t>all references to the conductance dial are now to cell D34 (previously separate lookups back to results page)</t>
  </si>
  <si>
    <t>Previous was 16, use latest value of 5 from MSLT.E.023.005</t>
  </si>
  <si>
    <t xml:space="preserve">Previous value was 2, now decreased to 1 ppm following MSLT.E023.005 </t>
  </si>
  <si>
    <t>this might be dependent on frequency and range, included below, increased from 0 to 1 in 2006, now 2000/f</t>
  </si>
  <si>
    <t>based on scatter of results in 1984, increased following 2004 and 2005 calibration</t>
  </si>
  <si>
    <t xml:space="preserve">Previous value was 1, now increased to 2 ppm following MSLT.E023.005 </t>
  </si>
  <si>
    <t>1/ This scatter is consistent with Thompson's phase standards.</t>
  </si>
  <si>
    <t>2/ Updated following 200/54 UB calibration see AUDIREGC</t>
  </si>
  <si>
    <t>ubridge count uncertainty</t>
  </si>
  <si>
    <t>3 month drift in resistance</t>
  </si>
  <si>
    <t xml:space="preserve">assume u_t = 0.5 degree </t>
  </si>
  <si>
    <t>C uncert = (0.2/f +22C) pF with C in microF, f in Hz</t>
  </si>
  <si>
    <t>1/</t>
  </si>
  <si>
    <t>3 month drift of standard</t>
  </si>
  <si>
    <t>u combined (count)</t>
  </si>
  <si>
    <t>expanded u (count)</t>
  </si>
  <si>
    <t>Replace uncertainty sheet with the uncertainty sheet from S21814</t>
  </si>
  <si>
    <t>R/G uncertainty</t>
  </si>
  <si>
    <t>G to delta</t>
  </si>
  <si>
    <t>AH2700A</t>
  </si>
  <si>
    <t>ppm</t>
  </si>
  <si>
    <t>L/C dial setting</t>
  </si>
  <si>
    <t>G/R error due to phase error in L/C</t>
  </si>
  <si>
    <t>L/C error due to phase error in R/G</t>
  </si>
  <si>
    <t>mrad</t>
  </si>
  <si>
    <t>Alter treatment of range 7Y and 6Y by applying corrections as at bottom of Results sheet</t>
  </si>
  <si>
    <t>Modify Report to pick up corrected results</t>
  </si>
  <si>
    <t>delta uncert = 0.000027+0.00027/C</t>
  </si>
  <si>
    <t>C uncert = 0.2/f+22C</t>
  </si>
  <si>
    <t>Now return to 16 to stay consistent with CMCS</t>
  </si>
  <si>
    <t>Increase to 5 for 2011 measurements.</t>
  </si>
  <si>
    <t>Start with S21815.xls</t>
  </si>
  <si>
    <t>As S21815.xls</t>
  </si>
  <si>
    <t>As S21942.xlsx</t>
  </si>
  <si>
    <t>bridge calibration, following MSLT.E.023.006.  Uncertainties unchanged from 2009.</t>
  </si>
  <si>
    <t>Enter Ubridge calibration data of 7/7/14</t>
  </si>
  <si>
    <t>Add graph history of UB cal constants,  just for interest.</t>
  </si>
  <si>
    <t>repeat</t>
  </si>
  <si>
    <t>assume 0.5 deg at one sigma and look up the temp coefficient</t>
  </si>
  <si>
    <t>Delays in calibrating the UB (and repairing the permutable) are the reason for having the standards so long, and hence measuring them twice.</t>
  </si>
  <si>
    <t>Range 7 results remain a problem for loss angle measurements, see 'Range7' worksheet.</t>
  </si>
  <si>
    <t>Range 7 was a design afterthought on the Universal Bridge and is expected to perform less well than the other ranges.</t>
  </si>
  <si>
    <t>Consider the 2014 calibration of the UB that has, for the first time, included a 1 M Vishay in the calibration.</t>
  </si>
  <si>
    <t>We have no resistance phase standard for range 7.</t>
  </si>
  <si>
    <t>At 1.6 kHz the G and R ac-dc differences look OK at -10.5 and 0.3 ppm respectively (using the same 'c' correction as for all other ranges, see 'Resistors' page).</t>
  </si>
  <si>
    <t>The 1 M Vishay gives a reading of -35 mH, which is much larger than the intrinsic &lt;0.08 uH, but consistent with a mere 0.035 pF in parallel with the 1 M resistor</t>
  </si>
  <si>
    <t>GR100 is measured ('L and C' sheet) to have a 144 urad loss angle.</t>
  </si>
  <si>
    <t>AH2700 measures</t>
  </si>
  <si>
    <t>urad for GR100 (see p.23 of UB III)</t>
  </si>
  <si>
    <t>Calc cap  suggests</t>
  </si>
  <si>
    <t>urad for GR100 (see Y:\Ongoing\Farad\CalcCap\Cap2014\Simple_buildup_July2014.xls)</t>
  </si>
  <si>
    <t>Item 1 gives basic confidence of ratio performance.</t>
  </si>
  <si>
    <t>Item 2 is inconclusive.</t>
  </si>
  <si>
    <t>Items 3 to 5 suggest a correction is required for phase on Range 7Y of the UB.</t>
  </si>
  <si>
    <t>AH2700</t>
  </si>
  <si>
    <t>Unfortunately the difference in loss angles measured by the UB in July and August exceed the estimated uncertainty.</t>
  </si>
  <si>
    <t>It is possible that the phase of the UB's 1 M internal standard was changed during the July calibration (physical knock?)</t>
  </si>
  <si>
    <t>Universal Bridge</t>
  </si>
  <si>
    <t>Therefore it seems prudent to rely on the AH2700 for the loss angle of capacitors below 1 nF.</t>
  </si>
  <si>
    <t>See AH2700 manual page C-6 (appendix C), 'Accuracy of D vs. Frequency' graph</t>
  </si>
  <si>
    <t>100 pF/ 1 nF</t>
  </si>
  <si>
    <t>6 urad</t>
  </si>
  <si>
    <t>4 urad</t>
  </si>
  <si>
    <t>3 urad</t>
  </si>
  <si>
    <t>D accuracy</t>
  </si>
  <si>
    <t>These are a factor of 10 or more better than our UB based CMCs.</t>
  </si>
  <si>
    <t>Therefore use AH2700 results, but UB uncertainties (for CMC compliance).</t>
  </si>
  <si>
    <t>Therefore for reporting loss angle for the 1, 10 and 100 pF capacitors, use AH2700 results with UB uncertainties (for CMC compliance).</t>
  </si>
  <si>
    <t>As there is doubt about the 1 June loss angle measurements, only the 12 August results are reported</t>
  </si>
  <si>
    <t>As S21959</t>
  </si>
  <si>
    <t>Start with S21942b.xls as an up to date UB calculator for capacitance and loss angle</t>
  </si>
  <si>
    <t xml:space="preserve">Reference S21745_v3.xls for structure of previous calibration of the Olex capacitance box </t>
  </si>
  <si>
    <t>S21959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</si>
  <si>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</si>
  <si>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</si>
  <si>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</si>
  <si>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</si>
  <si>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</si>
  <si>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</si>
  <si>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</si>
  <si>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</si>
  <si>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</si>
  <si>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</si>
  <si>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</si>
  <si>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</si>
  <si>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</si>
  <si>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</si>
  <si>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</si>
  <si>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</si>
  <si>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</si>
  <si>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</si>
  <si>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</si>
  <si>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</si>
  <si>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</si>
  <si>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</si>
  <si>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</si>
  <si>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</si>
  <si>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</si>
  <si>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</si>
  <si>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</si>
  <si>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</si>
  <si>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</si>
  <si>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</si>
  <si>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</si>
  <si>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</si>
  <si>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</si>
  <si>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</si>
  <si>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</si>
  <si>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E0</t>
  </si>
  <si>
    <t>E4</t>
  </si>
  <si>
    <t>E5</t>
  </si>
  <si>
    <t>E6</t>
  </si>
  <si>
    <t>E7</t>
  </si>
  <si>
    <t>E8</t>
  </si>
  <si>
    <t>E9</t>
  </si>
  <si>
    <t>E10</t>
  </si>
  <si>
    <t>Modify labels in results, labelling box with dials A to E (slightly different from S21745)</t>
  </si>
  <si>
    <t>Update Zeros table in 'Universal Bridge' to pick up correct zeros from 'Results' page</t>
  </si>
  <si>
    <t>Note that E0 and D0 will likely have had a dial movement and so would not be identical</t>
  </si>
  <si>
    <t>Use trick of labelling with a slightly different frequency!!</t>
  </si>
  <si>
    <t>C105Y</t>
  </si>
  <si>
    <t>Dial</t>
  </si>
  <si>
    <t>Setting</t>
  </si>
  <si>
    <t>1pF</t>
  </si>
  <si>
    <t>DIV</t>
  </si>
  <si>
    <t>'100'</t>
  </si>
  <si>
    <t>100pF</t>
  </si>
  <si>
    <t>STEPS</t>
  </si>
  <si>
    <t>X</t>
  </si>
  <si>
    <t>1000pF</t>
  </si>
  <si>
    <t>0.01mF</t>
  </si>
  <si>
    <t>0.1mF</t>
  </si>
  <si>
    <t>All dials</t>
  </si>
  <si>
    <t>dial code</t>
  </si>
  <si>
    <t>E06Y</t>
  </si>
  <si>
    <t>E16Y</t>
  </si>
  <si>
    <t>E26Y</t>
  </si>
  <si>
    <t>E36Y</t>
  </si>
  <si>
    <t>E46Y</t>
  </si>
  <si>
    <t>E56Y</t>
  </si>
  <si>
    <t>E66Y</t>
  </si>
  <si>
    <t>E76Y</t>
  </si>
  <si>
    <t>E86Y</t>
  </si>
  <si>
    <t>E96Y</t>
  </si>
  <si>
    <t>E106Y</t>
  </si>
  <si>
    <t>D16Y</t>
  </si>
  <si>
    <t>D26Y</t>
  </si>
  <si>
    <t>D36Y</t>
  </si>
  <si>
    <t>D46Y</t>
  </si>
  <si>
    <t>D56Y</t>
  </si>
  <si>
    <t>D66Y</t>
  </si>
  <si>
    <t>D76Y</t>
  </si>
  <si>
    <t>D86Y</t>
  </si>
  <si>
    <t>D96Y</t>
  </si>
  <si>
    <t>D106Y</t>
  </si>
  <si>
    <t>C15Y</t>
  </si>
  <si>
    <t>C25Y</t>
  </si>
  <si>
    <t>C35Y</t>
  </si>
  <si>
    <t>C45Y</t>
  </si>
  <si>
    <t>C55Y</t>
  </si>
  <si>
    <t>C65Y</t>
  </si>
  <si>
    <t>C75Y</t>
  </si>
  <si>
    <t>C85Y</t>
  </si>
  <si>
    <t>C95Y</t>
  </si>
  <si>
    <t>B14Y</t>
  </si>
  <si>
    <t>B24Y</t>
  </si>
  <si>
    <t>B34Y</t>
  </si>
  <si>
    <t>B44Y</t>
  </si>
  <si>
    <t>B64Y</t>
  </si>
  <si>
    <t>B74Y</t>
  </si>
  <si>
    <t>B84Y</t>
  </si>
  <si>
    <t>B94Y</t>
  </si>
  <si>
    <t>B104Y</t>
  </si>
  <si>
    <t>A13Y</t>
  </si>
  <si>
    <t>A23Y</t>
  </si>
  <si>
    <t>A33Y</t>
  </si>
  <si>
    <t>A43Y</t>
  </si>
  <si>
    <t>A53Y</t>
  </si>
  <si>
    <t>A63Y</t>
  </si>
  <si>
    <t>A73Y</t>
  </si>
  <si>
    <t>A83Y</t>
  </si>
  <si>
    <t>A93Y</t>
  </si>
  <si>
    <t>A103Y</t>
  </si>
  <si>
    <r>
      <t>0.01</t>
    </r>
    <r>
      <rPr>
        <sz val="11"/>
        <rFont val="Calibri"/>
        <family val="2"/>
      </rPr>
      <t>µ</t>
    </r>
    <r>
      <rPr>
        <sz val="11"/>
        <rFont val="Times New Roman"/>
        <family val="1"/>
      </rPr>
      <t>F</t>
    </r>
  </si>
  <si>
    <r>
      <t>0.1</t>
    </r>
    <r>
      <rPr>
        <sz val="11"/>
        <rFont val="Calibri"/>
        <family val="2"/>
      </rPr>
      <t>µ</t>
    </r>
    <r>
      <rPr>
        <sz val="11"/>
        <rFont val="Times New Roman"/>
        <family val="1"/>
      </rPr>
      <t>F</t>
    </r>
  </si>
  <si>
    <t>Build report page afresh, copying format from S21745.</t>
  </si>
  <si>
    <t>B54Y</t>
  </si>
  <si>
    <t>C1 jumped</t>
  </si>
  <si>
    <t>UB1000 jump</t>
  </si>
  <si>
    <t>AH2700 readings</t>
  </si>
  <si>
    <t>increase</t>
  </si>
  <si>
    <t>New value for UB1000 inserted in 'Unversal Bridge' sheet. Result of likely step change, see p.33 of UBIII</t>
  </si>
  <si>
    <t>shift in C1, likely due to shifting of UB to power lab while air con ducting being worked on.</t>
  </si>
  <si>
    <t>Difference as En</t>
  </si>
  <si>
    <t>Connection definition</t>
  </si>
  <si>
    <t>Use 'connection definition' uncertainty as in S21745.</t>
  </si>
  <si>
    <t>Set capacitance temperature coefficient uncertainty as 70 ppm one sigma, based on manufacture's claim that coefficient is -140 ppm.</t>
  </si>
  <si>
    <t>zero for change in capacitance, but on range 6Y use 0.6 pF for zero definition, 0.5 pF for vernier setting.</t>
  </si>
  <si>
    <t>range</t>
  </si>
  <si>
    <t>cap</t>
  </si>
  <si>
    <t>Cmult</t>
  </si>
  <si>
    <t>Gmult</t>
  </si>
  <si>
    <t>unit mult</t>
  </si>
  <si>
    <t>1/12/2009 results</t>
  </si>
  <si>
    <t>Formatted version</t>
  </si>
  <si>
    <t>Formula for series resistance mapping as conductance brought into uncertainty from S21745</t>
  </si>
  <si>
    <t>.Dial</t>
  </si>
  <si>
    <t>t</t>
  </si>
  <si>
    <t>delta C</t>
  </si>
  <si>
    <t>delta G</t>
  </si>
  <si>
    <t>deg celsius</t>
  </si>
  <si>
    <t>report</t>
  </si>
  <si>
    <t>uncert</t>
  </si>
  <si>
    <t>En</t>
  </si>
  <si>
    <t>Note</t>
  </si>
  <si>
    <t>The dials each use 4 capacitors with values 1, 2, 2 and 5.</t>
  </si>
  <si>
    <t>1+2</t>
  </si>
  <si>
    <t>2+2</t>
  </si>
  <si>
    <t>1</t>
  </si>
  <si>
    <t>2</t>
  </si>
  <si>
    <t>1+2+2</t>
  </si>
  <si>
    <t>1+5</t>
  </si>
  <si>
    <t>2+5</t>
  </si>
  <si>
    <t>1+2+5</t>
  </si>
  <si>
    <t>2+2+5</t>
  </si>
  <si>
    <t>1+2+2+5</t>
  </si>
  <si>
    <t>All dial settings that include the single 100 pF cap (highlighted in red) have an 'excess' G of about 0.2 nS</t>
  </si>
  <si>
    <t>So might have once had 0.05 nS for the 100 pF (additional to box zero), but now have 0.3 nS.</t>
  </si>
  <si>
    <t>ohms additional leakage across the capacitor could account for the change.</t>
  </si>
  <si>
    <t>100 pF dial</t>
  </si>
  <si>
    <t>UB1000 measurement from p.33 of UBIII</t>
  </si>
  <si>
    <t>The UB calculation does not assume a 50 urad phase for UB1000</t>
  </si>
  <si>
    <t>Long leads might compromise the AH2700A measurement of UB1000 loss angle.</t>
  </si>
  <si>
    <t>AH2700-report</t>
  </si>
  <si>
    <t>AH2700Results carries the AH2700 measurements of the 100 pF/step and 1pF/div dial.</t>
  </si>
  <si>
    <t>1pF DIV</t>
  </si>
  <si>
    <t>1000 pF step</t>
  </si>
  <si>
    <t>100 pF step</t>
  </si>
  <si>
    <t>Cu jig</t>
  </si>
  <si>
    <t>zero if AH used for report</t>
  </si>
  <si>
    <t>Report page now selectively uses AH2700 results for phase angle for 100 pF dial down.</t>
  </si>
  <si>
    <t>Update RoomLogger sheet from Planck1 logging system.</t>
  </si>
  <si>
    <t>.01mF</t>
  </si>
  <si>
    <t>2004 report</t>
  </si>
  <si>
    <r>
      <t>0.01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</si>
  <si>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r>
      <t>0.1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</si>
  <si>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t>2009 report</t>
  </si>
  <si>
    <t>S21745</t>
  </si>
  <si>
    <t>E36040128</t>
  </si>
  <si>
    <t>S21567</t>
  </si>
  <si>
    <t>E7140017</t>
  </si>
  <si>
    <t>S21341</t>
  </si>
  <si>
    <t>E73015</t>
  </si>
  <si>
    <t>1999 report</t>
  </si>
  <si>
    <t>0.01µF</t>
  </si>
  <si>
    <t>0.1µF</t>
  </si>
  <si>
    <t>2015 report</t>
  </si>
  <si>
    <t>E96040236</t>
  </si>
  <si>
    <t>D</t>
  </si>
  <si>
    <t>uD</t>
  </si>
  <si>
    <t>GRhistory page now set up to display history graph for each setting by entering the dial label in the highlighted box.</t>
  </si>
  <si>
    <t>Conditions page just summarises temp and humidity.</t>
  </si>
  <si>
    <t>temperature</t>
  </si>
  <si>
    <t>As S21960</t>
  </si>
  <si>
    <t>Look to S21784checkedTJS for report formatting for the Muirhead inductors.</t>
  </si>
  <si>
    <t>Start with S1959final (for capacitance) as most up to date UB corrections etc.</t>
  </si>
  <si>
    <t>Template for inductors (cf decade and individual capacitors) measured on Universal Bridge</t>
  </si>
  <si>
    <t>Inductor(s)</t>
  </si>
  <si>
    <t>S21960</t>
  </si>
  <si>
    <t>Inductance</t>
  </si>
  <si>
    <t>Resistance</t>
  </si>
  <si>
    <t>Universal Bridge page points to the relevant zeros in the Results page for these decade inductors.</t>
  </si>
  <si>
    <t>Results page has inductance data entered with suitable labels for processing.</t>
  </si>
  <si>
    <t>Insert Lreport page based on S21784 report format.</t>
  </si>
  <si>
    <t>Inductor</t>
  </si>
  <si>
    <t>Expanded</t>
  </si>
  <si>
    <t>Coverage</t>
  </si>
  <si>
    <t xml:space="preserve">Uncertainty </t>
  </si>
  <si>
    <t>Factor</t>
  </si>
  <si>
    <t>(mH)</t>
  </si>
  <si>
    <t>Change uncertainty to point to ub_uncertainty block.</t>
  </si>
  <si>
    <t>Use the new labels consistent with the Results page</t>
  </si>
  <si>
    <t>History</t>
  </si>
  <si>
    <t>as ratio</t>
  </si>
  <si>
    <t>Typical U</t>
  </si>
  <si>
    <t>S20803</t>
  </si>
  <si>
    <t>S21193</t>
  </si>
  <si>
    <t>S21431</t>
  </si>
  <si>
    <t>S21637</t>
  </si>
  <si>
    <t>S21784</t>
  </si>
  <si>
    <t>Nominal</t>
  </si>
  <si>
    <t>101.0934</t>
  </si>
  <si>
    <t>0.0070</t>
  </si>
  <si>
    <t>88.9860</t>
  </si>
  <si>
    <t>0.0065</t>
  </si>
  <si>
    <t>78.8826</t>
  </si>
  <si>
    <t>0.0059</t>
  </si>
  <si>
    <t>68.9465</t>
  </si>
  <si>
    <t>0.0052</t>
  </si>
  <si>
    <t>59.1017</t>
  </si>
  <si>
    <t>0.0045</t>
  </si>
  <si>
    <t>49.0579</t>
  </si>
  <si>
    <t>0.0038</t>
  </si>
  <si>
    <t>39.3546</t>
  </si>
  <si>
    <t>0.0031</t>
  </si>
  <si>
    <t>29.2715</t>
  </si>
  <si>
    <t>0.0023</t>
  </si>
  <si>
    <t>19.9931</t>
  </si>
  <si>
    <t>0.0016</t>
  </si>
  <si>
    <t>10.1520</t>
  </si>
  <si>
    <t>0.0009</t>
  </si>
  <si>
    <t>984.939</t>
  </si>
  <si>
    <t>0.069</t>
  </si>
  <si>
    <t>878.232</t>
  </si>
  <si>
    <t>0.060</t>
  </si>
  <si>
    <t>783.086</t>
  </si>
  <si>
    <t>0.053</t>
  </si>
  <si>
    <t>689.813</t>
  </si>
  <si>
    <t>0.047</t>
  </si>
  <si>
    <t>592.360</t>
  </si>
  <si>
    <t>0.040</t>
  </si>
  <si>
    <t>494.710</t>
  </si>
  <si>
    <t>0.034</t>
  </si>
  <si>
    <t>398.931</t>
  </si>
  <si>
    <t>0.027</t>
  </si>
  <si>
    <t>304.305</t>
  </si>
  <si>
    <t>0.021</t>
  </si>
  <si>
    <t>207.691</t>
  </si>
  <si>
    <t>0.014</t>
  </si>
  <si>
    <t>103.900</t>
  </si>
  <si>
    <t>0.008</t>
  </si>
  <si>
    <t>101.1144</t>
  </si>
  <si>
    <t>89.0063</t>
  </si>
  <si>
    <t>78.9009</t>
  </si>
  <si>
    <t>68.9631</t>
  </si>
  <si>
    <t>59.1163</t>
  </si>
  <si>
    <t>49.0702</t>
  </si>
  <si>
    <t>39.3650</t>
  </si>
  <si>
    <t>29.2794</t>
  </si>
  <si>
    <t>19.9988</t>
  </si>
  <si>
    <t>10.1550</t>
  </si>
  <si>
    <t>985.244</t>
  </si>
  <si>
    <t>878.380</t>
  </si>
  <si>
    <t>783.228</t>
  </si>
  <si>
    <t>689.929</t>
  </si>
  <si>
    <t>592.471</t>
  </si>
  <si>
    <t>494.803</t>
  </si>
  <si>
    <t>399.008</t>
  </si>
  <si>
    <t>304.371</t>
  </si>
  <si>
    <t>207.733</t>
  </si>
  <si>
    <t>103.923</t>
  </si>
  <si>
    <t>Resistance uncertainty for Muirhead decade inductor</t>
  </si>
  <si>
    <t>Reactance uncertainty for Muirhead decade inductor</t>
  </si>
  <si>
    <t>Add Lhistory page to capture trends</t>
  </si>
  <si>
    <t>Uncertainty, row 61 effect of series resistance on loss angle of a capacitor</t>
  </si>
  <si>
    <t>Not applicable for inductor: a series R will map to a conductance, worst case 10 milliohm in series, G = (wC)^2*R</t>
  </si>
  <si>
    <t>series resistance, not applicable</t>
  </si>
  <si>
    <t>10% of assumed alpha</t>
  </si>
  <si>
    <t>Enter copper temperature coefficient in the parameters block</t>
  </si>
  <si>
    <t>Actual freq</t>
  </si>
  <si>
    <t>Did not add 3 month change as an uncertainty (c.f.S21784). Assume client will monitor history/stability.</t>
  </si>
  <si>
    <t>L uncert = Q[0.000014L,0.001R,200/f]</t>
  </si>
  <si>
    <t>R uncert = Q[0.000014R, 0.0000001L, 2/f]</t>
  </si>
  <si>
    <t>L uncert = Q[0.000014L,0.001R,2000/f]</t>
  </si>
  <si>
    <t>R uncert = Q[0.000014R, 0.0000001L, 20/f]</t>
  </si>
  <si>
    <t>CMC for inductors</t>
  </si>
  <si>
    <t>Add CMC for inductors block at far right of Uncertainty page.</t>
  </si>
  <si>
    <t>Capacitor worksheets grouped away from inductor worksheets.</t>
  </si>
  <si>
    <t>humidity</t>
  </si>
  <si>
    <t>As S1997</t>
  </si>
  <si>
    <t>CPS</t>
  </si>
  <si>
    <t>CPS shunts</t>
  </si>
  <si>
    <t>S21997</t>
  </si>
  <si>
    <t>Temperature</t>
  </si>
  <si>
    <t>xdial</t>
  </si>
  <si>
    <t>rdial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</si>
  <si>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</si>
  <si>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coax zero</t>
  </si>
  <si>
    <t>CPSZ134</t>
  </si>
  <si>
    <t>CPSZ133</t>
  </si>
  <si>
    <t>JV10A</t>
  </si>
  <si>
    <t>CPSZ132</t>
  </si>
  <si>
    <t>JV1A</t>
  </si>
  <si>
    <t>Shunts</t>
  </si>
  <si>
    <r>
      <t xml:space="preserve">10 </t>
    </r>
    <r>
      <rPr>
        <sz val="10"/>
        <rFont val="Calibri"/>
        <family val="2"/>
      </rPr>
      <t>Ω</t>
    </r>
  </si>
  <si>
    <t>Ls</t>
  </si>
  <si>
    <t>Rs</t>
  </si>
  <si>
    <t>Ω</t>
  </si>
  <si>
    <t>L</t>
  </si>
  <si>
    <t>R</t>
  </si>
  <si>
    <t>subtracting coax zero</t>
  </si>
  <si>
    <t>65</t>
  </si>
  <si>
    <t>400</t>
  </si>
  <si>
    <t>Nominal Frequency</t>
  </si>
  <si>
    <t>Template for inductors/resistors</t>
  </si>
  <si>
    <t>nH</t>
  </si>
  <si>
    <t>Ω</t>
  </si>
  <si>
    <t>kHz</t>
  </si>
  <si>
    <t>These readings are to test any deviaiton of the CPS shunt inductance at higher frequencies</t>
  </si>
  <si>
    <t>Transition to python analysis</t>
  </si>
  <si>
    <t>Note that the item names 'coax zero' and 'coax open' are reserved names.</t>
  </si>
  <si>
    <t>There should be a zero/open for each range and nominal frequency that is used.</t>
  </si>
  <si>
    <t>In some cases there will be alternative zeros specific to the UUT that are subtracted instead.</t>
  </si>
  <si>
    <t>The zero or open dial readings are calculated as an immittance to be subtracted from the measured immittances.</t>
  </si>
  <si>
    <t>1 sigma uncertainties from specifications</t>
  </si>
  <si>
    <t>u</t>
  </si>
  <si>
    <t>df</t>
  </si>
  <si>
    <t>Temp coeff L</t>
  </si>
  <si>
    <t>Temp coeff R</t>
  </si>
  <si>
    <t>Data from lab book</t>
  </si>
  <si>
    <t>Data from specifications and other sources</t>
  </si>
  <si>
    <t>Other</t>
  </si>
  <si>
    <t>xDial</t>
  </si>
  <si>
    <t>rDial</t>
  </si>
  <si>
    <t>frequency</t>
  </si>
  <si>
    <t>utemp</t>
  </si>
  <si>
    <t>dftemp</t>
  </si>
  <si>
    <t>ualphax</t>
  </si>
  <si>
    <t>dfalphax</t>
  </si>
  <si>
    <t>ualphar</t>
  </si>
  <si>
    <t>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</si>
  <si>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</si>
  <si>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</si>
  <si>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</si>
  <si>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</si>
  <si>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</si>
  <si>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</si>
  <si>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</si>
  <si>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</si>
  <si>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</si>
  <si>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</si>
  <si>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</si>
  <si>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</si>
  <si>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CPSZ13465</t>
  </si>
  <si>
    <t>CPSZ13365</t>
  </si>
  <si>
    <t>JV10A65</t>
  </si>
  <si>
    <t>CPSZ13265</t>
  </si>
  <si>
    <t>JV1A65</t>
  </si>
  <si>
    <t>CPSZ134400</t>
  </si>
  <si>
    <t>CPSZ133400</t>
  </si>
  <si>
    <t>JV10A400</t>
  </si>
  <si>
    <t>CPSZ132400</t>
  </si>
  <si>
    <t>JV1A400</t>
  </si>
  <si>
    <t>Serial
Number</t>
  </si>
  <si>
    <t>Frequency
(Hz)</t>
  </si>
  <si>
    <t>CPS Z134</t>
  </si>
  <si>
    <t>CPSZ1321000</t>
  </si>
  <si>
    <t>CPSZ1321600</t>
  </si>
  <si>
    <t>CPSZ1322000</t>
  </si>
  <si>
    <t>CPSZ1331000</t>
  </si>
  <si>
    <t>CPSZ1331600</t>
  </si>
  <si>
    <t>CPSZ1341000</t>
  </si>
  <si>
    <t>JV10A1000</t>
  </si>
  <si>
    <t>JV10A1600</t>
  </si>
  <si>
    <t>JV1A1000</t>
  </si>
  <si>
    <t>CPSZ1341600</t>
  </si>
  <si>
    <t>JV1A1600</t>
  </si>
  <si>
    <t>JV1A2000</t>
  </si>
  <si>
    <t>coax zero1600</t>
  </si>
  <si>
    <t>coax zero65</t>
  </si>
  <si>
    <t>coax zero400</t>
  </si>
  <si>
    <t>coax zero1000</t>
  </si>
  <si>
    <t>coax zero2000</t>
  </si>
  <si>
    <r>
      <t>(m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)</t>
    </r>
  </si>
  <si>
    <t>alphax</t>
  </si>
  <si>
    <t>An essentially standalone python calculation takes data from 'pyUBreadings' to 'pyUBresults' from which a report is made in 'pyReport'.</t>
  </si>
  <si>
    <t>py4284readings' contains results from the HP4284 as a cross-check, but not contributing directly to the report.</t>
  </si>
  <si>
    <t>At the same time the data has also been copied into 'excelResults' and this has been processed, with minor updates, to give the report in 'Lreport'.</t>
  </si>
  <si>
    <t>This uses UB constants and calculation in the 'Universal Bridge' sheet, with uncertainties calculated in the 'Uncertainty' sheet.</t>
  </si>
  <si>
    <t>py/excel</t>
  </si>
  <si>
    <t>CMCs</t>
  </si>
  <si>
    <t>coax zero rpt</t>
  </si>
  <si>
    <t>CPSZ134 rpt1</t>
  </si>
  <si>
    <t>CPSZ134 rpt2</t>
  </si>
  <si>
    <t>Check</t>
  </si>
  <si>
    <t>Nominal Value
(Ω)</t>
  </si>
  <si>
    <t>Resistance
(Ω)</t>
  </si>
  <si>
    <t>Expanded Uncertainty
(Ω)</t>
  </si>
  <si>
    <t>As S22008_burden_support.xlsx</t>
  </si>
  <si>
    <t>For calculating the values of two-wire resistors used to check burden values.</t>
  </si>
  <si>
    <t>MSL</t>
  </si>
  <si>
    <t>Arnold components</t>
  </si>
  <si>
    <t>5ohm</t>
  </si>
  <si>
    <t>1ohm</t>
  </si>
  <si>
    <t>0.5ohm</t>
  </si>
  <si>
    <t>0.1ohm</t>
  </si>
  <si>
    <t>0.05ohm</t>
  </si>
  <si>
    <t>0.01ohm</t>
  </si>
  <si>
    <t>5ohm53</t>
  </si>
  <si>
    <t>1ohm53</t>
  </si>
  <si>
    <t>0.1ohm53</t>
  </si>
  <si>
    <t>0.01ohm53</t>
  </si>
  <si>
    <t>0.5ohm53</t>
  </si>
  <si>
    <t>0.05ohm53</t>
  </si>
  <si>
    <r>
      <t>Inductance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</si>
  <si>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r>
      <t>Expanded Uncertainty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</si>
  <si>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t>phase at 50 Hz</t>
  </si>
  <si>
    <t>assume k for phase applies</t>
  </si>
  <si>
    <t>U phase</t>
  </si>
  <si>
    <t>Phase
(mrad)</t>
  </si>
  <si>
    <t>Expanded Uncertainty
(mrad)</t>
  </si>
  <si>
    <t>UB value of C R G from UBcalibrationJune2023_17.xlsx</t>
  </si>
  <si>
    <t>Update the "Universal Bridge" sheet with new cal Value from Jan23</t>
  </si>
  <si>
    <t>Uploaded the value of the Resistors reading on 29/09/2023 and 02/10/2023 in sheet "yUBreadings"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</si>
</sst>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0.00000"/>
    <numFmt numFmtId="165" formatCode="0.000000"/>
    <numFmt numFmtId="166" formatCode="0E+00"/>
    <numFmt numFmtId="167" formatCode="0.000"/>
    <numFmt numFmtId="168" formatCode="0.0000"/>
    <numFmt numFmtId="169" formatCode="0.0E+00"/>
    <numFmt numFmtId="170" formatCode="General_)"/>
    <numFmt numFmtId="171" formatCode="dd/mmm/yy_)"/>
    <numFmt numFmtId="172" formatCode="0.0"/>
    <numFmt numFmtId="173" formatCode="0.000000_)"/>
    <numFmt numFmtId="174" formatCode="0.0_)"/>
    <numFmt numFmtId="175" formatCode="0.0E+00_)"/>
    <numFmt numFmtId="176" formatCode="0_)"/>
    <numFmt numFmtId="177" formatCode="0.00_)"/>
    <numFmt numFmtId="178" formatCode="0.000_)"/>
    <numFmt numFmtId="179" formatCode="0.00E+00_)"/>
    <numFmt numFmtId="180" formatCode="0.0000_)"/>
    <numFmt numFmtId="181" formatCode="0.00000_)"/>
    <numFmt numFmtId="182" formatCode="0.E+00"/>
    <numFmt numFmtId="183" formatCode="0.0.E+00"/>
    <numFmt numFmtId="184" formatCode="0.00000E+00"/>
    <numFmt numFmtId="185" formatCode="0.000E+00"/>
    <numFmt numFmtId="186" formatCode="0.0000000"/>
    <numFmt numFmtId="187" formatCode="#0.0\ \ \ \ "/>
    <numFmt numFmtId="188" formatCode="#0.00\ \ "/>
    <numFmt numFmtId="189" formatCode="0.000000\ \ \ \ "/>
    <numFmt numFmtId="190" formatCode="#0\ \ \ \ "/>
    <numFmt numFmtId="191" formatCode="0.000000\ \ \ "/>
    <numFmt numFmtId="192" formatCode="#0.0\ \ \ \ \ "/>
    <numFmt numFmtId="193" formatCode="#0.00\ \ \ "/>
    <numFmt numFmtId="194" formatCode="0.0000\ \ \ "/>
    <numFmt numFmtId="195" formatCode="0.00\ \ \ "/>
    <numFmt numFmtId="196" formatCode="#0.000\ \ \ \ "/>
    <numFmt numFmtId="197" formatCode="#0.0000\ \ \ \ "/>
  </numFmts>
  <fonts count="33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10"/>
      <name val="Palatino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indexed="33"/>
      <name val="Helv"/>
    </font>
    <font>
      <sz val="10"/>
      <color indexed="14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1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Times New Roman"/>
      <family val="1"/>
    </font>
    <font>
      <sz val="10"/>
      <name val="Calibri"/>
      <family val="2"/>
    </font>
    <font>
      <i/>
      <sz val="10"/>
      <name val="Times New Roman"/>
      <family val="1"/>
    </font>
    <font>
      <b/>
      <sz val="10"/>
      <color theme="3" tint="0.3999755851924192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 applyBorder="0"/>
    <xf numFmtId="0" fontId="3" fillId="0" borderId="0" applyNumberFormat="0" applyFill="0" applyBorder="0" applyAlignment="0" applyProtection="0"/>
    <xf numFmtId="0" fontId="2" fillId="0" borderId="0" applyBorder="0"/>
    <xf numFmtId="0" fontId="2" fillId="0" borderId="0" applyBorder="0"/>
  </cellStyleXfs>
  <cellXfs count="37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1" fontId="5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0" fontId="7" fillId="0" borderId="0" xfId="0" applyFont="1"/>
    <xf numFmtId="0" fontId="8" fillId="0" borderId="0" xfId="0" applyFont="1"/>
    <xf numFmtId="0" fontId="3" fillId="0" borderId="0" xfId="0" applyFont="1" applyBorder="1" applyAlignment="1">
      <alignment horizontal="center"/>
    </xf>
    <xf numFmtId="170" fontId="10" fillId="0" borderId="0" xfId="0" applyNumberFormat="1" applyFont="1" applyAlignment="1">
      <alignment horizontal="left"/>
    </xf>
    <xf numFmtId="170" fontId="1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71" fontId="0" fillId="0" borderId="0" xfId="0" applyNumberFormat="1"/>
    <xf numFmtId="16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/>
    <xf numFmtId="167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/>
    <xf numFmtId="173" fontId="1" fillId="2" borderId="0" xfId="0" applyNumberFormat="1" applyFont="1" applyFill="1"/>
    <xf numFmtId="170" fontId="11" fillId="3" borderId="9" xfId="0" applyNumberFormat="1" applyFont="1" applyFill="1" applyBorder="1" applyAlignment="1">
      <alignment horizontal="left"/>
    </xf>
    <xf numFmtId="173" fontId="0" fillId="3" borderId="10" xfId="0" applyNumberFormat="1" applyFill="1" applyBorder="1"/>
    <xf numFmtId="170" fontId="0" fillId="3" borderId="10" xfId="0" applyNumberFormat="1" applyFill="1" applyBorder="1"/>
    <xf numFmtId="170" fontId="0" fillId="3" borderId="11" xfId="0" applyNumberFormat="1" applyFill="1" applyBorder="1"/>
    <xf numFmtId="170" fontId="10" fillId="0" borderId="0" xfId="0" applyNumberFormat="1" applyFont="1"/>
    <xf numFmtId="173" fontId="10" fillId="0" borderId="0" xfId="0" applyNumberFormat="1" applyFont="1" applyAlignment="1">
      <alignment horizontal="center"/>
    </xf>
    <xf numFmtId="170" fontId="10" fillId="0" borderId="0" xfId="0" applyNumberFormat="1" applyFont="1" applyAlignment="1">
      <alignment horizontal="center"/>
    </xf>
    <xf numFmtId="170" fontId="13" fillId="0" borderId="0" xfId="0" applyNumberFormat="1" applyFont="1" applyAlignment="1">
      <alignment horizontal="center"/>
    </xf>
    <xf numFmtId="170" fontId="11" fillId="0" borderId="0" xfId="0" applyNumberFormat="1" applyFont="1"/>
    <xf numFmtId="170" fontId="14" fillId="0" borderId="0" xfId="0" applyNumberFormat="1" applyFont="1" applyAlignment="1">
      <alignment horizontal="left"/>
    </xf>
    <xf numFmtId="172" fontId="15" fillId="0" borderId="0" xfId="0" applyNumberFormat="1" applyFont="1"/>
    <xf numFmtId="175" fontId="0" fillId="0" borderId="0" xfId="0" applyNumberFormat="1"/>
    <xf numFmtId="170" fontId="0" fillId="0" borderId="0" xfId="0" applyNumberFormat="1"/>
    <xf numFmtId="176" fontId="0" fillId="0" borderId="0" xfId="0" applyNumberFormat="1"/>
    <xf numFmtId="174" fontId="0" fillId="0" borderId="0" xfId="0" applyNumberFormat="1"/>
    <xf numFmtId="170" fontId="14" fillId="0" borderId="0" xfId="0" applyNumberFormat="1" applyFont="1"/>
    <xf numFmtId="170" fontId="0" fillId="0" borderId="0" xfId="0" applyNumberFormat="1" applyAlignment="1">
      <alignment horizontal="right"/>
    </xf>
    <xf numFmtId="173" fontId="10" fillId="0" borderId="0" xfId="0" applyNumberFormat="1" applyFont="1" applyAlignment="1">
      <alignment horizontal="left"/>
    </xf>
    <xf numFmtId="170" fontId="10" fillId="0" borderId="12" xfId="0" applyNumberFormat="1" applyFont="1" applyBorder="1" applyAlignment="1">
      <alignment horizontal="center"/>
    </xf>
    <xf numFmtId="170" fontId="10" fillId="0" borderId="13" xfId="0" applyNumberFormat="1" applyFont="1" applyBorder="1" applyAlignment="1">
      <alignment horizontal="center"/>
    </xf>
    <xf numFmtId="170" fontId="10" fillId="0" borderId="14" xfId="0" applyNumberFormat="1" applyFont="1" applyBorder="1" applyAlignment="1">
      <alignment horizontal="center"/>
    </xf>
    <xf numFmtId="178" fontId="0" fillId="0" borderId="0" xfId="0" applyNumberFormat="1"/>
    <xf numFmtId="170" fontId="0" fillId="0" borderId="0" xfId="0" applyNumberFormat="1" applyAlignment="1">
      <alignment horizontal="center"/>
    </xf>
    <xf numFmtId="179" fontId="0" fillId="0" borderId="0" xfId="0" applyNumberFormat="1"/>
    <xf numFmtId="170" fontId="1" fillId="3" borderId="11" xfId="0" applyNumberFormat="1" applyFont="1" applyFill="1" applyBorder="1"/>
    <xf numFmtId="167" fontId="0" fillId="0" borderId="0" xfId="0" applyNumberFormat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8" xfId="0" applyFill="1" applyBorder="1"/>
    <xf numFmtId="167" fontId="0" fillId="7" borderId="18" xfId="0" applyNumberFormat="1" applyFill="1" applyBorder="1" applyAlignment="1">
      <alignment horizontal="right"/>
    </xf>
    <xf numFmtId="168" fontId="0" fillId="7" borderId="18" xfId="0" applyNumberFormat="1" applyFill="1" applyBorder="1" applyAlignment="1">
      <alignment horizontal="center"/>
    </xf>
    <xf numFmtId="167" fontId="0" fillId="7" borderId="18" xfId="0" applyNumberFormat="1" applyFill="1" applyBorder="1"/>
    <xf numFmtId="169" fontId="9" fillId="7" borderId="18" xfId="0" applyNumberFormat="1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8" fontId="0" fillId="7" borderId="18" xfId="0" applyNumberFormat="1" applyFill="1" applyBorder="1"/>
    <xf numFmtId="165" fontId="0" fillId="7" borderId="18" xfId="0" applyNumberFormat="1" applyFill="1" applyBorder="1" applyAlignment="1">
      <alignment horizontal="right"/>
    </xf>
    <xf numFmtId="2" fontId="0" fillId="0" borderId="0" xfId="0" applyNumberFormat="1"/>
    <xf numFmtId="0" fontId="16" fillId="0" borderId="0" xfId="0" applyFont="1"/>
    <xf numFmtId="0" fontId="3" fillId="0" borderId="0" xfId="0" applyFont="1" applyAlignment="1">
      <alignment horizontal="left"/>
    </xf>
    <xf numFmtId="172" fontId="0" fillId="0" borderId="0" xfId="0" applyNumberFormat="1"/>
    <xf numFmtId="1" fontId="0" fillId="0" borderId="0" xfId="0" applyNumberFormat="1"/>
    <xf numFmtId="0" fontId="0" fillId="8" borderId="0" xfId="0" applyFill="1" applyAlignment="1">
      <alignment horizontal="center"/>
    </xf>
    <xf numFmtId="0" fontId="0" fillId="6" borderId="18" xfId="0" applyFill="1" applyBorder="1" applyProtection="1">
      <protection locked="0"/>
    </xf>
    <xf numFmtId="0" fontId="0" fillId="6" borderId="18" xfId="0" applyFill="1" applyBorder="1" applyAlignment="1" applyProtection="1">
      <alignment horizontal="center"/>
      <protection locked="0"/>
    </xf>
    <xf numFmtId="0" fontId="0" fillId="9" borderId="0" xfId="0" applyFill="1"/>
    <xf numFmtId="0" fontId="0" fillId="10" borderId="0" xfId="0" applyFill="1"/>
    <xf numFmtId="0" fontId="0" fillId="8" borderId="0" xfId="0" applyFill="1"/>
    <xf numFmtId="168" fontId="0" fillId="0" borderId="0" xfId="0" applyNumberFormat="1"/>
    <xf numFmtId="168" fontId="0" fillId="0" borderId="0" xfId="0" applyNumberFormat="1" applyAlignment="1">
      <alignment horizontal="center"/>
    </xf>
    <xf numFmtId="164" fontId="0" fillId="7" borderId="18" xfId="0" applyNumberFormat="1" applyFill="1" applyBorder="1" applyAlignment="1">
      <alignment horizontal="right"/>
    </xf>
    <xf numFmtId="0" fontId="9" fillId="9" borderId="0" xfId="0" applyFont="1" applyFill="1"/>
    <xf numFmtId="0" fontId="0" fillId="2" borderId="0" xfId="0" applyFill="1" applyAlignment="1">
      <alignment horizontal="left"/>
    </xf>
    <xf numFmtId="15" fontId="9" fillId="9" borderId="0" xfId="0" applyNumberFormat="1" applyFont="1" applyFill="1" applyAlignment="1">
      <alignment horizontal="left"/>
    </xf>
    <xf numFmtId="0" fontId="9" fillId="6" borderId="0" xfId="0" applyFont="1" applyFill="1" applyBorder="1" applyAlignment="1">
      <alignment horizontal="center"/>
    </xf>
    <xf numFmtId="0" fontId="0" fillId="6" borderId="18" xfId="0" applyFill="1" applyBorder="1"/>
    <xf numFmtId="169" fontId="9" fillId="6" borderId="18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9" fillId="0" borderId="0" xfId="0" applyFont="1"/>
    <xf numFmtId="14" fontId="0" fillId="10" borderId="0" xfId="0" applyNumberFormat="1" applyFill="1"/>
    <xf numFmtId="14" fontId="1" fillId="11" borderId="0" xfId="0" applyNumberFormat="1" applyFont="1" applyFill="1" applyBorder="1" applyAlignment="1">
      <alignment horizontal="center"/>
    </xf>
    <xf numFmtId="172" fontId="0" fillId="10" borderId="0" xfId="0" applyNumberFormat="1" applyFill="1"/>
    <xf numFmtId="1" fontId="0" fillId="10" borderId="0" xfId="0" applyNumberFormat="1" applyFill="1"/>
    <xf numFmtId="2" fontId="0" fillId="10" borderId="0" xfId="0" applyNumberFormat="1" applyFill="1"/>
    <xf numFmtId="0" fontId="5" fillId="0" borderId="5" xfId="0" applyFont="1" applyBorder="1" applyAlignment="1" applyProtection="1">
      <alignment horizontal="center"/>
      <protection locked="0"/>
    </xf>
    <xf numFmtId="0" fontId="0" fillId="0" borderId="22" xfId="0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23" xfId="0" applyBorder="1"/>
    <xf numFmtId="0" fontId="4" fillId="0" borderId="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9" borderId="27" xfId="0" applyFill="1" applyBorder="1" applyAlignment="1">
      <alignment horizontal="center"/>
    </xf>
    <xf numFmtId="14" fontId="2" fillId="0" borderId="0" xfId="3" applyNumberFormat="1"/>
    <xf numFmtId="0" fontId="2" fillId="0" borderId="0" xfId="3"/>
    <xf numFmtId="0" fontId="0" fillId="9" borderId="20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166" fontId="0" fillId="0" borderId="0" xfId="0" applyNumberFormat="1" applyBorder="1"/>
    <xf numFmtId="166" fontId="0" fillId="8" borderId="0" xfId="0" applyNumberFormat="1" applyFill="1"/>
    <xf numFmtId="16" fontId="0" fillId="0" borderId="0" xfId="0" quotePrefix="1" applyNumberFormat="1"/>
    <xf numFmtId="0" fontId="0" fillId="0" borderId="0" xfId="0" quotePrefix="1" applyAlignment="1">
      <alignment horizontal="center"/>
    </xf>
    <xf numFmtId="169" fontId="0" fillId="8" borderId="0" xfId="0" applyNumberFormat="1" applyFill="1" applyAlignment="1">
      <alignment horizontal="center"/>
    </xf>
    <xf numFmtId="172" fontId="0" fillId="8" borderId="0" xfId="0" applyNumberFormat="1" applyFill="1" applyAlignment="1">
      <alignment horizontal="center"/>
    </xf>
    <xf numFmtId="182" fontId="0" fillId="0" borderId="0" xfId="0" applyNumberFormat="1"/>
    <xf numFmtId="169" fontId="0" fillId="0" borderId="0" xfId="0" applyNumberFormat="1"/>
    <xf numFmtId="170" fontId="12" fillId="0" borderId="0" xfId="0" applyNumberFormat="1" applyFont="1"/>
    <xf numFmtId="170" fontId="21" fillId="0" borderId="0" xfId="0" applyNumberFormat="1" applyFont="1"/>
    <xf numFmtId="0" fontId="5" fillId="10" borderId="0" xfId="2" applyFont="1" applyFill="1"/>
    <xf numFmtId="0" fontId="2" fillId="0" borderId="0" xfId="2"/>
    <xf numFmtId="0" fontId="2" fillId="10" borderId="0" xfId="2" applyFill="1"/>
    <xf numFmtId="1" fontId="15" fillId="0" borderId="0" xfId="0" applyNumberFormat="1" applyFont="1"/>
    <xf numFmtId="178" fontId="22" fillId="0" borderId="0" xfId="0" applyNumberFormat="1" applyFont="1"/>
    <xf numFmtId="177" fontId="0" fillId="0" borderId="0" xfId="0" applyNumberFormat="1"/>
    <xf numFmtId="176" fontId="0" fillId="0" borderId="31" xfId="0" applyNumberFormat="1" applyBorder="1"/>
    <xf numFmtId="177" fontId="0" fillId="0" borderId="32" xfId="0" applyNumberFormat="1" applyBorder="1"/>
    <xf numFmtId="176" fontId="0" fillId="0" borderId="33" xfId="0" applyNumberFormat="1" applyBorder="1"/>
    <xf numFmtId="170" fontId="12" fillId="0" borderId="0" xfId="2" applyNumberFormat="1" applyFont="1"/>
    <xf numFmtId="170" fontId="21" fillId="0" borderId="0" xfId="2" applyNumberFormat="1" applyFont="1"/>
    <xf numFmtId="170" fontId="10" fillId="0" borderId="0" xfId="2" applyNumberFormat="1" applyFont="1"/>
    <xf numFmtId="180" fontId="0" fillId="0" borderId="0" xfId="0" applyNumberFormat="1"/>
    <xf numFmtId="182" fontId="0" fillId="12" borderId="0" xfId="0" applyNumberFormat="1" applyFill="1"/>
    <xf numFmtId="2" fontId="0" fillId="12" borderId="0" xfId="0" applyNumberFormat="1" applyFill="1"/>
    <xf numFmtId="181" fontId="22" fillId="0" borderId="0" xfId="0" applyNumberFormat="1" applyFont="1"/>
    <xf numFmtId="174" fontId="0" fillId="0" borderId="32" xfId="0" applyNumberFormat="1" applyBorder="1"/>
    <xf numFmtId="177" fontId="0" fillId="0" borderId="33" xfId="0" applyNumberFormat="1" applyBorder="1"/>
    <xf numFmtId="11" fontId="0" fillId="0" borderId="0" xfId="0" applyNumberFormat="1"/>
    <xf numFmtId="180" fontId="22" fillId="0" borderId="0" xfId="0" applyNumberFormat="1" applyFont="1"/>
    <xf numFmtId="178" fontId="0" fillId="0" borderId="33" xfId="0" applyNumberFormat="1" applyBorder="1"/>
    <xf numFmtId="172" fontId="5" fillId="0" borderId="0" xfId="0" applyNumberFormat="1" applyFont="1"/>
    <xf numFmtId="168" fontId="5" fillId="0" borderId="0" xfId="0" applyNumberFormat="1" applyFont="1"/>
    <xf numFmtId="183" fontId="0" fillId="0" borderId="0" xfId="0" applyNumberFormat="1"/>
    <xf numFmtId="0" fontId="23" fillId="0" borderId="19" xfId="0" applyFont="1" applyBorder="1" applyAlignment="1">
      <alignment horizontal="center"/>
    </xf>
    <xf numFmtId="172" fontId="23" fillId="0" borderId="19" xfId="0" applyNumberFormat="1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172" fontId="23" fillId="0" borderId="21" xfId="0" applyNumberFormat="1" applyFont="1" applyBorder="1" applyAlignment="1">
      <alignment horizontal="center"/>
    </xf>
    <xf numFmtId="167" fontId="23" fillId="0" borderId="19" xfId="0" applyNumberFormat="1" applyFont="1" applyBorder="1" applyAlignment="1">
      <alignment horizontal="center"/>
    </xf>
    <xf numFmtId="172" fontId="23" fillId="0" borderId="0" xfId="0" applyNumberFormat="1" applyFont="1" applyBorder="1" applyAlignment="1">
      <alignment horizontal="center"/>
    </xf>
    <xf numFmtId="165" fontId="23" fillId="0" borderId="19" xfId="0" applyNumberFormat="1" applyFont="1" applyBorder="1" applyAlignment="1">
      <alignment horizontal="center"/>
    </xf>
    <xf numFmtId="0" fontId="2" fillId="0" borderId="0" xfId="0" applyFont="1"/>
    <xf numFmtId="0" fontId="2" fillId="4" borderId="1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172" fontId="0" fillId="13" borderId="0" xfId="0" applyNumberFormat="1" applyFill="1" applyAlignment="1">
      <alignment horizontal="center"/>
    </xf>
    <xf numFmtId="167" fontId="0" fillId="13" borderId="0" xfId="0" applyNumberFormat="1" applyFill="1" applyAlignment="1">
      <alignment horizontal="center"/>
    </xf>
    <xf numFmtId="0" fontId="1" fillId="0" borderId="0" xfId="0" applyFont="1"/>
    <xf numFmtId="22" fontId="0" fillId="0" borderId="0" xfId="0" applyNumberFormat="1"/>
    <xf numFmtId="0" fontId="2" fillId="9" borderId="0" xfId="0" applyFont="1" applyFill="1"/>
    <xf numFmtId="0" fontId="2" fillId="6" borderId="18" xfId="0" applyFont="1" applyFill="1" applyBorder="1" applyAlignment="1" applyProtection="1">
      <alignment horizontal="center"/>
      <protection locked="0"/>
    </xf>
    <xf numFmtId="0" fontId="2" fillId="0" borderId="25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19" xfId="0" applyFont="1" applyBorder="1"/>
    <xf numFmtId="0" fontId="24" fillId="0" borderId="36" xfId="0" applyFont="1" applyBorder="1" applyAlignment="1">
      <alignment horizontal="center"/>
    </xf>
    <xf numFmtId="0" fontId="24" fillId="0" borderId="0" xfId="0" applyFont="1" applyBorder="1"/>
    <xf numFmtId="172" fontId="24" fillId="0" borderId="19" xfId="0" applyNumberFormat="1" applyFont="1" applyBorder="1" applyAlignment="1">
      <alignment horizontal="center"/>
    </xf>
    <xf numFmtId="167" fontId="24" fillId="0" borderId="19" xfId="0" applyNumberFormat="1" applyFont="1" applyBorder="1" applyAlignment="1">
      <alignment horizontal="center"/>
    </xf>
    <xf numFmtId="2" fontId="24" fillId="0" borderId="19" xfId="0" applyNumberFormat="1" applyFont="1" applyBorder="1" applyAlignment="1">
      <alignment horizontal="center"/>
    </xf>
    <xf numFmtId="164" fontId="24" fillId="0" borderId="19" xfId="0" applyNumberFormat="1" applyFont="1" applyBorder="1" applyAlignment="1">
      <alignment horizontal="center"/>
    </xf>
    <xf numFmtId="168" fontId="24" fillId="0" borderId="19" xfId="0" applyNumberFormat="1" applyFont="1" applyBorder="1" applyAlignment="1">
      <alignment horizontal="center"/>
    </xf>
    <xf numFmtId="165" fontId="24" fillId="0" borderId="19" xfId="0" applyNumberFormat="1" applyFont="1" applyBorder="1" applyAlignment="1">
      <alignment horizontal="center"/>
    </xf>
    <xf numFmtId="164" fontId="24" fillId="0" borderId="36" xfId="0" applyNumberFormat="1" applyFont="1" applyBorder="1" applyAlignment="1">
      <alignment horizontal="center"/>
    </xf>
    <xf numFmtId="172" fontId="24" fillId="0" borderId="36" xfId="0" applyNumberFormat="1" applyFont="1" applyBorder="1" applyAlignment="1">
      <alignment horizontal="center"/>
    </xf>
    <xf numFmtId="172" fontId="24" fillId="0" borderId="35" xfId="0" applyNumberFormat="1" applyFont="1" applyBorder="1" applyAlignment="1">
      <alignment horizontal="center"/>
    </xf>
    <xf numFmtId="172" fontId="24" fillId="0" borderId="21" xfId="0" applyNumberFormat="1" applyFont="1" applyBorder="1" applyAlignment="1">
      <alignment horizontal="center"/>
    </xf>
    <xf numFmtId="172" fontId="24" fillId="0" borderId="19" xfId="0" applyNumberFormat="1" applyFont="1" applyBorder="1"/>
    <xf numFmtId="2" fontId="24" fillId="0" borderId="36" xfId="0" applyNumberFormat="1" applyFont="1" applyBorder="1" applyAlignment="1">
      <alignment horizontal="center"/>
    </xf>
    <xf numFmtId="167" fontId="24" fillId="0" borderId="36" xfId="0" applyNumberFormat="1" applyFont="1" applyBorder="1" applyAlignment="1">
      <alignment horizontal="center"/>
    </xf>
    <xf numFmtId="167" fontId="24" fillId="0" borderId="19" xfId="0" applyNumberFormat="1" applyFont="1" applyBorder="1"/>
    <xf numFmtId="172" fontId="24" fillId="0" borderId="24" xfId="0" applyNumberFormat="1" applyFont="1" applyBorder="1" applyAlignment="1">
      <alignment horizontal="center"/>
    </xf>
    <xf numFmtId="172" fontId="24" fillId="0" borderId="27" xfId="0" applyNumberFormat="1" applyFont="1" applyBorder="1" applyAlignment="1">
      <alignment horizontal="center"/>
    </xf>
    <xf numFmtId="172" fontId="24" fillId="0" borderId="37" xfId="0" applyNumberFormat="1" applyFont="1" applyBorder="1" applyAlignment="1">
      <alignment horizontal="center"/>
    </xf>
    <xf numFmtId="172" fontId="24" fillId="0" borderId="27" xfId="0" applyNumberFormat="1" applyFont="1" applyBorder="1"/>
    <xf numFmtId="172" fontId="24" fillId="0" borderId="30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172" fontId="23" fillId="0" borderId="27" xfId="0" applyNumberFormat="1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172" fontId="23" fillId="0" borderId="37" xfId="0" applyNumberFormat="1" applyFont="1" applyBorder="1" applyAlignment="1">
      <alignment horizontal="center"/>
    </xf>
    <xf numFmtId="2" fontId="23" fillId="0" borderId="19" xfId="0" applyNumberFormat="1" applyFont="1" applyBorder="1" applyAlignment="1">
      <alignment horizontal="center"/>
    </xf>
    <xf numFmtId="0" fontId="23" fillId="0" borderId="19" xfId="0" applyFont="1" applyBorder="1"/>
    <xf numFmtId="172" fontId="23" fillId="0" borderId="19" xfId="0" applyNumberFormat="1" applyFont="1" applyBorder="1"/>
    <xf numFmtId="172" fontId="23" fillId="0" borderId="27" xfId="0" applyNumberFormat="1" applyFont="1" applyBorder="1"/>
    <xf numFmtId="164" fontId="23" fillId="0" borderId="19" xfId="0" applyNumberFormat="1" applyFont="1" applyBorder="1" applyAlignment="1">
      <alignment horizontal="center"/>
    </xf>
    <xf numFmtId="168" fontId="23" fillId="0" borderId="19" xfId="0" applyNumberFormat="1" applyFont="1" applyBorder="1" applyAlignment="1">
      <alignment horizontal="center"/>
    </xf>
    <xf numFmtId="167" fontId="23" fillId="0" borderId="19" xfId="0" applyNumberFormat="1" applyFont="1" applyBorder="1"/>
    <xf numFmtId="0" fontId="23" fillId="0" borderId="6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164" fontId="23" fillId="0" borderId="36" xfId="0" applyNumberFormat="1" applyFont="1" applyBorder="1" applyAlignment="1">
      <alignment horizontal="center"/>
    </xf>
    <xf numFmtId="172" fontId="23" fillId="0" borderId="36" xfId="0" applyNumberFormat="1" applyFont="1" applyBorder="1" applyAlignment="1">
      <alignment horizontal="center"/>
    </xf>
    <xf numFmtId="2" fontId="23" fillId="0" borderId="36" xfId="0" applyNumberFormat="1" applyFont="1" applyBorder="1" applyAlignment="1">
      <alignment horizontal="center"/>
    </xf>
    <xf numFmtId="172" fontId="23" fillId="0" borderId="30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Border="1"/>
    <xf numFmtId="0" fontId="9" fillId="15" borderId="0" xfId="0" applyFont="1" applyFill="1" applyBorder="1" applyAlignment="1">
      <alignment horizontal="center"/>
    </xf>
    <xf numFmtId="0" fontId="9" fillId="14" borderId="0" xfId="0" applyFont="1" applyFill="1" applyBorder="1" applyAlignment="1">
      <alignment horizontal="center"/>
    </xf>
    <xf numFmtId="0" fontId="26" fillId="0" borderId="0" xfId="0" applyFont="1"/>
    <xf numFmtId="0" fontId="9" fillId="16" borderId="0" xfId="0" applyFont="1" applyFill="1" applyBorder="1" applyAlignment="1">
      <alignment horizontal="center"/>
    </xf>
    <xf numFmtId="164" fontId="0" fillId="7" borderId="18" xfId="0" applyNumberFormat="1" applyFill="1" applyBorder="1"/>
    <xf numFmtId="0" fontId="23" fillId="0" borderId="19" xfId="0" applyFont="1" applyBorder="1" applyAlignment="1">
      <alignment horizontal="left" indent="1"/>
    </xf>
    <xf numFmtId="2" fontId="15" fillId="0" borderId="0" xfId="0" applyNumberFormat="1" applyFont="1"/>
    <xf numFmtId="172" fontId="29" fillId="0" borderId="35" xfId="0" applyNumberFormat="1" applyFont="1" applyBorder="1" applyAlignment="1">
      <alignment horizontal="center"/>
    </xf>
    <xf numFmtId="172" fontId="29" fillId="0" borderId="24" xfId="0" applyNumberFormat="1" applyFont="1" applyBorder="1" applyAlignment="1">
      <alignment horizontal="center"/>
    </xf>
    <xf numFmtId="172" fontId="29" fillId="0" borderId="19" xfId="0" applyNumberFormat="1" applyFont="1" applyBorder="1" applyAlignment="1">
      <alignment horizontal="center"/>
    </xf>
    <xf numFmtId="172" fontId="23" fillId="0" borderId="0" xfId="0" applyNumberFormat="1" applyFont="1" applyBorder="1"/>
    <xf numFmtId="172" fontId="29" fillId="0" borderId="0" xfId="0" applyNumberFormat="1" applyFont="1" applyBorder="1" applyAlignment="1">
      <alignment horizontal="center"/>
    </xf>
    <xf numFmtId="14" fontId="1" fillId="0" borderId="0" xfId="0" applyNumberFormat="1" applyFont="1" applyAlignment="1" applyProtection="1">
      <alignment horizontal="center"/>
      <protection locked="0"/>
    </xf>
    <xf numFmtId="172" fontId="26" fillId="0" borderId="0" xfId="0" applyNumberFormat="1" applyFont="1"/>
    <xf numFmtId="14" fontId="2" fillId="0" borderId="0" xfId="0" applyNumberFormat="1" applyFont="1"/>
    <xf numFmtId="168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0" fontId="26" fillId="0" borderId="0" xfId="0" applyFont="1" applyAlignment="1">
      <alignment horizontal="center"/>
    </xf>
    <xf numFmtId="0" fontId="0" fillId="17" borderId="0" xfId="0" applyFill="1"/>
    <xf numFmtId="0" fontId="2" fillId="17" borderId="0" xfId="0" applyFont="1" applyFill="1"/>
    <xf numFmtId="0" fontId="16" fillId="0" borderId="1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2" fontId="16" fillId="0" borderId="35" xfId="0" applyNumberFormat="1" applyFont="1" applyBorder="1" applyAlignment="1">
      <alignment horizontal="center"/>
    </xf>
    <xf numFmtId="172" fontId="16" fillId="0" borderId="2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172" fontId="16" fillId="0" borderId="19" xfId="0" applyNumberFormat="1" applyFont="1" applyBorder="1" applyAlignment="1">
      <alignment horizontal="center"/>
    </xf>
    <xf numFmtId="172" fontId="16" fillId="0" borderId="27" xfId="0" applyNumberFormat="1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72" fontId="16" fillId="0" borderId="21" xfId="0" applyNumberFormat="1" applyFont="1" applyBorder="1" applyAlignment="1">
      <alignment horizontal="center"/>
    </xf>
    <xf numFmtId="172" fontId="16" fillId="0" borderId="37" xfId="0" applyNumberFormat="1" applyFont="1" applyBorder="1" applyAlignment="1">
      <alignment horizontal="center"/>
    </xf>
    <xf numFmtId="167" fontId="16" fillId="0" borderId="19" xfId="0" applyNumberFormat="1" applyFont="1" applyBorder="1" applyAlignment="1">
      <alignment horizontal="center"/>
    </xf>
    <xf numFmtId="0" fontId="16" fillId="0" borderId="19" xfId="0" applyFont="1" applyBorder="1"/>
    <xf numFmtId="172" fontId="16" fillId="0" borderId="19" xfId="0" applyNumberFormat="1" applyFont="1" applyBorder="1"/>
    <xf numFmtId="172" fontId="16" fillId="0" borderId="27" xfId="0" applyNumberFormat="1" applyFont="1" applyBorder="1"/>
    <xf numFmtId="2" fontId="16" fillId="0" borderId="19" xfId="0" applyNumberFormat="1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8" fontId="16" fillId="0" borderId="19" xfId="0" applyNumberFormat="1" applyFont="1" applyBorder="1" applyAlignment="1">
      <alignment horizontal="center"/>
    </xf>
    <xf numFmtId="165" fontId="16" fillId="0" borderId="19" xfId="0" applyNumberFormat="1" applyFont="1" applyBorder="1" applyAlignment="1">
      <alignment horizontal="center"/>
    </xf>
    <xf numFmtId="167" fontId="16" fillId="0" borderId="19" xfId="0" applyNumberFormat="1" applyFont="1" applyBorder="1"/>
    <xf numFmtId="0" fontId="16" fillId="0" borderId="6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164" fontId="16" fillId="0" borderId="36" xfId="0" applyNumberFormat="1" applyFont="1" applyBorder="1" applyAlignment="1">
      <alignment horizontal="center"/>
    </xf>
    <xf numFmtId="172" fontId="16" fillId="0" borderId="36" xfId="0" applyNumberFormat="1" applyFont="1" applyBorder="1" applyAlignment="1">
      <alignment horizontal="center"/>
    </xf>
    <xf numFmtId="2" fontId="16" fillId="0" borderId="36" xfId="0" applyNumberFormat="1" applyFont="1" applyBorder="1" applyAlignment="1">
      <alignment horizontal="center"/>
    </xf>
    <xf numFmtId="172" fontId="16" fillId="0" borderId="30" xfId="0" applyNumberFormat="1" applyFont="1" applyBorder="1" applyAlignment="1">
      <alignment horizontal="center"/>
    </xf>
    <xf numFmtId="167" fontId="16" fillId="0" borderId="36" xfId="0" applyNumberFormat="1" applyFont="1" applyBorder="1" applyAlignment="1">
      <alignment horizontal="center"/>
    </xf>
    <xf numFmtId="0" fontId="0" fillId="15" borderId="0" xfId="0" applyFill="1"/>
    <xf numFmtId="0" fontId="2" fillId="2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2" fillId="7" borderId="18" xfId="0" applyFont="1" applyFill="1" applyBorder="1" applyAlignment="1">
      <alignment horizontal="center"/>
    </xf>
    <xf numFmtId="0" fontId="2" fillId="7" borderId="18" xfId="0" applyFont="1" applyFill="1" applyBorder="1"/>
    <xf numFmtId="0" fontId="2" fillId="2" borderId="18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Border="1"/>
    <xf numFmtId="0" fontId="2" fillId="0" borderId="19" xfId="0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172" fontId="2" fillId="0" borderId="26" xfId="0" applyNumberFormat="1" applyFont="1" applyBorder="1" applyAlignment="1">
      <alignment horizontal="center"/>
    </xf>
    <xf numFmtId="172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172" fontId="2" fillId="0" borderId="0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172" fontId="2" fillId="0" borderId="7" xfId="0" applyNumberFormat="1" applyFont="1" applyBorder="1" applyAlignment="1">
      <alignment horizontal="center"/>
    </xf>
    <xf numFmtId="172" fontId="2" fillId="0" borderId="30" xfId="0" applyNumberFormat="1" applyFont="1" applyBorder="1" applyAlignment="1">
      <alignment horizontal="center"/>
    </xf>
    <xf numFmtId="0" fontId="0" fillId="18" borderId="38" xfId="0" applyFill="1" applyBorder="1" applyAlignment="1">
      <alignment horizontal="center"/>
    </xf>
    <xf numFmtId="167" fontId="0" fillId="7" borderId="41" xfId="0" applyNumberFormat="1" applyFill="1" applyBorder="1" applyAlignment="1">
      <alignment horizontal="right"/>
    </xf>
    <xf numFmtId="167" fontId="0" fillId="2" borderId="0" xfId="0" applyNumberFormat="1" applyFill="1"/>
    <xf numFmtId="0" fontId="0" fillId="9" borderId="0" xfId="0" applyFill="1" applyAlignment="1">
      <alignment horizontal="right"/>
    </xf>
    <xf numFmtId="0" fontId="0" fillId="18" borderId="25" xfId="0" applyFill="1" applyBorder="1" applyAlignment="1">
      <alignment horizontal="center"/>
    </xf>
    <xf numFmtId="167" fontId="0" fillId="7" borderId="0" xfId="0" applyNumberFormat="1" applyFill="1" applyBorder="1" applyAlignment="1">
      <alignment horizontal="right"/>
    </xf>
    <xf numFmtId="0" fontId="0" fillId="18" borderId="28" xfId="0" applyFill="1" applyBorder="1" applyAlignment="1">
      <alignment horizontal="center"/>
    </xf>
    <xf numFmtId="167" fontId="0" fillId="7" borderId="7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64" fontId="2" fillId="0" borderId="38" xfId="0" applyNumberFormat="1" applyFont="1" applyBorder="1" applyAlignment="1">
      <alignment horizontal="center"/>
    </xf>
    <xf numFmtId="172" fontId="2" fillId="0" borderId="39" xfId="0" applyNumberFormat="1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72" fontId="2" fillId="0" borderId="40" xfId="0" applyNumberFormat="1" applyFont="1" applyBorder="1" applyAlignment="1">
      <alignment horizontal="center"/>
    </xf>
    <xf numFmtId="0" fontId="0" fillId="16" borderId="0" xfId="0" applyFill="1"/>
    <xf numFmtId="2" fontId="0" fillId="16" borderId="0" xfId="0" applyNumberFormat="1" applyFill="1"/>
    <xf numFmtId="172" fontId="0" fillId="16" borderId="0" xfId="0" applyNumberFormat="1" applyFill="1"/>
    <xf numFmtId="168" fontId="0" fillId="16" borderId="0" xfId="0" applyNumberFormat="1" applyFill="1"/>
    <xf numFmtId="164" fontId="0" fillId="0" borderId="0" xfId="0" applyNumberFormat="1"/>
    <xf numFmtId="0" fontId="2" fillId="6" borderId="18" xfId="0" applyFont="1" applyFill="1" applyBorder="1" applyAlignment="1">
      <alignment horizontal="center"/>
    </xf>
    <xf numFmtId="0" fontId="0" fillId="6" borderId="18" xfId="0" applyFill="1" applyBorder="1" applyAlignment="1" applyProtection="1">
      <alignment horizontal="right"/>
      <protection locked="0"/>
    </xf>
    <xf numFmtId="184" fontId="0" fillId="6" borderId="18" xfId="0" applyNumberFormat="1" applyFill="1" applyBorder="1" applyProtection="1">
      <protection locked="0"/>
    </xf>
    <xf numFmtId="0" fontId="2" fillId="6" borderId="18" xfId="0" applyFont="1" applyFill="1" applyBorder="1" applyProtection="1">
      <protection locked="0"/>
    </xf>
    <xf numFmtId="11" fontId="0" fillId="6" borderId="18" xfId="0" applyNumberFormat="1" applyFill="1" applyBorder="1" applyProtection="1">
      <protection locked="0"/>
    </xf>
    <xf numFmtId="0" fontId="30" fillId="6" borderId="18" xfId="0" applyFont="1" applyFill="1" applyBorder="1" applyProtection="1">
      <protection locked="0"/>
    </xf>
    <xf numFmtId="185" fontId="0" fillId="6" borderId="18" xfId="0" applyNumberFormat="1" applyFill="1" applyBorder="1" applyProtection="1">
      <protection locked="0"/>
    </xf>
    <xf numFmtId="11" fontId="0" fillId="6" borderId="18" xfId="0" applyNumberForma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>
      <alignment horizontal="center"/>
    </xf>
    <xf numFmtId="0" fontId="30" fillId="0" borderId="0" xfId="0" applyFont="1"/>
    <xf numFmtId="0" fontId="0" fillId="6" borderId="43" xfId="0" applyFill="1" applyBorder="1"/>
    <xf numFmtId="0" fontId="2" fillId="6" borderId="43" xfId="0" applyFont="1" applyFill="1" applyBorder="1" applyAlignment="1">
      <alignment horizontal="center"/>
    </xf>
    <xf numFmtId="0" fontId="0" fillId="19" borderId="42" xfId="0" applyFill="1" applyBorder="1"/>
    <xf numFmtId="0" fontId="2" fillId="19" borderId="42" xfId="0" applyFont="1" applyFill="1" applyBorder="1"/>
    <xf numFmtId="1" fontId="0" fillId="19" borderId="42" xfId="0" applyNumberFormat="1" applyFill="1" applyBorder="1" applyAlignment="1">
      <alignment horizontal="center"/>
    </xf>
    <xf numFmtId="11" fontId="0" fillId="19" borderId="42" xfId="0" applyNumberFormat="1" applyFill="1" applyBorder="1"/>
    <xf numFmtId="165" fontId="0" fillId="0" borderId="0" xfId="0" applyNumberFormat="1"/>
    <xf numFmtId="186" fontId="0" fillId="0" borderId="0" xfId="0" applyNumberFormat="1"/>
    <xf numFmtId="0" fontId="0" fillId="14" borderId="0" xfId="0" applyFill="1"/>
    <xf numFmtId="0" fontId="24" fillId="0" borderId="44" xfId="0" applyFont="1" applyBorder="1" applyAlignment="1">
      <alignment horizontal="center" vertical="top" wrapText="1"/>
    </xf>
    <xf numFmtId="0" fontId="31" fillId="0" borderId="44" xfId="0" applyFont="1" applyBorder="1" applyAlignment="1">
      <alignment horizontal="center" vertical="top" wrapText="1"/>
    </xf>
    <xf numFmtId="187" fontId="24" fillId="0" borderId="0" xfId="0" applyNumberFormat="1" applyFont="1" applyBorder="1" applyAlignment="1">
      <alignment horizontal="right"/>
    </xf>
    <xf numFmtId="188" fontId="24" fillId="0" borderId="0" xfId="0" applyNumberFormat="1" applyFont="1" applyBorder="1" applyAlignment="1">
      <alignment horizontal="right"/>
    </xf>
    <xf numFmtId="172" fontId="24" fillId="0" borderId="0" xfId="0" applyNumberFormat="1" applyFont="1" applyAlignment="1">
      <alignment horizontal="center"/>
    </xf>
    <xf numFmtId="189" fontId="24" fillId="0" borderId="0" xfId="0" applyNumberFormat="1" applyFont="1" applyAlignment="1">
      <alignment horizontal="right"/>
    </xf>
    <xf numFmtId="190" fontId="24" fillId="0" borderId="0" xfId="0" applyNumberFormat="1" applyFont="1"/>
    <xf numFmtId="186" fontId="2" fillId="0" borderId="39" xfId="0" applyNumberFormat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0" xfId="0" quotePrefix="1" applyFont="1"/>
    <xf numFmtId="2" fontId="0" fillId="20" borderId="0" xfId="0" applyNumberFormat="1" applyFill="1"/>
    <xf numFmtId="2" fontId="2" fillId="20" borderId="0" xfId="0" applyNumberFormat="1" applyFont="1" applyFill="1"/>
    <xf numFmtId="167" fontId="0" fillId="20" borderId="0" xfId="0" applyNumberFormat="1" applyFill="1"/>
    <xf numFmtId="187" fontId="24" fillId="0" borderId="0" xfId="0" applyNumberFormat="1" applyFont="1" applyBorder="1" applyAlignment="1">
      <alignment horizontal="right" indent="1"/>
    </xf>
    <xf numFmtId="188" fontId="24" fillId="0" borderId="0" xfId="0" applyNumberFormat="1" applyFont="1" applyBorder="1" applyAlignment="1">
      <alignment horizontal="right" indent="1"/>
    </xf>
    <xf numFmtId="191" fontId="24" fillId="0" borderId="0" xfId="0" applyNumberFormat="1" applyFont="1" applyAlignment="1">
      <alignment horizontal="right" indent="1"/>
    </xf>
    <xf numFmtId="190" fontId="24" fillId="0" borderId="0" xfId="0" applyNumberFormat="1" applyFont="1" applyAlignment="1">
      <alignment horizontal="right" indent="1"/>
    </xf>
    <xf numFmtId="192" fontId="24" fillId="0" borderId="0" xfId="0" applyNumberFormat="1" applyFont="1" applyBorder="1" applyAlignment="1">
      <alignment horizontal="right" indent="1"/>
    </xf>
    <xf numFmtId="193" fontId="24" fillId="0" borderId="0" xfId="0" applyNumberFormat="1" applyFont="1" applyBorder="1" applyAlignment="1">
      <alignment horizontal="right" indent="1"/>
    </xf>
    <xf numFmtId="194" fontId="24" fillId="0" borderId="0" xfId="0" applyNumberFormat="1" applyFont="1" applyAlignment="1">
      <alignment horizontal="right" indent="1"/>
    </xf>
    <xf numFmtId="195" fontId="24" fillId="0" borderId="0" xfId="0" applyNumberFormat="1" applyFont="1" applyAlignment="1">
      <alignment horizontal="right" indent="1"/>
    </xf>
    <xf numFmtId="196" fontId="24" fillId="0" borderId="0" xfId="0" applyNumberFormat="1" applyFont="1" applyBorder="1" applyAlignment="1">
      <alignment horizontal="right" indent="1"/>
    </xf>
    <xf numFmtId="197" fontId="24" fillId="0" borderId="0" xfId="0" applyNumberFormat="1" applyFont="1" applyBorder="1" applyAlignment="1">
      <alignment horizontal="right" indent="1"/>
    </xf>
    <xf numFmtId="0" fontId="32" fillId="0" borderId="4" xfId="0" applyFont="1" applyBorder="1"/>
    <xf numFmtId="14" fontId="32" fillId="10" borderId="0" xfId="0" applyNumberFormat="1" applyFont="1" applyFill="1"/>
    <xf numFmtId="0" fontId="32" fillId="10" borderId="0" xfId="0" applyFont="1" applyFill="1"/>
    <xf numFmtId="14" fontId="32" fillId="0" borderId="0" xfId="0" applyNumberFormat="1" applyFont="1"/>
    <xf numFmtId="0" fontId="32" fillId="0" borderId="0" xfId="0" applyFont="1"/>
    <xf numFmtId="0" fontId="32" fillId="6" borderId="18" xfId="0" applyFont="1" applyFill="1" applyBorder="1" applyProtection="1">
      <protection locked="0"/>
    </xf>
    <xf numFmtId="184" fontId="32" fillId="6" borderId="18" xfId="0" applyNumberFormat="1" applyFont="1" applyFill="1" applyBorder="1" applyProtection="1">
      <protection locked="0"/>
    </xf>
    <xf numFmtId="0" fontId="32" fillId="6" borderId="43" xfId="0" applyFont="1" applyFill="1" applyBorder="1"/>
    <xf numFmtId="0" fontId="32" fillId="6" borderId="18" xfId="0" applyFont="1" applyFill="1" applyBorder="1" applyAlignment="1" applyProtection="1">
      <alignment horizontal="right"/>
      <protection locked="0"/>
    </xf>
  </cellXfs>
  <cellStyles count="4">
    <cellStyle name="Heading 2" xfId="1" builtinId="17" customBuiltin="1"/>
    <cellStyle name="Normal" xfId="0" builtinId="0"/>
    <cellStyle name="Normal_Uncertainty" xfId="2" xr:uid="{00000000-0005-0000-0000-000002000000}"/>
    <cellStyle name="Normal_Universal Bridge" xfId="3" xr:uid="{00000000-0005-0000-0000-000003000000}"/>
  </cellStyles>
  <dxfs count="4"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CPSZ132 1.0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pyReport!$G$4:$G$8</c:f>
                <c:numCache>
                  <c:formatCode>General</c:formatCode>
                  <c:ptCount val="5"/>
                  <c:pt idx="0">
                    <c:v>4.2621756640943809E-2</c:v>
                  </c:pt>
                  <c:pt idx="1">
                    <c:v>5.1981590651435719E-3</c:v>
                  </c:pt>
                  <c:pt idx="2">
                    <c:v>4.2621979767676057E-3</c:v>
                  </c:pt>
                  <c:pt idx="3">
                    <c:v>3.9660753609913118E-3</c:v>
                  </c:pt>
                  <c:pt idx="4">
                    <c:v>3.9572442518893145E-3</c:v>
                  </c:pt>
                </c:numCache>
              </c:numRef>
            </c:plus>
            <c:minus>
              <c:numRef>
                <c:f>pyReport!$G$4:$G$8</c:f>
                <c:numCache>
                  <c:formatCode>General</c:formatCode>
                  <c:ptCount val="5"/>
                  <c:pt idx="0">
                    <c:v>4.2621756640943809E-2</c:v>
                  </c:pt>
                  <c:pt idx="1">
                    <c:v>5.1981590651435719E-3</c:v>
                  </c:pt>
                  <c:pt idx="2">
                    <c:v>4.2621979767676057E-3</c:v>
                  </c:pt>
                  <c:pt idx="3">
                    <c:v>3.9660753609913118E-3</c:v>
                  </c:pt>
                  <c:pt idx="4">
                    <c:v>3.9572442518893145E-3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pyReport!$A$4:$A$8</c:f>
              <c:numCache>
                <c:formatCode>General</c:formatCode>
                <c:ptCount val="5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</c:numCache>
            </c:numRef>
          </c:xVal>
          <c:yVal>
            <c:numRef>
              <c:f>pyReport!$F$4:$F$8</c:f>
              <c:numCache>
                <c:formatCode>#0.0000\ \ \ \ </c:formatCode>
                <c:ptCount val="5"/>
                <c:pt idx="0" formatCode="#0.000\ \ \ \ ">
                  <c:v>-5.8612553875617053</c:v>
                </c:pt>
                <c:pt idx="1">
                  <c:v>0.2231477947039277</c:v>
                </c:pt>
                <c:pt idx="2">
                  <c:v>0.19254123926717201</c:v>
                </c:pt>
                <c:pt idx="3">
                  <c:v>1.7303706178296501E-2</c:v>
                </c:pt>
                <c:pt idx="4">
                  <c:v>3.4307348087605202E-2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A-41D1-A668-E0D44409F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70528"/>
        <c:axId val="674470856"/>
      </c:scatterChart>
      <c:valAx>
        <c:axId val="67447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856"/>
        <c:crosses val="autoZero"/>
        <c:crossBetween val="midCat"/>
      </c:valAx>
      <c:valAx>
        <c:axId val="674470856"/>
        <c:scaling>
          <c:orientation val="minMax"/>
          <c:max val="27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.000\ \ \ 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CPSZ133 0.1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pyReport!$G$9:$G$12</c:f>
                <c:numCache>
                  <c:formatCode>General</c:formatCode>
                  <c:ptCount val="4"/>
                  <c:pt idx="0">
                    <c:v>3.9544259211605134E-3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plus>
            <c:minus>
              <c:numRef>
                <c:f>pyReport!$G$9:$G$12</c:f>
                <c:numCache>
                  <c:formatCode>General</c:formatCode>
                  <c:ptCount val="4"/>
                  <c:pt idx="0">
                    <c:v>3.9544259211605134E-3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pyReport!$A$9:$A$12</c:f>
              <c:numCache>
                <c:formatCode>General</c:formatCode>
                <c:ptCount val="4"/>
                <c:pt idx="0">
                  <c:v>53</c:v>
                </c:pt>
              </c:numCache>
            </c:numRef>
          </c:xVal>
          <c:yVal>
            <c:numRef>
              <c:f>pyReport!$F$9:$F$12</c:f>
              <c:numCache>
                <c:formatCode>#0.0\ \ \ \ </c:formatCode>
                <c:ptCount val="4"/>
                <c:pt idx="0" formatCode="#0.0000\ \ \ \ ">
                  <c:v>1.350289210445103E-2</c:v>
                </c:pt>
                <c:pt idx="1">
                  <c:v>#N/A</c:v>
                </c:pt>
                <c:pt idx="2" formatCode="#0.00\ \ ">
                  <c:v>#N/A</c:v>
                </c:pt>
                <c:pt idx="3" formatCode="#0.00\ \ 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4-4E0C-A4EF-B6AF84DF0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70528"/>
        <c:axId val="674470856"/>
      </c:scatterChart>
      <c:valAx>
        <c:axId val="67447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856"/>
        <c:crosses val="autoZero"/>
        <c:crossBetween val="midCat"/>
      </c:valAx>
      <c:valAx>
        <c:axId val="674470856"/>
        <c:scaling>
          <c:orientation val="minMax"/>
          <c:max val="27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.0000\ \ \ 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CPSZ134 0.01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pyReport!$G$13:$G$16</c:f>
                <c:numCache>
                  <c:formatCode>General</c:formatCode>
                  <c:ptCount val="4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plus>
            <c:minus>
              <c:numRef>
                <c:f>pyReport!$G$13:$G$16</c:f>
                <c:numCache>
                  <c:formatCode>General</c:formatCode>
                  <c:ptCount val="4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pyReport!$A$13:$A$16</c:f>
              <c:numCache>
                <c:formatCode>General</c:formatCode>
                <c:ptCount val="4"/>
              </c:numCache>
            </c:numRef>
          </c:xVal>
          <c:yVal>
            <c:numRef>
              <c:f>pyReport!$F$13:$F$16</c:f>
              <c:numCache>
                <c:formatCode>#0.0\ \ \ \ </c:formatCode>
                <c:ptCount val="4"/>
                <c:pt idx="0">
                  <c:v>#N/A</c:v>
                </c:pt>
                <c:pt idx="1">
                  <c:v>#N/A</c:v>
                </c:pt>
                <c:pt idx="2" formatCode="#0.00\ \ ">
                  <c:v>#N/A</c:v>
                </c:pt>
                <c:pt idx="3" formatCode="#0.00\ \ 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6-44E3-96FA-4632EC790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70528"/>
        <c:axId val="674470856"/>
      </c:scatterChart>
      <c:valAx>
        <c:axId val="67447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856"/>
        <c:crosses val="autoZero"/>
        <c:crossBetween val="midCat"/>
      </c:valAx>
      <c:valAx>
        <c:axId val="674470856"/>
        <c:scaling>
          <c:orientation val="minMax"/>
          <c:max val="27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.0\ \ \ 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JV1A 0.96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pyReport!$G$21:$G$25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plus>
            <c:minus>
              <c:numRef>
                <c:f>pyReport!$G$21:$G$25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pyReport!$A$21:$A$25</c:f>
              <c:numCache>
                <c:formatCode>General</c:formatCode>
                <c:ptCount val="5"/>
              </c:numCache>
            </c:numRef>
          </c:xVal>
          <c:yVal>
            <c:numRef>
              <c:f>pyReport!$F$21:$F$25</c:f>
              <c:numCache>
                <c:formatCode>#0.0\ \ \ \ 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9-42CE-9FFE-97CE891CA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70528"/>
        <c:axId val="674470856"/>
      </c:scatterChart>
      <c:valAx>
        <c:axId val="674470528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856"/>
        <c:crosses val="autoZero"/>
        <c:crossBetween val="midCat"/>
      </c:valAx>
      <c:valAx>
        <c:axId val="674470856"/>
        <c:scaling>
          <c:orientation val="minMax"/>
          <c:max val="27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.0\ \ \ 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JV10A 0.091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pyReport!$G$17:$G$20</c:f>
                <c:numCache>
                  <c:formatCode>General</c:formatCode>
                  <c:ptCount val="4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plus>
            <c:minus>
              <c:numRef>
                <c:f>pyReport!$G$17:$G$20</c:f>
                <c:numCache>
                  <c:formatCode>General</c:formatCode>
                  <c:ptCount val="4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pyReport!$A$17:$A$20</c:f>
              <c:numCache>
                <c:formatCode>General</c:formatCode>
                <c:ptCount val="4"/>
              </c:numCache>
            </c:numRef>
          </c:xVal>
          <c:yVal>
            <c:numRef>
              <c:f>pyReport!$F$17:$F$20</c:f>
              <c:numCache>
                <c:formatCode>#0.0\ \ \ \ 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86-479E-A661-929C0D5F0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70528"/>
        <c:axId val="674470856"/>
      </c:scatterChart>
      <c:valAx>
        <c:axId val="674470528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856"/>
        <c:crosses val="autoZero"/>
        <c:crossBetween val="midCat"/>
      </c:valAx>
      <c:valAx>
        <c:axId val="674470856"/>
        <c:scaling>
          <c:orientation val="minMax"/>
          <c:max val="27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.0\ \ \ 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JV1A 0.96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pyReport!$J$21:$J$25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plus>
            <c:minus>
              <c:numRef>
                <c:f>pyReport!$J$21:$J$25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pyReport!$A$21:$A$25</c:f>
              <c:numCache>
                <c:formatCode>General</c:formatCode>
                <c:ptCount val="5"/>
              </c:numCache>
            </c:numRef>
          </c:xVal>
          <c:yVal>
            <c:numRef>
              <c:f>pyReport!$I$21:$I$25</c:f>
              <c:numCache>
                <c:formatCode>0.000000\ \ \ \ 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A-4CFA-B66C-1AFA14814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70528"/>
        <c:axId val="674470856"/>
      </c:scatterChart>
      <c:valAx>
        <c:axId val="674470528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856"/>
        <c:crosses val="autoZero"/>
        <c:crossBetween val="midCat"/>
      </c:valAx>
      <c:valAx>
        <c:axId val="67447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\ \ \ 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JV10A 0.091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pyReport!$J$17:$J$20</c:f>
                <c:numCache>
                  <c:formatCode>General</c:formatCode>
                  <c:ptCount val="4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plus>
            <c:minus>
              <c:numRef>
                <c:f>pyReport!$J$17:$J$20</c:f>
                <c:numCache>
                  <c:formatCode>General</c:formatCode>
                  <c:ptCount val="4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pyReport!$A$17:$A$20</c:f>
              <c:numCache>
                <c:formatCode>General</c:formatCode>
                <c:ptCount val="4"/>
              </c:numCache>
            </c:numRef>
          </c:xVal>
          <c:yVal>
            <c:numRef>
              <c:f>pyReport!$I$17:$I$20</c:f>
              <c:numCache>
                <c:formatCode>0.000000\ \ \ \ 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E-4D97-B473-4ACA8AEFF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70528"/>
        <c:axId val="674470856"/>
      </c:scatterChart>
      <c:valAx>
        <c:axId val="674470528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856"/>
        <c:crosses val="autoZero"/>
        <c:crossBetween val="midCat"/>
      </c:valAx>
      <c:valAx>
        <c:axId val="67447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\ \ \ 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CPSZ134 0.01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pyReport!$J$13:$J$16</c:f>
                <c:numCache>
                  <c:formatCode>General</c:formatCode>
                  <c:ptCount val="4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plus>
            <c:minus>
              <c:numRef>
                <c:f>pyReport!$J$13:$J$16</c:f>
                <c:numCache>
                  <c:formatCode>General</c:formatCode>
                  <c:ptCount val="4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pyReport!$A$13:$A$16</c:f>
              <c:numCache>
                <c:formatCode>General</c:formatCode>
                <c:ptCount val="4"/>
              </c:numCache>
            </c:numRef>
          </c:xVal>
          <c:yVal>
            <c:numRef>
              <c:f>pyReport!$I$13:$I$16</c:f>
              <c:numCache>
                <c:formatCode>0.000000\ \ \ 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8-4C3F-8A5E-5A3A9EFCD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70528"/>
        <c:axId val="674470856"/>
      </c:scatterChart>
      <c:valAx>
        <c:axId val="67447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856"/>
        <c:crosses val="autoZero"/>
        <c:crossBetween val="midCat"/>
      </c:valAx>
      <c:valAx>
        <c:axId val="67447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\ \ 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CPSZ133 0.1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pyReport!$J$9:$J$12</c:f>
                <c:numCache>
                  <c:formatCode>General</c:formatCode>
                  <c:ptCount val="4"/>
                  <c:pt idx="0">
                    <c:v>4.7927011744791158E-5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plus>
            <c:minus>
              <c:numRef>
                <c:f>pyReport!$J$9:$J$12</c:f>
                <c:numCache>
                  <c:formatCode>General</c:formatCode>
                  <c:ptCount val="4"/>
                  <c:pt idx="0">
                    <c:v>4.7927011744791158E-5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pyReport!$A$9:$A$12</c:f>
              <c:numCache>
                <c:formatCode>General</c:formatCode>
                <c:ptCount val="4"/>
                <c:pt idx="0">
                  <c:v>53</c:v>
                </c:pt>
              </c:numCache>
            </c:numRef>
          </c:xVal>
          <c:yVal>
            <c:numRef>
              <c:f>pyReport!$I$9:$I$12</c:f>
              <c:numCache>
                <c:formatCode>0.000000\ \ \ </c:formatCode>
                <c:ptCount val="4"/>
                <c:pt idx="0">
                  <c:v>9.987395145972645E-3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57-473B-8835-9612C3092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70528"/>
        <c:axId val="674470856"/>
      </c:scatterChart>
      <c:valAx>
        <c:axId val="67447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856"/>
        <c:crosses val="autoZero"/>
        <c:crossBetween val="midCat"/>
      </c:valAx>
      <c:valAx>
        <c:axId val="67447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\ \ 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CPSZ132 1.0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pyReport!$J$4:$J$8</c:f>
                <c:numCache>
                  <c:formatCode>General</c:formatCode>
                  <c:ptCount val="5"/>
                  <c:pt idx="0">
                    <c:v>5.0949582698370135E-4</c:v>
                  </c:pt>
                  <c:pt idx="1">
                    <c:v>5.8524693098080648E-5</c:v>
                  </c:pt>
                  <c:pt idx="2">
                    <c:v>5.0660336387609397E-5</c:v>
                  </c:pt>
                  <c:pt idx="3">
                    <c:v>4.8035507307898262E-5</c:v>
                  </c:pt>
                  <c:pt idx="4">
                    <c:v>4.7953316865921447E-5</c:v>
                  </c:pt>
                </c:numCache>
              </c:numRef>
            </c:plus>
            <c:minus>
              <c:numRef>
                <c:f>pyReport!$J$4:$J$8</c:f>
                <c:numCache>
                  <c:formatCode>General</c:formatCode>
                  <c:ptCount val="5"/>
                  <c:pt idx="0">
                    <c:v>5.0949582698370135E-4</c:v>
                  </c:pt>
                  <c:pt idx="1">
                    <c:v>5.8524693098080648E-5</c:v>
                  </c:pt>
                  <c:pt idx="2">
                    <c:v>5.0660336387609397E-5</c:v>
                  </c:pt>
                  <c:pt idx="3">
                    <c:v>4.8035507307898262E-5</c:v>
                  </c:pt>
                  <c:pt idx="4">
                    <c:v>4.7953316865921447E-5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pyReport!$A$4:$A$8</c:f>
              <c:numCache>
                <c:formatCode>General</c:formatCode>
                <c:ptCount val="5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</c:numCache>
            </c:numRef>
          </c:xVal>
          <c:yVal>
            <c:numRef>
              <c:f>pyReport!$I$4:$I$8</c:f>
              <c:numCache>
                <c:formatCode>0.000000\ \ \ </c:formatCode>
                <c:ptCount val="5"/>
                <c:pt idx="0">
                  <c:v>4.9998279382930102</c:v>
                </c:pt>
                <c:pt idx="1">
                  <c:v>0.99895632751708363</c:v>
                </c:pt>
                <c:pt idx="2">
                  <c:v>0.50003569698178441</c:v>
                </c:pt>
                <c:pt idx="3">
                  <c:v>0.1000077594333047</c:v>
                </c:pt>
                <c:pt idx="4">
                  <c:v>5.000577982987954E-2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AB-4596-B037-5354AB706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70528"/>
        <c:axId val="674470856"/>
      </c:scatterChart>
      <c:valAx>
        <c:axId val="67447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856"/>
        <c:crosses val="autoZero"/>
        <c:crossBetween val="midCat"/>
      </c:valAx>
      <c:valAx>
        <c:axId val="67447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\ \ 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7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Bridge'!$M$2:$M$13</c:f>
              <c:numCache>
                <c:formatCode>General</c:formatCode>
                <c:ptCount val="12"/>
                <c:pt idx="0">
                  <c:v>32</c:v>
                </c:pt>
                <c:pt idx="1">
                  <c:v>123.32</c:v>
                </c:pt>
                <c:pt idx="2">
                  <c:v>133</c:v>
                </c:pt>
                <c:pt idx="3">
                  <c:v>127.40600000000001</c:v>
                </c:pt>
                <c:pt idx="4">
                  <c:v>135.27000000000001</c:v>
                </c:pt>
                <c:pt idx="5" formatCode="0.0">
                  <c:v>124.15653400852065</c:v>
                </c:pt>
                <c:pt idx="6" formatCode="0.0">
                  <c:v>131.71484972722556</c:v>
                </c:pt>
                <c:pt idx="7" formatCode="0.0">
                  <c:v>123.9</c:v>
                </c:pt>
                <c:pt idx="8" formatCode="0.00">
                  <c:v>129.44934972722558</c:v>
                </c:pt>
                <c:pt idx="9">
                  <c:v>130.29869400282834</c:v>
                </c:pt>
                <c:pt idx="10">
                  <c:v>143.10000000006261</c:v>
                </c:pt>
                <c:pt idx="11" formatCode="0.0">
                  <c:v>162.99711690792583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59-4FB3-B5C8-5E621096733C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Bridge'!$N$2:$N$12</c:f>
              <c:numCache>
                <c:formatCode>General</c:formatCode>
                <c:ptCount val="11"/>
                <c:pt idx="0">
                  <c:v>30.1</c:v>
                </c:pt>
                <c:pt idx="1">
                  <c:v>35</c:v>
                </c:pt>
                <c:pt idx="2">
                  <c:v>37</c:v>
                </c:pt>
                <c:pt idx="3">
                  <c:v>40.340000000000003</c:v>
                </c:pt>
                <c:pt idx="4" formatCode="0">
                  <c:v>43.374148761358811</c:v>
                </c:pt>
                <c:pt idx="5" formatCode="0.0">
                  <c:v>46.005999473575088</c:v>
                </c:pt>
                <c:pt idx="6" formatCode="0.0">
                  <c:v>47.52000000007861</c:v>
                </c:pt>
                <c:pt idx="7" formatCode="0.0">
                  <c:v>47.52000000007861</c:v>
                </c:pt>
                <c:pt idx="8">
                  <c:v>46.540000000261372</c:v>
                </c:pt>
                <c:pt idx="9">
                  <c:v>50.874703493297702</c:v>
                </c:pt>
                <c:pt idx="10">
                  <c:v>54.126077194238675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59-4FB3-B5C8-5E621096733C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Bridge'!$O$2:$O$12</c:f>
              <c:numCache>
                <c:formatCode>General</c:formatCode>
                <c:ptCount val="11"/>
                <c:pt idx="0">
                  <c:v>-12</c:v>
                </c:pt>
                <c:pt idx="1">
                  <c:v>-12</c:v>
                </c:pt>
                <c:pt idx="2">
                  <c:v>-14</c:v>
                </c:pt>
                <c:pt idx="3" formatCode="0.0">
                  <c:v>-17.21</c:v>
                </c:pt>
                <c:pt idx="4" formatCode="0.0">
                  <c:v>-16.35231834356091</c:v>
                </c:pt>
                <c:pt idx="5" formatCode="0.0">
                  <c:v>-17.319750828058801</c:v>
                </c:pt>
                <c:pt idx="6" formatCode="0.0">
                  <c:v>-16.235999999891781</c:v>
                </c:pt>
                <c:pt idx="7" formatCode="0.0">
                  <c:v>-16.235999999891781</c:v>
                </c:pt>
                <c:pt idx="8">
                  <c:v>-16.960000000287856</c:v>
                </c:pt>
                <c:pt idx="9">
                  <c:v>-14.104296506833869</c:v>
                </c:pt>
                <c:pt idx="10">
                  <c:v>-9.8547183057240417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59-4FB3-B5C8-5E621096733C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Bridge'!$P$2:$P$12</c:f>
              <c:numCache>
                <c:formatCode>General</c:formatCode>
                <c:ptCount val="11"/>
                <c:pt idx="0">
                  <c:v>53</c:v>
                </c:pt>
                <c:pt idx="1">
                  <c:v>#N/A</c:v>
                </c:pt>
                <c:pt idx="2">
                  <c:v>61</c:v>
                </c:pt>
                <c:pt idx="3">
                  <c:v>52</c:v>
                </c:pt>
                <c:pt idx="4" formatCode="0">
                  <c:v>67.003866063780151</c:v>
                </c:pt>
                <c:pt idx="5" formatCode="0.0">
                  <c:v>64.090992469401087</c:v>
                </c:pt>
                <c:pt idx="6" formatCode="0.0">
                  <c:v>63.740000000089836</c:v>
                </c:pt>
                <c:pt idx="7" formatCode="0.0">
                  <c:v>63.740000000089836</c:v>
                </c:pt>
                <c:pt idx="8">
                  <c:v>61.50000000015865</c:v>
                </c:pt>
                <c:pt idx="9">
                  <c:v>64.524703493384905</c:v>
                </c:pt>
                <c:pt idx="10">
                  <c:v>67.19327719428847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59-4FB3-B5C8-5E621096733C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59-4FB3-B5C8-5E621096733C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Bridge'!$R$2:$R$12</c:f>
              <c:numCache>
                <c:formatCode>General</c:formatCode>
                <c:ptCount val="11"/>
                <c:pt idx="0">
                  <c:v>8.6999999999999993</c:v>
                </c:pt>
                <c:pt idx="1">
                  <c:v>4</c:v>
                </c:pt>
                <c:pt idx="2">
                  <c:v>6</c:v>
                </c:pt>
                <c:pt idx="3" formatCode="0.0">
                  <c:v>6.21</c:v>
                </c:pt>
                <c:pt idx="4" formatCode="0.0">
                  <c:v>6.6891116768238135</c:v>
                </c:pt>
                <c:pt idx="5" formatCode="0.0">
                  <c:v>7.47625082806357</c:v>
                </c:pt>
                <c:pt idx="6" formatCode="0.0">
                  <c:v>7.5959999999986039</c:v>
                </c:pt>
                <c:pt idx="7" formatCode="0.0">
                  <c:v>7.5959999999986039</c:v>
                </c:pt>
                <c:pt idx="8">
                  <c:v>9.0000000000367564</c:v>
                </c:pt>
                <c:pt idx="9">
                  <c:v>7.4752965067981236</c:v>
                </c:pt>
                <c:pt idx="10">
                  <c:v>7.496058305744846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59-4FB3-B5C8-5E621096733C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59-4FB3-B5C8-5E6210967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62368"/>
        <c:axId val="188772352"/>
      </c:scatterChart>
      <c:valAx>
        <c:axId val="188762368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8772352"/>
        <c:crosses val="autoZero"/>
        <c:crossBetween val="midCat"/>
      </c:valAx>
      <c:valAx>
        <c:axId val="18877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762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Bridge'!$Y$2:$Y$13</c:f>
              <c:numCache>
                <c:formatCode>General</c:formatCode>
                <c:ptCount val="12"/>
                <c:pt idx="0">
                  <c:v>-91.32</c:v>
                </c:pt>
                <c:pt idx="1">
                  <c:v>0</c:v>
                </c:pt>
                <c:pt idx="2">
                  <c:v>9.6800000000000068</c:v>
                </c:pt>
                <c:pt idx="3">
                  <c:v>4.0860000000000127</c:v>
                </c:pt>
                <c:pt idx="4">
                  <c:v>11.950000000000017</c:v>
                </c:pt>
                <c:pt idx="5">
                  <c:v>0.83653400852065829</c:v>
                </c:pt>
                <c:pt idx="6">
                  <c:v>8.3948497272255622</c:v>
                </c:pt>
                <c:pt idx="7">
                  <c:v>0.58000000000001251</c:v>
                </c:pt>
                <c:pt idx="8">
                  <c:v>6.1293497272255877</c:v>
                </c:pt>
                <c:pt idx="9">
                  <c:v>6.9786940028283482</c:v>
                </c:pt>
                <c:pt idx="10">
                  <c:v>19.780000000062614</c:v>
                </c:pt>
                <c:pt idx="11">
                  <c:v>39.677116907925836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5-4ECB-A0A1-432664A41596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Bridge'!$Z$2:$Z$12</c:f>
              <c:numCache>
                <c:formatCode>General</c:formatCode>
                <c:ptCount val="11"/>
                <c:pt idx="0">
                  <c:v>0</c:v>
                </c:pt>
                <c:pt idx="1">
                  <c:v>4.8999999999999986</c:v>
                </c:pt>
                <c:pt idx="2">
                  <c:v>6.8999999999999986</c:v>
                </c:pt>
                <c:pt idx="3">
                  <c:v>10.240000000000002</c:v>
                </c:pt>
                <c:pt idx="4">
                  <c:v>13.274148761358809</c:v>
                </c:pt>
                <c:pt idx="5">
                  <c:v>15.905999473575086</c:v>
                </c:pt>
                <c:pt idx="6">
                  <c:v>17.420000000078609</c:v>
                </c:pt>
                <c:pt idx="7">
                  <c:v>17.420000000078609</c:v>
                </c:pt>
                <c:pt idx="8">
                  <c:v>16.440000000261371</c:v>
                </c:pt>
                <c:pt idx="9">
                  <c:v>20.7747034932977</c:v>
                </c:pt>
                <c:pt idx="10">
                  <c:v>24.026077194238674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15-4ECB-A0A1-432664A41596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-5.2100000000000009</c:v>
                </c:pt>
                <c:pt idx="4">
                  <c:v>-4.3523183435609099</c:v>
                </c:pt>
                <c:pt idx="5">
                  <c:v>-5.3197508280588011</c:v>
                </c:pt>
                <c:pt idx="6">
                  <c:v>-4.2359999998917814</c:v>
                </c:pt>
                <c:pt idx="7">
                  <c:v>-4.2359999998917814</c:v>
                </c:pt>
                <c:pt idx="8">
                  <c:v>-4.9600000002878559</c:v>
                </c:pt>
                <c:pt idx="9">
                  <c:v>-2.1042965068338688</c:v>
                </c:pt>
                <c:pt idx="10">
                  <c:v>2.1452816942759583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15-4ECB-A0A1-432664A41596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Bridge'!$AB$2:$AB$12</c:f>
              <c:numCache>
                <c:formatCode>General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8</c:v>
                </c:pt>
                <c:pt idx="3">
                  <c:v>-1</c:v>
                </c:pt>
                <c:pt idx="4">
                  <c:v>14.003866063780151</c:v>
                </c:pt>
                <c:pt idx="5">
                  <c:v>11.090992469401087</c:v>
                </c:pt>
                <c:pt idx="6">
                  <c:v>10.740000000089836</c:v>
                </c:pt>
                <c:pt idx="7">
                  <c:v>10.740000000089836</c:v>
                </c:pt>
                <c:pt idx="8">
                  <c:v>8.50000000015865</c:v>
                </c:pt>
                <c:pt idx="9">
                  <c:v>11.524703493384905</c:v>
                </c:pt>
                <c:pt idx="10">
                  <c:v>14.19327719428847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15-4ECB-A0A1-432664A41596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15-4ECB-A0A1-432664A41596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Bridge'!$AD$2:$AD$12</c:f>
              <c:numCache>
                <c:formatCode>General</c:formatCode>
                <c:ptCount val="11"/>
                <c:pt idx="0">
                  <c:v>0</c:v>
                </c:pt>
                <c:pt idx="1">
                  <c:v>-4.6999999999999993</c:v>
                </c:pt>
                <c:pt idx="2">
                  <c:v>-2.6999999999999993</c:v>
                </c:pt>
                <c:pt idx="3">
                  <c:v>-2.4899999999999993</c:v>
                </c:pt>
                <c:pt idx="4">
                  <c:v>-2.0108883231761858</c:v>
                </c:pt>
                <c:pt idx="5">
                  <c:v>-1.2237491719364293</c:v>
                </c:pt>
                <c:pt idx="6">
                  <c:v>-1.1040000000013954</c:v>
                </c:pt>
                <c:pt idx="7">
                  <c:v>-1.1040000000013954</c:v>
                </c:pt>
                <c:pt idx="8">
                  <c:v>0.30000000003675709</c:v>
                </c:pt>
                <c:pt idx="9">
                  <c:v>-1.2247034932018757</c:v>
                </c:pt>
                <c:pt idx="10">
                  <c:v>-1.2039416942551533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15-4ECB-A0A1-432664A41596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15-4ECB-A0A1-432664A41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01408"/>
        <c:axId val="188802944"/>
      </c:scatterChart>
      <c:valAx>
        <c:axId val="188801408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8802944"/>
        <c:crosses val="autoZero"/>
        <c:crossBetween val="midCat"/>
      </c:valAx>
      <c:valAx>
        <c:axId val="188802944"/>
        <c:scaling>
          <c:orientation val="minMax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801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LHistory!$L$6:$Q$6</c:f>
              <c:numCache>
                <c:formatCode>General</c:formatCode>
                <c:ptCount val="6"/>
                <c:pt idx="0">
                  <c:v>1</c:v>
                </c:pt>
                <c:pt idx="1">
                  <c:v>0.99993202316483487</c:v>
                </c:pt>
                <c:pt idx="2">
                  <c:v>0.9997778561293762</c:v>
                </c:pt>
                <c:pt idx="3">
                  <c:v>0.9997700481187034</c:v>
                </c:pt>
                <c:pt idx="4">
                  <c:v>0.9999347181008903</c:v>
                </c:pt>
                <c:pt idx="5">
                  <c:v>1.0001424332344215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AA-4AA6-A01B-2EC09563BA6C}"/>
            </c:ext>
          </c:extLst>
        </c:ser>
        <c:ser>
          <c:idx val="1"/>
          <c:order val="1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LHistory!$L$7:$Q$7</c:f>
              <c:numCache>
                <c:formatCode>General</c:formatCode>
                <c:ptCount val="6"/>
                <c:pt idx="0">
                  <c:v>1</c:v>
                </c:pt>
                <c:pt idx="1">
                  <c:v>0.99970415875825624</c:v>
                </c:pt>
                <c:pt idx="2">
                  <c:v>0.99962776781223772</c:v>
                </c:pt>
                <c:pt idx="3">
                  <c:v>0.99956809057796314</c:v>
                </c:pt>
                <c:pt idx="4">
                  <c:v>0.99984269662921355</c:v>
                </c:pt>
                <c:pt idx="5">
                  <c:v>1.0000707865168539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AA-4AA6-A01B-2EC09563BA6C}"/>
            </c:ext>
          </c:extLst>
        </c:ser>
        <c:ser>
          <c:idx val="2"/>
          <c:order val="2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LHistory!$L$8:$Q$8</c:f>
              <c:numCache>
                <c:formatCode>General</c:formatCode>
                <c:ptCount val="6"/>
                <c:pt idx="0">
                  <c:v>1</c:v>
                </c:pt>
                <c:pt idx="1">
                  <c:v>0.99960251035060088</c:v>
                </c:pt>
                <c:pt idx="2">
                  <c:v>0.99954788412441942</c:v>
                </c:pt>
                <c:pt idx="3">
                  <c:v>0.99947168111498674</c:v>
                </c:pt>
                <c:pt idx="4">
                  <c:v>0.99977946768060821</c:v>
                </c:pt>
                <c:pt idx="5">
                  <c:v>1.0000114068441064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AA-4AA6-A01B-2EC09563BA6C}"/>
            </c:ext>
          </c:extLst>
        </c:ser>
        <c:ser>
          <c:idx val="3"/>
          <c:order val="3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LHistory!$L$9:$Q$9</c:f>
              <c:numCache>
                <c:formatCode>General</c:formatCode>
                <c:ptCount val="6"/>
                <c:pt idx="0">
                  <c:v>1</c:v>
                </c:pt>
                <c:pt idx="1">
                  <c:v>1.0004794393038954</c:v>
                </c:pt>
                <c:pt idx="2">
                  <c:v>1.0004254285848559</c:v>
                </c:pt>
                <c:pt idx="3">
                  <c:v>1.0003570462895639</c:v>
                </c:pt>
                <c:pt idx="4">
                  <c:v>1.0006748911465893</c:v>
                </c:pt>
                <c:pt idx="5">
                  <c:v>1.0009158200290273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AA-4AA6-A01B-2EC09563BA6C}"/>
            </c:ext>
          </c:extLst>
        </c:ser>
        <c:ser>
          <c:idx val="4"/>
          <c:order val="4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LHistory!$L$10:$Q$10</c:f>
              <c:numCache>
                <c:formatCode>General</c:formatCode>
                <c:ptCount val="6"/>
                <c:pt idx="0">
                  <c:v>1</c:v>
                </c:pt>
                <c:pt idx="1">
                  <c:v>0.99981122561429447</c:v>
                </c:pt>
                <c:pt idx="2">
                  <c:v>0.99976499045985134</c:v>
                </c:pt>
                <c:pt idx="3">
                  <c:v>0.99969544958932699</c:v>
                </c:pt>
                <c:pt idx="4">
                  <c:v>1.0000287648054145</c:v>
                </c:pt>
                <c:pt idx="5">
                  <c:v>1.0002758037225044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AA-4AA6-A01B-2EC09563BA6C}"/>
            </c:ext>
          </c:extLst>
        </c:ser>
        <c:ser>
          <c:idx val="5"/>
          <c:order val="5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LHistory!$L$11:$Q$11</c:f>
              <c:numCache>
                <c:formatCode>General</c:formatCode>
                <c:ptCount val="6"/>
                <c:pt idx="0">
                  <c:v>1</c:v>
                </c:pt>
                <c:pt idx="1">
                  <c:v>0.99992500442369847</c:v>
                </c:pt>
                <c:pt idx="2">
                  <c:v>0.99988741214881482</c:v>
                </c:pt>
                <c:pt idx="3">
                  <c:v>0.99980565350042483</c:v>
                </c:pt>
                <c:pt idx="4">
                  <c:v>1.0001610601427116</c:v>
                </c:pt>
                <c:pt idx="5">
                  <c:v>1.0004118246687055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AA-4AA6-A01B-2EC09563BA6C}"/>
            </c:ext>
          </c:extLst>
        </c:ser>
        <c:ser>
          <c:idx val="6"/>
          <c:order val="6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LHistory!$L$12:$Q$12</c:f>
              <c:numCache>
                <c:formatCode>General</c:formatCode>
                <c:ptCount val="6"/>
                <c:pt idx="0">
                  <c:v>1</c:v>
                </c:pt>
                <c:pt idx="1">
                  <c:v>0.99986669803767225</c:v>
                </c:pt>
                <c:pt idx="2">
                  <c:v>0.99983226404830394</c:v>
                </c:pt>
                <c:pt idx="3">
                  <c:v>0.99975076135371188</c:v>
                </c:pt>
                <c:pt idx="4">
                  <c:v>1.0001168996188055</c:v>
                </c:pt>
                <c:pt idx="5">
                  <c:v>1.0003811944091487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FAA-4AA6-A01B-2EC09563BA6C}"/>
            </c:ext>
          </c:extLst>
        </c:ser>
        <c:ser>
          <c:idx val="7"/>
          <c:order val="7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LHistory!$L$13:$Q$13</c:f>
              <c:numCache>
                <c:formatCode>General</c:formatCode>
                <c:ptCount val="6"/>
                <c:pt idx="0">
                  <c:v>1</c:v>
                </c:pt>
                <c:pt idx="1">
                  <c:v>1.000120517755188</c:v>
                </c:pt>
                <c:pt idx="2">
                  <c:v>1.000084067889679</c:v>
                </c:pt>
                <c:pt idx="3">
                  <c:v>1.0000051963156258</c:v>
                </c:pt>
                <c:pt idx="4">
                  <c:v>1.0003930280246069</c:v>
                </c:pt>
                <c:pt idx="5">
                  <c:v>1.0006630211893368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FAA-4AA6-A01B-2EC09563BA6C}"/>
            </c:ext>
          </c:extLst>
        </c:ser>
        <c:ser>
          <c:idx val="8"/>
          <c:order val="8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LHistory!$L$14:$Q$14</c:f>
              <c:numCache>
                <c:formatCode>General</c:formatCode>
                <c:ptCount val="6"/>
                <c:pt idx="0">
                  <c:v>1</c:v>
                </c:pt>
                <c:pt idx="1">
                  <c:v>0.99986634074925473</c:v>
                </c:pt>
                <c:pt idx="2">
                  <c:v>0.99983246748678301</c:v>
                </c:pt>
                <c:pt idx="3">
                  <c:v>0.99974740331373579</c:v>
                </c:pt>
                <c:pt idx="4">
                  <c:v>1.0001550775387693</c:v>
                </c:pt>
                <c:pt idx="5">
                  <c:v>1.0004402201100551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FAA-4AA6-A01B-2EC09563BA6C}"/>
            </c:ext>
          </c:extLst>
        </c:ser>
        <c:ser>
          <c:idx val="9"/>
          <c:order val="9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LHistory!$L$15:$Q$15</c:f>
              <c:numCache>
                <c:formatCode>General</c:formatCode>
                <c:ptCount val="6"/>
                <c:pt idx="0">
                  <c:v>1</c:v>
                </c:pt>
                <c:pt idx="1">
                  <c:v>0.99989548317761578</c:v>
                </c:pt>
                <c:pt idx="2">
                  <c:v>0.99985721787600601</c:v>
                </c:pt>
                <c:pt idx="3">
                  <c:v>0.99976867870673869</c:v>
                </c:pt>
                <c:pt idx="4">
                  <c:v>1.0001970443349752</c:v>
                </c:pt>
                <c:pt idx="5">
                  <c:v>1.0004926108374383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FAA-4AA6-A01B-2EC09563BA6C}"/>
            </c:ext>
          </c:extLst>
        </c:ser>
        <c:ser>
          <c:idx val="10"/>
          <c:order val="10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LHistory!$L$16:$Q$16</c:f>
              <c:numCache>
                <c:formatCode>General</c:formatCode>
                <c:ptCount val="6"/>
                <c:pt idx="0">
                  <c:v>1</c:v>
                </c:pt>
                <c:pt idx="1">
                  <c:v>1.0010784353573687</c:v>
                </c:pt>
                <c:pt idx="2">
                  <c:v>1.0002144713557508</c:v>
                </c:pt>
                <c:pt idx="3">
                  <c:v>1.00010161108754</c:v>
                </c:pt>
                <c:pt idx="4">
                  <c:v>0.99993807106598986</c:v>
                </c:pt>
                <c:pt idx="5">
                  <c:v>1.0002477157360405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FAA-4AA6-A01B-2EC09563BA6C}"/>
            </c:ext>
          </c:extLst>
        </c:ser>
        <c:ser>
          <c:idx val="11"/>
          <c:order val="11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LHistory!$L$17:$Q$17</c:f>
              <c:numCache>
                <c:formatCode>General</c:formatCode>
                <c:ptCount val="6"/>
                <c:pt idx="0">
                  <c:v>1</c:v>
                </c:pt>
                <c:pt idx="1">
                  <c:v>1.0000682331035813</c:v>
                </c:pt>
                <c:pt idx="2">
                  <c:v>0.99931271867554017</c:v>
                </c:pt>
                <c:pt idx="3">
                  <c:v>0.99918958445371131</c:v>
                </c:pt>
                <c:pt idx="4">
                  <c:v>0.99912627986348124</c:v>
                </c:pt>
                <c:pt idx="5">
                  <c:v>0.99929465301478948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FAA-4AA6-A01B-2EC09563BA6C}"/>
            </c:ext>
          </c:extLst>
        </c:ser>
        <c:ser>
          <c:idx val="12"/>
          <c:order val="12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LHistory!$L$18:$Q$18</c:f>
              <c:numCache>
                <c:formatCode>General</c:formatCode>
                <c:ptCount val="6"/>
                <c:pt idx="0">
                  <c:v>1</c:v>
                </c:pt>
                <c:pt idx="1">
                  <c:v>1.0009087831245977</c:v>
                </c:pt>
                <c:pt idx="2">
                  <c:v>1.0002469911834135</c:v>
                </c:pt>
                <c:pt idx="3">
                  <c:v>1.0001228723192235</c:v>
                </c:pt>
                <c:pt idx="4">
                  <c:v>1.000109833971903</c:v>
                </c:pt>
                <c:pt idx="5">
                  <c:v>1.0002911877394636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FAA-4AA6-A01B-2EC09563BA6C}"/>
            </c:ext>
          </c:extLst>
        </c:ser>
        <c:ser>
          <c:idx val="13"/>
          <c:order val="13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LHistory!$L$19:$Q$19</c:f>
              <c:numCache>
                <c:formatCode>General</c:formatCode>
                <c:ptCount val="6"/>
                <c:pt idx="0">
                  <c:v>1</c:v>
                </c:pt>
                <c:pt idx="1">
                  <c:v>1.0004166496671538</c:v>
                </c:pt>
                <c:pt idx="2">
                  <c:v>0.9998191521425831</c:v>
                </c:pt>
                <c:pt idx="3">
                  <c:v>0.99971753829979138</c:v>
                </c:pt>
                <c:pt idx="4">
                  <c:v>0.99972898550724631</c:v>
                </c:pt>
                <c:pt idx="5">
                  <c:v>0.99989710144927535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FAA-4AA6-A01B-2EC09563BA6C}"/>
            </c:ext>
          </c:extLst>
        </c:ser>
        <c:ser>
          <c:idx val="14"/>
          <c:order val="14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LHistory!$L$20:$Q$20</c:f>
              <c:numCache>
                <c:formatCode>General</c:formatCode>
                <c:ptCount val="6"/>
                <c:pt idx="0">
                  <c:v>1</c:v>
                </c:pt>
                <c:pt idx="1">
                  <c:v>1.0012106919355677</c:v>
                </c:pt>
                <c:pt idx="2">
                  <c:v>1.0006881095857518</c:v>
                </c:pt>
                <c:pt idx="3">
                  <c:v>1.0006051964586355</c:v>
                </c:pt>
                <c:pt idx="4">
                  <c:v>1.0006081081081082</c:v>
                </c:pt>
                <c:pt idx="5">
                  <c:v>1.0007956081081082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FAA-4AA6-A01B-2EC09563BA6C}"/>
            </c:ext>
          </c:extLst>
        </c:ser>
        <c:ser>
          <c:idx val="15"/>
          <c:order val="15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LHistory!$L$21:$Q$21</c:f>
              <c:numCache>
                <c:formatCode>General</c:formatCode>
                <c:ptCount val="6"/>
                <c:pt idx="0">
                  <c:v>1</c:v>
                </c:pt>
                <c:pt idx="1">
                  <c:v>1.0003495210906386</c:v>
                </c:pt>
                <c:pt idx="2">
                  <c:v>0.99988576169085785</c:v>
                </c:pt>
                <c:pt idx="3">
                  <c:v>0.9998108645490128</c:v>
                </c:pt>
                <c:pt idx="4">
                  <c:v>0.99981810832659657</c:v>
                </c:pt>
                <c:pt idx="5">
                  <c:v>1.0000060630557801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FAA-4AA6-A01B-2EC09563BA6C}"/>
            </c:ext>
          </c:extLst>
        </c:ser>
        <c:ser>
          <c:idx val="16"/>
          <c:order val="16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LHistory!$L$22:$Q$22</c:f>
              <c:numCache>
                <c:formatCode>General</c:formatCode>
                <c:ptCount val="6"/>
                <c:pt idx="0">
                  <c:v>1</c:v>
                </c:pt>
                <c:pt idx="1">
                  <c:v>1.0002843628552982</c:v>
                </c:pt>
                <c:pt idx="2">
                  <c:v>0.99989697890233831</c:v>
                </c:pt>
                <c:pt idx="3">
                  <c:v>0.99982425826246024</c:v>
                </c:pt>
                <c:pt idx="4">
                  <c:v>0.99982706766917284</c:v>
                </c:pt>
                <c:pt idx="5">
                  <c:v>1.0000200501253131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FAA-4AA6-A01B-2EC09563BA6C}"/>
            </c:ext>
          </c:extLst>
        </c:ser>
        <c:ser>
          <c:idx val="17"/>
          <c:order val="17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LHistory!$L$23:$Q$23</c:f>
              <c:numCache>
                <c:formatCode>General</c:formatCode>
                <c:ptCount val="6"/>
                <c:pt idx="0">
                  <c:v>1</c:v>
                </c:pt>
                <c:pt idx="1">
                  <c:v>1.0000958223642578</c:v>
                </c:pt>
                <c:pt idx="2">
                  <c:v>0.99975526127247316</c:v>
                </c:pt>
                <c:pt idx="3">
                  <c:v>0.99969626017773117</c:v>
                </c:pt>
                <c:pt idx="4">
                  <c:v>0.99968791064388973</c:v>
                </c:pt>
                <c:pt idx="5">
                  <c:v>0.99990473061760843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FAA-4AA6-A01B-2EC09563BA6C}"/>
            </c:ext>
          </c:extLst>
        </c:ser>
        <c:ser>
          <c:idx val="18"/>
          <c:order val="18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LHistory!$L$24:$Q$24</c:f>
              <c:numCache>
                <c:formatCode>General</c:formatCode>
                <c:ptCount val="6"/>
                <c:pt idx="0">
                  <c:v>1</c:v>
                </c:pt>
                <c:pt idx="1">
                  <c:v>1.0002867367700339</c:v>
                </c:pt>
                <c:pt idx="2">
                  <c:v>0.99998933117092481</c:v>
                </c:pt>
                <c:pt idx="3">
                  <c:v>0.99996562422867774</c:v>
                </c:pt>
                <c:pt idx="4">
                  <c:v>0.99995666827154561</c:v>
                </c:pt>
                <c:pt idx="5">
                  <c:v>1.0001588830043333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FAA-4AA6-A01B-2EC09563BA6C}"/>
            </c:ext>
          </c:extLst>
        </c:ser>
        <c:ser>
          <c:idx val="19"/>
          <c:order val="19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LHistory!$L$25:$Q$25</c:f>
              <c:numCache>
                <c:formatCode>General</c:formatCode>
                <c:ptCount val="6"/>
                <c:pt idx="0">
                  <c:v>1</c:v>
                </c:pt>
                <c:pt idx="1">
                  <c:v>1.000267424131819</c:v>
                </c:pt>
                <c:pt idx="2">
                  <c:v>1.000027919414435</c:v>
                </c:pt>
                <c:pt idx="3">
                  <c:v>1.0000379211336454</c:v>
                </c:pt>
                <c:pt idx="4">
                  <c:v>1</c:v>
                </c:pt>
                <c:pt idx="5">
                  <c:v>1.0002213666987487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FAA-4AA6-A01B-2EC09563B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35008"/>
        <c:axId val="190386944"/>
      </c:scatterChart>
      <c:valAx>
        <c:axId val="190635008"/>
        <c:scaling>
          <c:orientation val="minMax"/>
          <c:min val="33700"/>
        </c:scaling>
        <c:delete val="0"/>
        <c:axPos val="b"/>
        <c:numFmt formatCode="m/d/yyyy" sourceLinked="1"/>
        <c:majorTickMark val="out"/>
        <c:minorTickMark val="none"/>
        <c:tickLblPos val="nextTo"/>
        <c:crossAx val="190386944"/>
        <c:crosses val="autoZero"/>
        <c:crossBetween val="midCat"/>
      </c:valAx>
      <c:valAx>
        <c:axId val="19038694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190635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AH2700Results!$C$4:$C$14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xVal>
          <c:yVal>
            <c:numRef>
              <c:f>AH2700Results!$E$4:$E$14</c:f>
              <c:numCache>
                <c:formatCode>General</c:formatCode>
                <c:ptCount val="11"/>
                <c:pt idx="0">
                  <c:v>2.1623800000000002</c:v>
                </c:pt>
                <c:pt idx="1">
                  <c:v>1.85223</c:v>
                </c:pt>
                <c:pt idx="2">
                  <c:v>2.0617100000000002</c:v>
                </c:pt>
                <c:pt idx="3">
                  <c:v>1.7485900000000001</c:v>
                </c:pt>
                <c:pt idx="4">
                  <c:v>1.9632719999999999</c:v>
                </c:pt>
                <c:pt idx="5">
                  <c:v>1.913675</c:v>
                </c:pt>
                <c:pt idx="6">
                  <c:v>1.597596</c:v>
                </c:pt>
                <c:pt idx="7">
                  <c:v>1.810192</c:v>
                </c:pt>
                <c:pt idx="8">
                  <c:v>1.495633</c:v>
                </c:pt>
                <c:pt idx="9">
                  <c:v>1.7151879999999999</c:v>
                </c:pt>
                <c:pt idx="10">
                  <c:v>1.4022874999999999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81-4210-BFCA-B6FC20E75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61760"/>
        <c:axId val="190663680"/>
      </c:scatterChart>
      <c:valAx>
        <c:axId val="19066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663680"/>
        <c:crosses val="autoZero"/>
        <c:crossBetween val="midCat"/>
      </c:valAx>
      <c:valAx>
        <c:axId val="190663680"/>
        <c:scaling>
          <c:orientation val="minMax"/>
          <c:min val="1.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661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GRhistory!$B$70</c:f>
          <c:strCache>
            <c:ptCount val="1"/>
            <c:pt idx="0">
              <c:v>A10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GRhistory!$C$70:$C$71</c:f>
              <c:strCache>
                <c:ptCount val="2"/>
                <c:pt idx="0">
                  <c:v>A10</c:v>
                </c:pt>
                <c:pt idx="1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plus>
            <c:min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GRhistory!$C$72:$C$75</c:f>
              <c:numCache>
                <c:formatCode>General</c:formatCode>
                <c:ptCount val="4"/>
                <c:pt idx="0">
                  <c:v>1.0013283126515391</c:v>
                </c:pt>
                <c:pt idx="1">
                  <c:v>1.0011856553412477</c:v>
                </c:pt>
                <c:pt idx="2">
                  <c:v>1.001262032072846</c:v>
                </c:pt>
                <c:pt idx="3">
                  <c:v>1.0018745662638946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52-4AD7-8AFC-EF35B096E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78272"/>
        <c:axId val="190288256"/>
      </c:scatterChart>
      <c:scatterChart>
        <c:scatterStyle val="lineMarker"/>
        <c:varyColors val="0"/>
        <c:ser>
          <c:idx val="2"/>
          <c:order val="1"/>
          <c:tx>
            <c:strRef>
              <c:f>GRhistory!$E$70:$E$71</c:f>
              <c:strCache>
                <c:ptCount val="2"/>
                <c:pt idx="0">
                  <c:v>A10</c:v>
                </c:pt>
                <c:pt idx="1">
                  <c:v>D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plus>
            <c:min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minus>
            <c:spPr>
              <a:ln>
                <a:solidFill>
                  <a:srgbClr val="92D05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GRhistory!$E$72:$E$75</c:f>
              <c:numCache>
                <c:formatCode>General</c:formatCode>
                <c:ptCount val="4"/>
                <c:pt idx="0">
                  <c:v>0.11384434692036066</c:v>
                </c:pt>
                <c:pt idx="1">
                  <c:v>0.12884108557871138</c:v>
                </c:pt>
                <c:pt idx="2">
                  <c:v>0.14900481301560467</c:v>
                </c:pt>
                <c:pt idx="3">
                  <c:v>0.16518561760486383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52-4AD7-8AFC-EF35B096E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91328"/>
        <c:axId val="190289792"/>
      </c:scatterChart>
      <c:valAx>
        <c:axId val="190278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90288256"/>
        <c:crosses val="autoZero"/>
        <c:crossBetween val="midCat"/>
      </c:valAx>
      <c:valAx>
        <c:axId val="19028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278272"/>
        <c:crosses val="autoZero"/>
        <c:crossBetween val="midCat"/>
      </c:valAx>
      <c:valAx>
        <c:axId val="190289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0291328"/>
        <c:crosses val="max"/>
        <c:crossBetween val="midCat"/>
      </c:valAx>
      <c:valAx>
        <c:axId val="1902913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90289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98</xdr:row>
      <xdr:rowOff>107950</xdr:rowOff>
    </xdr:from>
    <xdr:to>
      <xdr:col>7</xdr:col>
      <xdr:colOff>120650</xdr:colOff>
      <xdr:row>114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F67303-57FE-44F9-A16A-B952957DE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596900</xdr:colOff>
      <xdr:row>80</xdr:row>
      <xdr:rowOff>107950</xdr:rowOff>
    </xdr:from>
    <xdr:to>
      <xdr:col>7</xdr:col>
      <xdr:colOff>146050</xdr:colOff>
      <xdr:row>97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B564-B14E-4F8F-BEB0-935E43A2E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584200</xdr:colOff>
      <xdr:row>63</xdr:row>
      <xdr:rowOff>38100</xdr:rowOff>
    </xdr:from>
    <xdr:to>
      <xdr:col>7</xdr:col>
      <xdr:colOff>133350</xdr:colOff>
      <xdr:row>79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A5FDB5-B28E-4273-91D1-3476F6D8B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28</xdr:row>
      <xdr:rowOff>0</xdr:rowOff>
    </xdr:from>
    <xdr:to>
      <xdr:col>7</xdr:col>
      <xdr:colOff>202406</xdr:colOff>
      <xdr:row>44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AD0776-787E-4CE6-8FB9-06456B775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</xdr:colOff>
      <xdr:row>46</xdr:row>
      <xdr:rowOff>0</xdr:rowOff>
    </xdr:from>
    <xdr:to>
      <xdr:col>7</xdr:col>
      <xdr:colOff>190500</xdr:colOff>
      <xdr:row>62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E771A90-6BFB-4D6F-9225-E1C819EADC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166688</xdr:colOff>
      <xdr:row>28</xdr:row>
      <xdr:rowOff>35719</xdr:rowOff>
    </xdr:from>
    <xdr:to>
      <xdr:col>14</xdr:col>
      <xdr:colOff>321469</xdr:colOff>
      <xdr:row>44</xdr:row>
      <xdr:rowOff>137319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D0FC6DA-6D17-4E9F-ADC2-4F515F12C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130969</xdr:colOff>
      <xdr:row>46</xdr:row>
      <xdr:rowOff>0</xdr:rowOff>
    </xdr:from>
    <xdr:to>
      <xdr:col>14</xdr:col>
      <xdr:colOff>381000</xdr:colOff>
      <xdr:row>62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619812E-0A3A-4DAB-8D94-DA6E2D4F6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63</xdr:row>
      <xdr:rowOff>0</xdr:rowOff>
    </xdr:from>
    <xdr:to>
      <xdr:col>14</xdr:col>
      <xdr:colOff>412750</xdr:colOff>
      <xdr:row>79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9F06F65-8143-430C-B234-DD71101C9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81</xdr:row>
      <xdr:rowOff>0</xdr:rowOff>
    </xdr:from>
    <xdr:to>
      <xdr:col>14</xdr:col>
      <xdr:colOff>412750</xdr:colOff>
      <xdr:row>97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F333AA4-0D74-4436-8390-A37DBE734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99</xdr:row>
      <xdr:rowOff>0</xdr:rowOff>
    </xdr:from>
    <xdr:to>
      <xdr:col>14</xdr:col>
      <xdr:colOff>412750</xdr:colOff>
      <xdr:row>115</xdr:row>
      <xdr:rowOff>31750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E8759FC-956D-4C5F-9884-7D9D9FB0C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400050</xdr:colOff>
      <xdr:row>23</xdr:row>
      <xdr:rowOff>142875</xdr:rowOff>
    </xdr:from>
    <xdr:to>
      <xdr:col>34</xdr:col>
      <xdr:colOff>200025</xdr:colOff>
      <xdr:row>47</xdr:row>
      <xdr:rowOff>95250</xdr:rowOff>
    </xdr:to>
    <xdr:graphicFrame macro="">
      <xdr:nvGraphicFramePr>
        <xdr:cNvPr id="1110" name="Chart 1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50</xdr:row>
      <xdr:rowOff>0</xdr:rowOff>
    </xdr:from>
    <xdr:to>
      <xdr:col>34</xdr:col>
      <xdr:colOff>409575</xdr:colOff>
      <xdr:row>73</xdr:row>
      <xdr:rowOff>133350</xdr:rowOff>
    </xdr:to>
    <xdr:graphicFrame macro="">
      <xdr:nvGraphicFramePr>
        <xdr:cNvPr id="1111" name="Chart 7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338137</xdr:colOff>
      <xdr:row>28</xdr:row>
      <xdr:rowOff>90486</xdr:rowOff>
    </xdr:from>
    <xdr:to>
      <xdr:col>23</xdr:col>
      <xdr:colOff>552450</xdr:colOff>
      <xdr:row>62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0</xdr:row>
      <xdr:rowOff>119062</xdr:rowOff>
    </xdr:from>
    <xdr:to>
      <xdr:col>22</xdr:col>
      <xdr:colOff>142875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66</xdr:row>
      <xdr:rowOff>100012</xdr:rowOff>
    </xdr:from>
    <xdr:to>
      <xdr:col>15</xdr:col>
      <xdr:colOff>419100</xdr:colOff>
      <xdr:row>83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opLeftCell="A43" workbookViewId="0">
      <selection activeCell="A73" sqref="A73"/>
    </sheetView>
  </sheetViews>
  <sheetFormatPr defaultRowHeight="12.75"/>
  <cols>
    <col min="1" max="1" width="10.140625" bestFit="1" customWidth="1"/>
  </cols>
  <sheetData>
    <row r="1" spans="1:1">
      <c r="A1" s="165" t="s">
        <v>252</v>
      </c>
    </row>
    <row r="2" spans="1:1">
      <c r="A2" t="s">
        <v>154</v>
      </c>
    </row>
    <row r="3" spans="1:1">
      <c r="A3" t="s">
        <v>156</v>
      </c>
    </row>
    <row r="4" spans="1:1">
      <c r="A4" t="s">
        <v>155</v>
      </c>
    </row>
    <row r="5" spans="1:1">
      <c r="A5" t="s">
        <v>180</v>
      </c>
    </row>
    <row r="6" spans="1:1">
      <c r="A6" t="s">
        <v>184</v>
      </c>
    </row>
    <row r="7" spans="1:1">
      <c r="A7" t="s">
        <v>236</v>
      </c>
    </row>
    <row r="8" spans="1:1">
      <c r="A8" t="s">
        <v>245</v>
      </c>
    </row>
    <row r="9" spans="1:1">
      <c r="A9" t="s">
        <v>246</v>
      </c>
    </row>
    <row r="11" spans="1:1">
      <c r="A11" s="165" t="s">
        <v>253</v>
      </c>
    </row>
    <row r="12" spans="1:1">
      <c r="A12" s="165" t="s">
        <v>251</v>
      </c>
    </row>
    <row r="13" spans="1:1">
      <c r="A13" s="165" t="s">
        <v>255</v>
      </c>
    </row>
    <row r="14" spans="1:1">
      <c r="A14" s="165" t="s">
        <v>256</v>
      </c>
    </row>
    <row r="15" spans="1:1">
      <c r="A15" s="165" t="s">
        <v>259</v>
      </c>
    </row>
    <row r="16" spans="1:1">
      <c r="A16" s="165" t="s">
        <v>260</v>
      </c>
    </row>
    <row r="17" spans="1:1">
      <c r="A17" s="165" t="s">
        <v>287</v>
      </c>
    </row>
    <row r="18" spans="1:1">
      <c r="A18" s="165" t="s">
        <v>288</v>
      </c>
    </row>
    <row r="20" spans="1:1">
      <c r="A20" s="165" t="s">
        <v>289</v>
      </c>
    </row>
    <row r="21" spans="1:1">
      <c r="A21" s="165" t="s">
        <v>290</v>
      </c>
    </row>
    <row r="22" spans="1:1">
      <c r="A22" s="165" t="s">
        <v>291</v>
      </c>
    </row>
    <row r="23" spans="1:1">
      <c r="A23" s="165" t="s">
        <v>336</v>
      </c>
    </row>
    <row r="24" spans="1:1">
      <c r="A24" s="165" t="s">
        <v>337</v>
      </c>
    </row>
    <row r="25" spans="1:1">
      <c r="A25" s="165" t="s">
        <v>338</v>
      </c>
    </row>
    <row r="26" spans="1:1">
      <c r="A26" s="165" t="s">
        <v>339</v>
      </c>
    </row>
    <row r="27" spans="1:1">
      <c r="A27" s="165" t="s">
        <v>405</v>
      </c>
    </row>
    <row r="28" spans="1:1">
      <c r="A28" s="230" t="s">
        <v>411</v>
      </c>
    </row>
    <row r="29" spans="1:1">
      <c r="A29" s="165" t="s">
        <v>416</v>
      </c>
    </row>
    <row r="30" spans="1:1">
      <c r="A30" s="165" t="s">
        <v>415</v>
      </c>
    </row>
    <row r="31" spans="1:1">
      <c r="A31" s="165" t="s">
        <v>425</v>
      </c>
    </row>
    <row r="32" spans="1:1">
      <c r="A32" s="165" t="s">
        <v>454</v>
      </c>
    </row>
    <row r="33" spans="1:1">
      <c r="A33" s="165" t="s">
        <v>460</v>
      </c>
    </row>
    <row r="34" spans="1:1">
      <c r="A34" s="165" t="s">
        <v>461</v>
      </c>
    </row>
    <row r="35" spans="1:1">
      <c r="A35" s="165" t="s">
        <v>480</v>
      </c>
    </row>
    <row r="36" spans="1:1">
      <c r="A36" s="165" t="s">
        <v>481</v>
      </c>
    </row>
    <row r="38" spans="1:1">
      <c r="A38" s="165" t="s">
        <v>483</v>
      </c>
    </row>
    <row r="39" spans="1:1">
      <c r="A39" s="165" t="s">
        <v>485</v>
      </c>
    </row>
    <row r="40" spans="1:1">
      <c r="A40" s="165" t="s">
        <v>484</v>
      </c>
    </row>
    <row r="41" spans="1:1">
      <c r="A41" s="165" t="s">
        <v>492</v>
      </c>
    </row>
    <row r="42" spans="1:1">
      <c r="A42" s="165" t="s">
        <v>491</v>
      </c>
    </row>
    <row r="43" spans="1:1">
      <c r="A43" s="165" t="s">
        <v>493</v>
      </c>
    </row>
    <row r="44" spans="1:1">
      <c r="A44" s="165" t="s">
        <v>500</v>
      </c>
    </row>
    <row r="45" spans="1:1">
      <c r="A45" s="165" t="s">
        <v>501</v>
      </c>
    </row>
    <row r="46" spans="1:1">
      <c r="A46" s="165" t="s">
        <v>573</v>
      </c>
    </row>
    <row r="47" spans="1:1">
      <c r="A47" s="165" t="s">
        <v>574</v>
      </c>
    </row>
    <row r="48" spans="1:1">
      <c r="A48" s="165" t="s">
        <v>578</v>
      </c>
    </row>
    <row r="49" spans="1:1">
      <c r="A49" s="165" t="s">
        <v>580</v>
      </c>
    </row>
    <row r="50" spans="1:1">
      <c r="A50" s="165" t="s">
        <v>586</v>
      </c>
    </row>
    <row r="52" spans="1:1">
      <c r="A52" s="165" t="s">
        <v>587</v>
      </c>
    </row>
    <row r="54" spans="1:1">
      <c r="A54" t="s">
        <v>589</v>
      </c>
    </row>
    <row r="55" spans="1:1">
      <c r="A55" s="165" t="s">
        <v>619</v>
      </c>
    </row>
    <row r="56" spans="1:1">
      <c r="A56" s="165" t="s">
        <v>620</v>
      </c>
    </row>
    <row r="57" spans="1:1">
      <c r="A57" s="165" t="s">
        <v>621</v>
      </c>
    </row>
    <row r="58" spans="1:1">
      <c r="A58" s="165" t="s">
        <v>623</v>
      </c>
    </row>
    <row r="59" spans="1:1">
      <c r="A59" s="165" t="s">
        <v>622</v>
      </c>
    </row>
    <row r="61" spans="1:1">
      <c r="A61" s="165" t="s">
        <v>685</v>
      </c>
    </row>
    <row r="62" spans="1:1">
      <c r="A62" s="352" t="s">
        <v>686</v>
      </c>
    </row>
    <row r="64" spans="1:1">
      <c r="A64" s="165" t="s">
        <v>687</v>
      </c>
    </row>
    <row r="65" spans="1:1">
      <c r="A65" s="165" t="s">
        <v>688</v>
      </c>
    </row>
    <row r="67" spans="1:1">
      <c r="A67" t="s">
        <v>698</v>
      </c>
    </row>
    <row r="68" spans="1:1">
      <c r="A68" t="s">
        <v>699</v>
      </c>
    </row>
    <row r="71" spans="1:1">
      <c r="A71" s="369">
        <v>45202</v>
      </c>
    </row>
    <row r="72" spans="1:1">
      <c r="A72" s="370" t="s">
        <v>722</v>
      </c>
    </row>
    <row r="73" spans="1:1">
      <c r="A73" s="370" t="s">
        <v>723</v>
      </c>
    </row>
  </sheetData>
  <phoneticPr fontId="2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  <pageSetUpPr fitToPage="1"/>
  </sheetPr>
  <dimension ref="A1:R50"/>
  <sheetViews>
    <sheetView topLeftCell="B1" zoomScale="130" zoomScaleNormal="130" workbookViewId="0">
      <selection activeCell="O6" sqref="O6"/>
    </sheetView>
  </sheetViews>
  <sheetFormatPr defaultRowHeight="12.75"/>
  <cols>
    <col min="1" max="1" width="23.85546875" customWidth="1"/>
    <col min="2" max="2" width="20.85546875" customWidth="1"/>
    <col min="4" max="4" width="17.28515625" customWidth="1"/>
    <col min="5" max="5" width="2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  <col min="15" max="15" width="9.140625" customWidth="1"/>
  </cols>
  <sheetData>
    <row r="1" spans="1:18" ht="15.75">
      <c r="A1" s="83" t="s">
        <v>614</v>
      </c>
    </row>
    <row r="2" spans="1:18">
      <c r="A2" s="2"/>
      <c r="C2" s="2"/>
      <c r="E2" s="2"/>
      <c r="G2" s="2"/>
      <c r="I2" s="2"/>
      <c r="K2" s="2"/>
      <c r="M2" s="2"/>
      <c r="O2" s="2"/>
      <c r="Q2" s="2"/>
    </row>
    <row r="3" spans="1:18">
      <c r="A3" s="278" t="s">
        <v>603</v>
      </c>
      <c r="B3" s="174" t="s">
        <v>701</v>
      </c>
      <c r="C3" s="95"/>
      <c r="D3" s="89"/>
      <c r="E3" s="29" t="s">
        <v>148</v>
      </c>
      <c r="F3" s="174" t="s">
        <v>700</v>
      </c>
      <c r="G3" s="89"/>
    </row>
    <row r="4" spans="1:18">
      <c r="A4" s="96" t="s">
        <v>44</v>
      </c>
      <c r="B4" s="97">
        <v>45198</v>
      </c>
      <c r="C4" s="95"/>
      <c r="D4" s="89"/>
      <c r="E4" s="29" t="s">
        <v>149</v>
      </c>
      <c r="F4" s="279"/>
      <c r="G4" s="89"/>
      <c r="K4" t="s">
        <v>624</v>
      </c>
    </row>
    <row r="5" spans="1:18">
      <c r="A5" s="167"/>
      <c r="B5" s="97"/>
      <c r="C5" s="95"/>
      <c r="D5" s="89"/>
      <c r="E5" s="29" t="s">
        <v>150</v>
      </c>
      <c r="F5" s="174"/>
      <c r="G5" s="89"/>
    </row>
    <row r="6" spans="1:18" ht="13.5" thickBot="1">
      <c r="A6" s="78"/>
      <c r="D6" s="165" t="s">
        <v>629</v>
      </c>
      <c r="H6" s="165" t="s">
        <v>630</v>
      </c>
      <c r="Q6" s="1"/>
    </row>
    <row r="7" spans="1:18" ht="13.5" thickTop="1">
      <c r="A7" s="331" t="s">
        <v>181</v>
      </c>
      <c r="B7" s="282" t="s">
        <v>613</v>
      </c>
      <c r="C7" s="69" t="s">
        <v>33</v>
      </c>
      <c r="D7" s="87" t="s">
        <v>594</v>
      </c>
      <c r="E7" s="87" t="s">
        <v>595</v>
      </c>
      <c r="F7" s="99" t="s">
        <v>143</v>
      </c>
      <c r="G7" s="333" t="s">
        <v>593</v>
      </c>
      <c r="H7" s="336" t="s">
        <v>625</v>
      </c>
      <c r="I7" s="336" t="s">
        <v>626</v>
      </c>
      <c r="J7" s="336" t="s">
        <v>627</v>
      </c>
      <c r="K7" s="336" t="s">
        <v>625</v>
      </c>
      <c r="L7" s="336" t="s">
        <v>626</v>
      </c>
      <c r="M7" s="336" t="s">
        <v>628</v>
      </c>
      <c r="N7" s="336" t="s">
        <v>625</v>
      </c>
      <c r="O7" s="336" t="s">
        <v>626</v>
      </c>
      <c r="P7" s="336" t="s">
        <v>631</v>
      </c>
      <c r="Q7" s="336" t="s">
        <v>625</v>
      </c>
      <c r="R7" s="336" t="s">
        <v>626</v>
      </c>
    </row>
    <row r="8" spans="1:18">
      <c r="A8" s="66"/>
      <c r="B8" s="68" t="s">
        <v>144</v>
      </c>
      <c r="C8" s="69"/>
      <c r="D8" s="87"/>
      <c r="E8" s="87"/>
      <c r="F8" s="100" t="s">
        <v>144</v>
      </c>
      <c r="G8" s="334" t="s">
        <v>596</v>
      </c>
      <c r="H8" s="336"/>
      <c r="I8" s="336"/>
      <c r="J8" s="336"/>
      <c r="K8" s="335"/>
      <c r="L8" s="335"/>
      <c r="M8" s="336"/>
      <c r="N8" s="335"/>
      <c r="O8" s="335"/>
      <c r="P8" s="336"/>
      <c r="Q8" s="335"/>
      <c r="R8" s="335"/>
    </row>
    <row r="9" spans="1:18">
      <c r="A9" s="166" t="s">
        <v>597</v>
      </c>
      <c r="B9" s="282">
        <v>53</v>
      </c>
      <c r="C9" s="168" t="s">
        <v>84</v>
      </c>
      <c r="D9" s="371">
        <v>-20</v>
      </c>
      <c r="E9" s="371">
        <v>40</v>
      </c>
      <c r="F9" s="372">
        <v>53</v>
      </c>
      <c r="G9" s="373">
        <v>20.7</v>
      </c>
      <c r="H9" s="336">
        <v>0.2</v>
      </c>
      <c r="I9" s="335">
        <v>10</v>
      </c>
      <c r="J9" s="335">
        <v>0</v>
      </c>
      <c r="K9" s="335">
        <v>0</v>
      </c>
      <c r="L9" s="337">
        <v>10</v>
      </c>
      <c r="M9" s="335">
        <v>0</v>
      </c>
      <c r="N9" s="335">
        <v>0</v>
      </c>
      <c r="O9" s="337">
        <v>10</v>
      </c>
      <c r="P9" s="335"/>
      <c r="Q9" s="335"/>
      <c r="R9" s="337"/>
    </row>
    <row r="10" spans="1:18">
      <c r="A10" s="166" t="s">
        <v>702</v>
      </c>
      <c r="B10" s="282">
        <v>53</v>
      </c>
      <c r="C10" s="168" t="s">
        <v>85</v>
      </c>
      <c r="D10" s="374">
        <v>-5729</v>
      </c>
      <c r="E10" s="374">
        <v>4999528</v>
      </c>
      <c r="F10" s="372">
        <v>53</v>
      </c>
      <c r="G10" s="373">
        <v>20.9</v>
      </c>
      <c r="H10" s="336">
        <v>0.2</v>
      </c>
      <c r="I10" s="335">
        <v>10</v>
      </c>
      <c r="J10" s="335">
        <v>0</v>
      </c>
      <c r="K10" s="338">
        <v>1.0000000000000001E-5</v>
      </c>
      <c r="L10" s="337">
        <v>10</v>
      </c>
      <c r="M10" s="338">
        <v>0</v>
      </c>
      <c r="N10" s="338">
        <v>1.0000000000000001E-5</v>
      </c>
      <c r="O10" s="337">
        <v>10</v>
      </c>
      <c r="P10" s="335"/>
      <c r="Q10" s="338"/>
      <c r="R10" s="337"/>
    </row>
    <row r="11" spans="1:18">
      <c r="A11" s="166" t="s">
        <v>597</v>
      </c>
      <c r="B11" s="282">
        <v>53</v>
      </c>
      <c r="C11" s="168" t="s">
        <v>85</v>
      </c>
      <c r="D11" s="374">
        <v>131</v>
      </c>
      <c r="E11" s="374">
        <v>-2</v>
      </c>
      <c r="F11" s="372">
        <v>53</v>
      </c>
      <c r="G11" s="373">
        <v>21.3</v>
      </c>
      <c r="H11" s="336">
        <v>0.2</v>
      </c>
      <c r="I11" s="335">
        <v>10</v>
      </c>
      <c r="J11" s="335">
        <v>0</v>
      </c>
      <c r="K11" s="335">
        <v>0</v>
      </c>
      <c r="L11" s="337">
        <v>10</v>
      </c>
      <c r="M11" s="335">
        <v>0</v>
      </c>
      <c r="N11" s="338">
        <v>0</v>
      </c>
      <c r="O11" s="337">
        <v>10</v>
      </c>
      <c r="P11" s="335"/>
      <c r="Q11" s="338"/>
      <c r="R11" s="337"/>
    </row>
    <row r="12" spans="1:18">
      <c r="A12" s="166" t="s">
        <v>703</v>
      </c>
      <c r="B12" s="282">
        <v>53</v>
      </c>
      <c r="C12" s="168" t="s">
        <v>84</v>
      </c>
      <c r="D12" s="374">
        <v>2211</v>
      </c>
      <c r="E12" s="374">
        <v>9989008</v>
      </c>
      <c r="F12" s="372">
        <v>53</v>
      </c>
      <c r="G12" s="373">
        <v>20.7</v>
      </c>
      <c r="H12" s="336">
        <v>0.2</v>
      </c>
      <c r="I12" s="335">
        <v>10</v>
      </c>
      <c r="J12" s="335">
        <v>0</v>
      </c>
      <c r="K12" s="338">
        <v>1.0000000000000001E-5</v>
      </c>
      <c r="L12" s="337">
        <v>10</v>
      </c>
      <c r="M12" s="338">
        <v>0</v>
      </c>
      <c r="N12" s="338">
        <v>1.0000000000000001E-5</v>
      </c>
      <c r="O12" s="337">
        <v>10</v>
      </c>
      <c r="P12" s="335"/>
      <c r="Q12" s="338"/>
      <c r="R12" s="337"/>
    </row>
    <row r="13" spans="1:18">
      <c r="A13" s="166" t="s">
        <v>704</v>
      </c>
      <c r="B13" s="282">
        <v>53</v>
      </c>
      <c r="C13" s="168" t="s">
        <v>84</v>
      </c>
      <c r="D13" s="374">
        <v>1905</v>
      </c>
      <c r="E13" s="374">
        <v>5000099</v>
      </c>
      <c r="F13" s="372">
        <v>53</v>
      </c>
      <c r="G13" s="373">
        <v>20.7</v>
      </c>
      <c r="H13" s="336">
        <v>0.2</v>
      </c>
      <c r="I13" s="335">
        <v>10</v>
      </c>
      <c r="J13" s="335">
        <v>0</v>
      </c>
      <c r="K13" s="338">
        <v>1.0000000000000001E-5</v>
      </c>
      <c r="L13" s="337">
        <v>10</v>
      </c>
      <c r="M13" s="335">
        <v>0</v>
      </c>
      <c r="N13" s="338">
        <v>1.0000000000000001E-5</v>
      </c>
      <c r="O13" s="337">
        <v>10</v>
      </c>
      <c r="P13" s="335"/>
      <c r="Q13" s="338"/>
      <c r="R13" s="337"/>
    </row>
    <row r="14" spans="1:18">
      <c r="A14" s="166" t="s">
        <v>705</v>
      </c>
      <c r="B14" s="282">
        <v>53</v>
      </c>
      <c r="C14" s="168" t="s">
        <v>84</v>
      </c>
      <c r="D14" s="374">
        <v>153</v>
      </c>
      <c r="E14" s="374">
        <v>1000058</v>
      </c>
      <c r="F14" s="372">
        <v>53</v>
      </c>
      <c r="G14" s="373">
        <v>20.7</v>
      </c>
      <c r="H14" s="336">
        <v>0.2</v>
      </c>
      <c r="I14" s="335">
        <v>10</v>
      </c>
      <c r="J14" s="335">
        <v>0</v>
      </c>
      <c r="K14" s="338">
        <v>1.0000000000000001E-5</v>
      </c>
      <c r="L14" s="337">
        <v>10</v>
      </c>
      <c r="M14" s="335">
        <v>0</v>
      </c>
      <c r="N14" s="338">
        <v>1.0000000000000001E-5</v>
      </c>
      <c r="O14" s="337">
        <v>10</v>
      </c>
      <c r="P14" s="335"/>
      <c r="Q14" s="338"/>
      <c r="R14" s="337"/>
    </row>
    <row r="15" spans="1:18">
      <c r="A15" s="166" t="s">
        <v>706</v>
      </c>
      <c r="B15" s="282">
        <v>53</v>
      </c>
      <c r="C15" s="168" t="s">
        <v>84</v>
      </c>
      <c r="D15" s="374">
        <v>323</v>
      </c>
      <c r="E15" s="374">
        <v>500068</v>
      </c>
      <c r="F15" s="372">
        <v>53</v>
      </c>
      <c r="G15" s="373">
        <v>20.7</v>
      </c>
      <c r="H15" s="336">
        <v>0.2</v>
      </c>
      <c r="I15" s="335">
        <v>10</v>
      </c>
      <c r="J15" s="335">
        <v>0</v>
      </c>
      <c r="K15" s="338">
        <v>1.0000000000000001E-5</v>
      </c>
      <c r="L15" s="337">
        <v>10</v>
      </c>
      <c r="M15" s="335">
        <v>0</v>
      </c>
      <c r="N15" s="338">
        <v>1.0000000000000001E-5</v>
      </c>
      <c r="O15" s="337">
        <v>10</v>
      </c>
      <c r="P15" s="335"/>
      <c r="Q15" s="335"/>
      <c r="R15" s="337"/>
    </row>
    <row r="16" spans="1:18">
      <c r="A16" s="166" t="s">
        <v>707</v>
      </c>
      <c r="B16" s="282">
        <v>53</v>
      </c>
      <c r="C16" s="168" t="s">
        <v>84</v>
      </c>
      <c r="D16" s="374">
        <v>115</v>
      </c>
      <c r="E16" s="374">
        <v>99908</v>
      </c>
      <c r="F16" s="372">
        <v>53</v>
      </c>
      <c r="G16" s="373">
        <v>20.7</v>
      </c>
      <c r="H16" s="336">
        <v>0.2</v>
      </c>
      <c r="I16" s="335">
        <v>10</v>
      </c>
      <c r="J16" s="335">
        <v>0</v>
      </c>
      <c r="K16" s="338">
        <v>1.0000000000000001E-5</v>
      </c>
      <c r="L16" s="337">
        <v>10</v>
      </c>
      <c r="M16" s="335">
        <v>0</v>
      </c>
      <c r="N16" s="338">
        <v>1.0000000000000001E-5</v>
      </c>
      <c r="O16" s="337">
        <v>10</v>
      </c>
      <c r="P16" s="335"/>
      <c r="Q16" s="338"/>
      <c r="R16" s="337"/>
    </row>
    <row r="17" spans="1:18">
      <c r="A17" s="166"/>
      <c r="B17" s="282"/>
      <c r="C17" s="168"/>
      <c r="D17" s="324"/>
      <c r="E17" s="324"/>
      <c r="F17" s="325"/>
      <c r="G17" s="333"/>
      <c r="H17" s="336"/>
      <c r="I17" s="335"/>
      <c r="J17" s="335"/>
      <c r="K17" s="338"/>
      <c r="L17" s="337"/>
      <c r="M17" s="335"/>
      <c r="N17" s="338"/>
      <c r="O17" s="337"/>
      <c r="P17" s="335"/>
      <c r="Q17" s="338"/>
      <c r="R17" s="337"/>
    </row>
    <row r="18" spans="1:18">
      <c r="A18" s="166"/>
      <c r="B18" s="282"/>
      <c r="C18" s="168"/>
      <c r="D18" s="324"/>
      <c r="E18" s="324"/>
      <c r="F18" s="325"/>
      <c r="G18" s="333"/>
      <c r="H18" s="336"/>
      <c r="I18" s="335"/>
      <c r="J18" s="335"/>
      <c r="K18" s="338"/>
      <c r="L18" s="337"/>
      <c r="M18" s="335"/>
      <c r="N18" s="338"/>
      <c r="O18" s="337"/>
      <c r="P18" s="335"/>
      <c r="Q18" s="338"/>
      <c r="R18" s="337"/>
    </row>
    <row r="19" spans="1:18">
      <c r="A19" s="166"/>
      <c r="B19" s="282"/>
      <c r="C19" s="168"/>
      <c r="D19" s="324"/>
      <c r="E19" s="324"/>
      <c r="F19" s="325"/>
      <c r="G19" s="333"/>
      <c r="H19" s="336"/>
      <c r="I19" s="335"/>
      <c r="J19" s="335"/>
      <c r="K19" s="338"/>
      <c r="L19" s="337"/>
      <c r="M19" s="335"/>
      <c r="N19" s="338"/>
      <c r="O19" s="337"/>
      <c r="P19" s="335"/>
      <c r="Q19" s="338"/>
      <c r="R19" s="337"/>
    </row>
    <row r="20" spans="1:18">
      <c r="A20" s="166"/>
      <c r="B20" s="282"/>
      <c r="C20" s="168"/>
      <c r="D20" s="324"/>
      <c r="E20" s="324"/>
      <c r="F20" s="325"/>
      <c r="G20" s="333"/>
      <c r="H20" s="336"/>
      <c r="I20" s="335"/>
      <c r="J20" s="335"/>
      <c r="K20" s="338"/>
      <c r="L20" s="337"/>
      <c r="M20" s="335"/>
      <c r="N20" s="338"/>
      <c r="O20" s="337"/>
      <c r="P20" s="335"/>
      <c r="Q20" s="338"/>
      <c r="R20" s="337"/>
    </row>
    <row r="21" spans="1:18">
      <c r="A21" s="166"/>
      <c r="B21" s="282"/>
      <c r="C21" s="168"/>
      <c r="D21" s="324"/>
      <c r="E21" s="324"/>
      <c r="F21" s="325"/>
      <c r="G21" s="333"/>
      <c r="H21" s="336"/>
      <c r="I21" s="335"/>
      <c r="J21" s="335"/>
      <c r="K21" s="335"/>
      <c r="L21" s="337"/>
      <c r="M21" s="335"/>
      <c r="N21" s="335"/>
      <c r="O21" s="337"/>
      <c r="P21" s="335"/>
      <c r="Q21" s="335"/>
      <c r="R21" s="337"/>
    </row>
    <row r="22" spans="1:18">
      <c r="A22" s="166"/>
      <c r="B22" s="282"/>
      <c r="C22" s="168"/>
      <c r="D22" s="324"/>
      <c r="E22" s="324"/>
      <c r="F22" s="325"/>
      <c r="G22" s="333"/>
      <c r="H22" s="336"/>
      <c r="I22" s="335"/>
      <c r="J22" s="335"/>
      <c r="K22" s="338"/>
      <c r="L22" s="337"/>
      <c r="M22" s="335"/>
      <c r="N22" s="338"/>
      <c r="O22" s="337"/>
      <c r="P22" s="335"/>
      <c r="Q22" s="338"/>
      <c r="R22" s="337"/>
    </row>
    <row r="23" spans="1:18">
      <c r="A23" s="166"/>
      <c r="B23" s="282"/>
      <c r="C23" s="168"/>
      <c r="D23" s="324"/>
      <c r="E23" s="324"/>
      <c r="F23" s="325"/>
      <c r="G23" s="333"/>
      <c r="H23" s="336"/>
      <c r="I23" s="335"/>
      <c r="J23" s="335"/>
      <c r="K23" s="338"/>
      <c r="L23" s="337"/>
      <c r="M23" s="335"/>
      <c r="N23" s="338"/>
      <c r="O23" s="337"/>
      <c r="P23" s="335"/>
      <c r="Q23" s="338"/>
      <c r="R23" s="337"/>
    </row>
    <row r="24" spans="1:18">
      <c r="A24" s="166"/>
      <c r="B24" s="282"/>
      <c r="C24" s="168"/>
      <c r="D24" s="324"/>
      <c r="E24" s="324"/>
      <c r="F24" s="325"/>
      <c r="G24" s="333"/>
      <c r="H24" s="336"/>
      <c r="I24" s="335"/>
      <c r="J24" s="335"/>
      <c r="K24" s="338"/>
      <c r="L24" s="337"/>
      <c r="M24" s="335"/>
      <c r="N24" s="338"/>
      <c r="O24" s="337"/>
      <c r="P24" s="335"/>
      <c r="Q24" s="338"/>
      <c r="R24" s="337"/>
    </row>
    <row r="25" spans="1:18">
      <c r="A25" s="166"/>
      <c r="B25" s="282"/>
      <c r="C25" s="168"/>
      <c r="D25" s="324"/>
      <c r="E25" s="324"/>
      <c r="F25" s="325"/>
      <c r="G25" s="333"/>
      <c r="H25" s="336"/>
      <c r="I25" s="335"/>
      <c r="J25" s="335"/>
      <c r="K25" s="338"/>
      <c r="L25" s="337"/>
      <c r="M25" s="335"/>
      <c r="N25" s="338"/>
      <c r="O25" s="337"/>
      <c r="P25" s="335"/>
      <c r="Q25" s="338"/>
      <c r="R25" s="337"/>
    </row>
    <row r="26" spans="1:18">
      <c r="A26" s="166"/>
      <c r="B26" s="282"/>
      <c r="C26" s="168"/>
      <c r="D26" s="324"/>
      <c r="E26" s="324"/>
      <c r="F26" s="325"/>
      <c r="G26" s="333"/>
      <c r="H26" s="336"/>
      <c r="I26" s="335"/>
      <c r="J26" s="335"/>
      <c r="K26" s="338"/>
      <c r="L26" s="337"/>
      <c r="M26" s="335"/>
      <c r="N26" s="338"/>
      <c r="O26" s="337"/>
      <c r="P26" s="335"/>
      <c r="Q26" s="338"/>
      <c r="R26" s="337"/>
    </row>
    <row r="27" spans="1:18">
      <c r="A27" s="166"/>
      <c r="B27" s="282"/>
      <c r="C27" s="168"/>
      <c r="D27" s="324"/>
      <c r="E27" s="324"/>
      <c r="F27" s="325"/>
      <c r="G27" s="333"/>
      <c r="H27" s="336"/>
      <c r="I27" s="335"/>
      <c r="J27" s="335"/>
      <c r="K27" s="335"/>
      <c r="L27" s="337"/>
      <c r="M27" s="335"/>
      <c r="N27" s="335"/>
      <c r="O27" s="337"/>
      <c r="P27" s="335"/>
      <c r="Q27" s="335"/>
      <c r="R27" s="337"/>
    </row>
    <row r="28" spans="1:18">
      <c r="A28" s="166"/>
      <c r="B28" s="282"/>
      <c r="C28" s="168"/>
      <c r="D28" s="324"/>
      <c r="E28" s="324"/>
      <c r="F28" s="325"/>
      <c r="G28" s="333"/>
      <c r="H28" s="336"/>
      <c r="I28" s="335"/>
      <c r="J28" s="335"/>
      <c r="K28" s="338"/>
      <c r="L28" s="337"/>
      <c r="M28" s="335"/>
      <c r="N28" s="338"/>
      <c r="O28" s="337"/>
      <c r="P28" s="335"/>
      <c r="Q28" s="338"/>
      <c r="R28" s="337"/>
    </row>
    <row r="29" spans="1:18">
      <c r="A29" s="166"/>
      <c r="B29" s="282"/>
      <c r="C29" s="168"/>
      <c r="D29" s="324"/>
      <c r="E29" s="324"/>
      <c r="F29" s="325"/>
      <c r="G29" s="333"/>
      <c r="H29" s="336"/>
      <c r="I29" s="335"/>
      <c r="J29" s="335"/>
      <c r="K29" s="338"/>
      <c r="L29" s="337"/>
      <c r="M29" s="335"/>
      <c r="N29" s="338"/>
      <c r="O29" s="337"/>
      <c r="P29" s="335"/>
      <c r="Q29" s="338"/>
      <c r="R29" s="337"/>
    </row>
    <row r="30" spans="1:18">
      <c r="A30" s="166"/>
      <c r="B30" s="282"/>
      <c r="C30" s="168"/>
      <c r="D30" s="324"/>
      <c r="E30" s="324"/>
      <c r="F30" s="325"/>
      <c r="G30" s="333"/>
      <c r="H30" s="336"/>
      <c r="I30" s="335"/>
      <c r="J30" s="335"/>
      <c r="K30" s="338"/>
      <c r="L30" s="337"/>
      <c r="M30" s="335"/>
      <c r="N30" s="338"/>
      <c r="O30" s="337"/>
      <c r="P30" s="335"/>
      <c r="Q30" s="338"/>
      <c r="R30" s="337"/>
    </row>
    <row r="31" spans="1:18">
      <c r="A31" s="166"/>
      <c r="B31" s="282"/>
      <c r="C31" s="168"/>
      <c r="D31" s="324"/>
      <c r="E31" s="324"/>
      <c r="F31" s="325"/>
      <c r="G31" s="333"/>
      <c r="H31" s="336"/>
      <c r="I31" s="335"/>
      <c r="J31" s="335"/>
      <c r="K31" s="338"/>
      <c r="L31" s="337"/>
      <c r="M31" s="335"/>
      <c r="N31" s="338"/>
      <c r="O31" s="337"/>
      <c r="P31" s="335"/>
      <c r="Q31" s="338"/>
      <c r="R31" s="337"/>
    </row>
    <row r="32" spans="1:18">
      <c r="A32" s="166"/>
      <c r="B32" s="282"/>
      <c r="C32" s="168"/>
      <c r="D32" s="324"/>
      <c r="E32" s="324"/>
      <c r="F32" s="325"/>
      <c r="G32" s="333"/>
      <c r="H32" s="336"/>
      <c r="I32" s="335"/>
      <c r="J32" s="335"/>
      <c r="K32" s="338"/>
      <c r="L32" s="337"/>
      <c r="M32" s="335"/>
      <c r="N32" s="338"/>
      <c r="O32" s="337"/>
      <c r="P32" s="335"/>
      <c r="Q32" s="338"/>
      <c r="R32" s="337"/>
    </row>
    <row r="33" spans="1:18">
      <c r="A33" s="166"/>
      <c r="B33" s="282"/>
      <c r="C33" s="168"/>
      <c r="D33" s="324"/>
      <c r="E33" s="324"/>
      <c r="F33" s="325"/>
      <c r="G33" s="333"/>
      <c r="H33" s="336"/>
      <c r="I33" s="335"/>
      <c r="J33" s="335"/>
      <c r="K33" s="338"/>
      <c r="L33" s="337"/>
      <c r="M33" s="335"/>
      <c r="N33" s="338"/>
      <c r="O33" s="337"/>
      <c r="P33" s="335"/>
      <c r="Q33" s="338"/>
      <c r="R33" s="337"/>
    </row>
    <row r="34" spans="1:18">
      <c r="A34" s="166"/>
      <c r="B34" s="282"/>
      <c r="C34" s="168"/>
      <c r="D34" s="324"/>
      <c r="E34" s="324"/>
      <c r="F34" s="325"/>
      <c r="G34" s="333"/>
      <c r="H34" s="336"/>
      <c r="I34" s="335"/>
      <c r="J34" s="335"/>
      <c r="K34" s="338"/>
      <c r="L34" s="337"/>
      <c r="M34" s="335"/>
      <c r="N34" s="338"/>
      <c r="O34" s="337"/>
      <c r="P34" s="335"/>
      <c r="Q34" s="338"/>
      <c r="R34" s="337"/>
    </row>
    <row r="35" spans="1:18">
      <c r="A35" s="166"/>
      <c r="B35" s="282"/>
      <c r="C35" s="168"/>
      <c r="D35" s="324"/>
      <c r="E35" s="324"/>
      <c r="F35" s="325"/>
      <c r="G35" s="333"/>
      <c r="H35" s="336"/>
      <c r="I35" s="335"/>
      <c r="J35" s="335"/>
      <c r="K35" s="335"/>
      <c r="L35" s="337"/>
      <c r="M35" s="335"/>
      <c r="N35" s="335"/>
      <c r="O35" s="337"/>
      <c r="P35" s="335"/>
      <c r="Q35" s="335"/>
      <c r="R35" s="337"/>
    </row>
    <row r="36" spans="1:18">
      <c r="A36" s="166"/>
      <c r="B36" s="282"/>
      <c r="C36" s="168"/>
      <c r="D36" s="324"/>
      <c r="E36" s="324"/>
      <c r="F36" s="325"/>
      <c r="G36" s="333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5"/>
    </row>
    <row r="37" spans="1:18">
      <c r="A37" s="166"/>
      <c r="B37" s="282"/>
      <c r="C37" s="168"/>
      <c r="D37" s="324"/>
      <c r="E37" s="324"/>
      <c r="F37" s="325"/>
      <c r="G37" s="333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</row>
    <row r="38" spans="1:18">
      <c r="A38" s="166"/>
      <c r="B38" s="282"/>
      <c r="C38" s="168"/>
      <c r="D38" s="324"/>
      <c r="E38" s="324"/>
      <c r="F38" s="325"/>
      <c r="G38" s="333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5"/>
    </row>
    <row r="39" spans="1:18">
      <c r="A39" s="166"/>
      <c r="B39" s="282"/>
      <c r="C39" s="168"/>
      <c r="D39" s="324"/>
      <c r="E39" s="324"/>
      <c r="F39" s="325"/>
      <c r="G39" s="333"/>
      <c r="H39" s="335"/>
      <c r="I39" s="335"/>
      <c r="J39" s="335"/>
      <c r="K39" s="335"/>
      <c r="L39" s="335"/>
      <c r="M39" s="335"/>
      <c r="N39" s="335"/>
      <c r="O39" s="335"/>
      <c r="P39" s="335"/>
      <c r="Q39" s="335"/>
      <c r="R39" s="335"/>
    </row>
    <row r="40" spans="1:18">
      <c r="A40" s="166"/>
      <c r="B40" s="282"/>
      <c r="C40" s="168"/>
      <c r="D40" s="324"/>
      <c r="E40" s="324"/>
      <c r="F40" s="325"/>
      <c r="G40" s="333"/>
      <c r="H40" s="335"/>
      <c r="I40" s="335"/>
      <c r="J40" s="335"/>
      <c r="K40" s="335"/>
      <c r="L40" s="335"/>
      <c r="M40" s="335"/>
      <c r="N40" s="335"/>
      <c r="O40" s="335"/>
      <c r="P40" s="335"/>
      <c r="Q40" s="335"/>
      <c r="R40" s="335"/>
    </row>
    <row r="41" spans="1:18">
      <c r="A41" s="166"/>
      <c r="B41" s="282"/>
      <c r="C41" s="168"/>
      <c r="D41" s="324"/>
      <c r="E41" s="324"/>
      <c r="F41" s="325"/>
      <c r="G41" s="333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</row>
    <row r="42" spans="1:18">
      <c r="A42" s="166"/>
      <c r="B42" s="282"/>
      <c r="C42" s="168"/>
      <c r="D42" s="324"/>
      <c r="E42" s="324"/>
      <c r="F42" s="325"/>
      <c r="G42" s="333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</row>
    <row r="43" spans="1:18">
      <c r="A43" s="166"/>
      <c r="B43" s="282"/>
      <c r="C43" s="168"/>
      <c r="D43" s="324"/>
      <c r="E43" s="324"/>
      <c r="F43" s="325"/>
      <c r="G43" s="333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</row>
    <row r="44" spans="1:18">
      <c r="A44" s="166"/>
      <c r="B44" s="282"/>
      <c r="C44" s="168"/>
      <c r="D44" s="324"/>
      <c r="E44" s="324"/>
      <c r="F44" s="325"/>
      <c r="G44" s="333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</row>
    <row r="45" spans="1:18">
      <c r="A45" s="166"/>
      <c r="B45" s="282"/>
      <c r="C45" s="168"/>
      <c r="D45" s="324"/>
      <c r="E45" s="324"/>
      <c r="F45" s="325"/>
      <c r="G45" s="333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</row>
    <row r="46" spans="1:18">
      <c r="A46" s="166"/>
      <c r="B46" s="282"/>
      <c r="C46" s="168"/>
      <c r="D46" s="324"/>
      <c r="E46" s="324"/>
      <c r="F46" s="325"/>
      <c r="G46" s="333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</row>
    <row r="47" spans="1:18">
      <c r="A47" s="166"/>
      <c r="B47" s="282"/>
      <c r="C47" s="168"/>
      <c r="D47" s="324"/>
      <c r="E47" s="324"/>
      <c r="F47" s="325"/>
      <c r="G47" s="333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</row>
    <row r="48" spans="1:18">
      <c r="A48" s="166"/>
      <c r="B48" s="282"/>
      <c r="C48" s="168"/>
      <c r="D48" s="324"/>
      <c r="E48" s="324"/>
      <c r="F48" s="325"/>
      <c r="G48" s="333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</row>
    <row r="49" spans="1:18">
      <c r="A49" s="166"/>
      <c r="B49" s="282"/>
      <c r="C49" s="168"/>
      <c r="D49" s="324"/>
      <c r="E49" s="324"/>
      <c r="F49" s="325"/>
      <c r="G49" s="333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</row>
    <row r="50" spans="1:18">
      <c r="A50" s="166"/>
      <c r="B50" s="282"/>
      <c r="C50" s="168"/>
      <c r="D50" s="324"/>
      <c r="E50" s="324"/>
      <c r="F50" s="325"/>
      <c r="G50" s="333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</row>
  </sheetData>
  <pageMargins left="0.7" right="0.7" top="0.75" bottom="0.75" header="0.3" footer="0.3"/>
  <pageSetup paperSize="9" scale="6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8"/>
  <sheetViews>
    <sheetView zoomScale="120" zoomScaleNormal="120" workbookViewId="0">
      <selection activeCell="A2" sqref="A2:W9"/>
    </sheetView>
  </sheetViews>
  <sheetFormatPr defaultColWidth="11.42578125" defaultRowHeight="12.75"/>
  <cols>
    <col min="3" max="23" width="11.42578125" customWidth="1"/>
    <col min="26" max="26" width="15" customWidth="1"/>
    <col min="30" max="30" width="19.42578125" customWidth="1"/>
    <col min="31" max="31" width="13.140625" bestFit="1" customWidth="1"/>
  </cols>
  <sheetData>
    <row r="1" spans="1:35">
      <c r="A1" s="165" t="s">
        <v>181</v>
      </c>
      <c r="B1" s="165" t="s">
        <v>16</v>
      </c>
      <c r="C1" s="165" t="s">
        <v>33</v>
      </c>
      <c r="D1" s="165" t="s">
        <v>632</v>
      </c>
      <c r="E1" s="165" t="s">
        <v>633</v>
      </c>
      <c r="F1" s="165" t="s">
        <v>634</v>
      </c>
      <c r="G1" s="165" t="s">
        <v>482</v>
      </c>
      <c r="H1" s="165" t="s">
        <v>635</v>
      </c>
      <c r="I1" s="165" t="s">
        <v>636</v>
      </c>
      <c r="J1" s="165" t="s">
        <v>684</v>
      </c>
      <c r="K1" s="165" t="s">
        <v>637</v>
      </c>
      <c r="L1" s="165" t="s">
        <v>638</v>
      </c>
      <c r="M1" s="165" t="s">
        <v>640</v>
      </c>
      <c r="N1" s="165" t="s">
        <v>639</v>
      </c>
      <c r="O1" s="165" t="s">
        <v>641</v>
      </c>
      <c r="P1" s="165" t="s">
        <v>642</v>
      </c>
      <c r="Q1" s="165" t="s">
        <v>643</v>
      </c>
      <c r="R1" s="165" t="s">
        <v>644</v>
      </c>
      <c r="S1" s="165" t="s">
        <v>645</v>
      </c>
      <c r="T1" s="165" t="s">
        <v>646</v>
      </c>
      <c r="U1" s="165" t="s">
        <v>647</v>
      </c>
      <c r="V1" s="165" t="s">
        <v>648</v>
      </c>
      <c r="W1" s="165" t="s">
        <v>649</v>
      </c>
      <c r="X1" s="165" t="s">
        <v>650</v>
      </c>
      <c r="Y1" s="165" t="s">
        <v>651</v>
      </c>
      <c r="Z1" s="165" t="s">
        <v>652</v>
      </c>
      <c r="AA1" s="165" t="s">
        <v>169</v>
      </c>
      <c r="AD1" t="s">
        <v>100</v>
      </c>
      <c r="AG1" s="165" t="s">
        <v>716</v>
      </c>
      <c r="AH1" s="165" t="s">
        <v>718</v>
      </c>
      <c r="AI1" s="165" t="s">
        <v>717</v>
      </c>
    </row>
    <row r="2" spans="1:35">
      <c r="A2" s="341" t="s">
        <v>597</v>
      </c>
      <c r="B2" s="341">
        <v>53</v>
      </c>
      <c r="C2" s="341" t="s">
        <v>84</v>
      </c>
      <c r="D2" s="341">
        <v>-20</v>
      </c>
      <c r="E2" s="341">
        <v>40</v>
      </c>
      <c r="F2" s="341">
        <v>53</v>
      </c>
      <c r="G2" s="341">
        <v>20.7</v>
      </c>
      <c r="H2" s="341">
        <v>0.2</v>
      </c>
      <c r="I2" s="341">
        <v>10</v>
      </c>
      <c r="J2" s="341">
        <v>0</v>
      </c>
      <c r="K2" s="341">
        <v>0</v>
      </c>
      <c r="L2" s="341">
        <v>10</v>
      </c>
      <c r="M2" s="341">
        <v>0</v>
      </c>
      <c r="N2" s="341">
        <v>0</v>
      </c>
      <c r="O2" s="341">
        <v>10</v>
      </c>
      <c r="P2" s="341">
        <v>0</v>
      </c>
      <c r="Q2" s="341">
        <v>0</v>
      </c>
      <c r="R2" s="341">
        <v>0</v>
      </c>
      <c r="S2" s="341">
        <v>0</v>
      </c>
      <c r="T2" s="341">
        <v>0</v>
      </c>
      <c r="U2" s="341">
        <v>0</v>
      </c>
      <c r="V2" s="341">
        <v>3.7735849057664221E-9</v>
      </c>
      <c r="W2" s="341">
        <v>3.7735849057175557E-5</v>
      </c>
      <c r="X2" s="84"/>
      <c r="Y2" s="84"/>
      <c r="Z2" t="str">
        <f>A2&amp;B2</f>
        <v>coax zero53</v>
      </c>
      <c r="AG2" s="165" t="s">
        <v>244</v>
      </c>
      <c r="AH2" s="165" t="s">
        <v>244</v>
      </c>
    </row>
    <row r="3" spans="1:35">
      <c r="A3" s="341" t="s">
        <v>702</v>
      </c>
      <c r="B3" s="341">
        <v>53</v>
      </c>
      <c r="C3" s="341" t="s">
        <v>85</v>
      </c>
      <c r="D3" s="341">
        <v>-5729</v>
      </c>
      <c r="E3" s="341">
        <v>4999528</v>
      </c>
      <c r="F3" s="341">
        <v>53</v>
      </c>
      <c r="G3" s="341">
        <v>20.9</v>
      </c>
      <c r="H3" s="341">
        <v>0.2</v>
      </c>
      <c r="I3" s="341">
        <v>10</v>
      </c>
      <c r="J3" s="341">
        <v>0</v>
      </c>
      <c r="K3" s="341">
        <v>1.0000000000000001E-5</v>
      </c>
      <c r="L3" s="341">
        <v>10</v>
      </c>
      <c r="M3" s="341">
        <v>0</v>
      </c>
      <c r="N3" s="341">
        <v>1.0000000000000001E-5</v>
      </c>
      <c r="O3" s="341">
        <v>10</v>
      </c>
      <c r="P3" s="341">
        <v>-5.861255387561705E-6</v>
      </c>
      <c r="Q3" s="341">
        <v>4.2621756640943807E-8</v>
      </c>
      <c r="R3" s="341">
        <v>2.052150539953387</v>
      </c>
      <c r="S3" s="341">
        <v>4.9998279382930102</v>
      </c>
      <c r="T3" s="341">
        <v>5.0949582698370135E-4</v>
      </c>
      <c r="U3" s="341">
        <v>2.011367968943707</v>
      </c>
      <c r="V3" s="341">
        <v>3.8065719475583732E-8</v>
      </c>
      <c r="W3" s="341">
        <v>3.8379606251509298E-4</v>
      </c>
      <c r="X3" s="84">
        <f t="shared" ref="X3:X7" si="0">Q3/V3</f>
        <v>1.1196887180415025</v>
      </c>
      <c r="Y3" s="84">
        <f t="shared" ref="Y3:Y7" si="1">T3/W3</f>
        <v>1.3275170767643432</v>
      </c>
      <c r="Z3" t="str">
        <f>A3&amp;B3</f>
        <v>5ohm53</v>
      </c>
      <c r="AA3" s="92">
        <f>P3*1000000</f>
        <v>-5.8612553875617053</v>
      </c>
      <c r="AB3" s="92">
        <f>Q3*1000000</f>
        <v>4.2621756640943809E-2</v>
      </c>
      <c r="AC3" s="84">
        <f>R3</f>
        <v>2.052150539953387</v>
      </c>
      <c r="AD3" s="340">
        <f>S3</f>
        <v>4.9998279382930102</v>
      </c>
      <c r="AE3" s="340">
        <f>T3</f>
        <v>5.0949582698370135E-4</v>
      </c>
      <c r="AF3" s="84">
        <f>U3</f>
        <v>2.011367968943707</v>
      </c>
      <c r="AG3">
        <f>2*PI()*50*AA3/1000000*1000/AD3</f>
        <v>-0.36828621091837127</v>
      </c>
      <c r="AH3">
        <f>2*PI()*50*AB3/1000000*1000/AD3</f>
        <v>2.6780961104832714E-3</v>
      </c>
      <c r="AI3" s="84">
        <f>AC3</f>
        <v>2.052150539953387</v>
      </c>
    </row>
    <row r="4" spans="1:35">
      <c r="A4" s="341" t="s">
        <v>597</v>
      </c>
      <c r="B4" s="341">
        <v>53</v>
      </c>
      <c r="C4" s="341" t="s">
        <v>85</v>
      </c>
      <c r="D4" s="341">
        <v>131</v>
      </c>
      <c r="E4" s="341">
        <v>-2</v>
      </c>
      <c r="F4" s="341">
        <v>53</v>
      </c>
      <c r="G4" s="341">
        <v>21.3</v>
      </c>
      <c r="H4" s="341">
        <v>0.2</v>
      </c>
      <c r="I4" s="341">
        <v>10</v>
      </c>
      <c r="J4" s="341">
        <v>0</v>
      </c>
      <c r="K4" s="341">
        <v>0</v>
      </c>
      <c r="L4" s="341">
        <v>10</v>
      </c>
      <c r="M4" s="341">
        <v>0</v>
      </c>
      <c r="N4" s="341">
        <v>0</v>
      </c>
      <c r="O4" s="341">
        <v>10</v>
      </c>
      <c r="P4" s="341">
        <v>0</v>
      </c>
      <c r="Q4" s="341">
        <v>0</v>
      </c>
      <c r="R4" s="341">
        <v>0</v>
      </c>
      <c r="S4" s="341">
        <v>0</v>
      </c>
      <c r="T4" s="341">
        <v>0</v>
      </c>
      <c r="U4" s="341">
        <v>0</v>
      </c>
      <c r="V4" s="341">
        <v>3.7735849101190033E-8</v>
      </c>
      <c r="W4" s="341">
        <v>3.7735849079351938E-4</v>
      </c>
      <c r="X4" s="84">
        <f t="shared" si="0"/>
        <v>0</v>
      </c>
      <c r="Y4" s="84">
        <f t="shared" si="1"/>
        <v>0</v>
      </c>
      <c r="Z4" t="str">
        <f t="shared" ref="Z4:Z7" si="2">A4&amp;B4</f>
        <v>coax zero53</v>
      </c>
      <c r="AA4" s="92">
        <f t="shared" ref="AA4:AA9" si="3">P4*1000000</f>
        <v>0</v>
      </c>
      <c r="AB4" s="92">
        <f t="shared" ref="AB4:AB9" si="4">Q4*1000000</f>
        <v>0</v>
      </c>
      <c r="AC4" s="84">
        <f t="shared" ref="AC4:AE7" si="5">R4</f>
        <v>0</v>
      </c>
      <c r="AD4" s="340">
        <f>S4</f>
        <v>0</v>
      </c>
      <c r="AE4" s="340">
        <f t="shared" si="5"/>
        <v>0</v>
      </c>
      <c r="AF4" s="84">
        <f t="shared" ref="AF4:AF7" si="6">U4</f>
        <v>0</v>
      </c>
      <c r="AG4" t="e">
        <f t="shared" ref="AG4:AG9" si="7">2*PI()*50*AA4/1000000*1000/AD4</f>
        <v>#DIV/0!</v>
      </c>
      <c r="AH4" t="e">
        <f t="shared" ref="AH4:AH9" si="8">2*PI()*50*AB4/1000000*1000/AD4</f>
        <v>#DIV/0!</v>
      </c>
      <c r="AI4" s="84">
        <f t="shared" ref="AI4:AI9" si="9">AC4</f>
        <v>0</v>
      </c>
    </row>
    <row r="5" spans="1:35">
      <c r="A5" s="341" t="s">
        <v>703</v>
      </c>
      <c r="B5" s="341">
        <v>53</v>
      </c>
      <c r="C5" s="341" t="s">
        <v>84</v>
      </c>
      <c r="D5" s="341">
        <v>2211</v>
      </c>
      <c r="E5" s="341">
        <v>9989008</v>
      </c>
      <c r="F5" s="341">
        <v>53</v>
      </c>
      <c r="G5" s="341">
        <v>20.7</v>
      </c>
      <c r="H5" s="341">
        <v>0.2</v>
      </c>
      <c r="I5" s="341">
        <v>10</v>
      </c>
      <c r="J5" s="341">
        <v>0</v>
      </c>
      <c r="K5" s="341">
        <v>1.0000000000000001E-5</v>
      </c>
      <c r="L5" s="341">
        <v>10</v>
      </c>
      <c r="M5" s="341">
        <v>0</v>
      </c>
      <c r="N5" s="341">
        <v>1.0000000000000001E-5</v>
      </c>
      <c r="O5" s="341">
        <v>10</v>
      </c>
      <c r="P5" s="341">
        <v>2.2314779470392771E-7</v>
      </c>
      <c r="Q5" s="341">
        <v>5.1981590651435717E-9</v>
      </c>
      <c r="R5" s="341">
        <v>2.0464107341572459</v>
      </c>
      <c r="S5" s="341">
        <v>0.99895632751708363</v>
      </c>
      <c r="T5" s="341">
        <v>5.8524693098080648E-5</v>
      </c>
      <c r="U5" s="341">
        <v>2.0018947902513369</v>
      </c>
      <c r="V5" s="341">
        <v>3.9035720003945128E-9</v>
      </c>
      <c r="W5" s="341">
        <v>4.0244098367642688E-5</v>
      </c>
      <c r="X5" s="84">
        <f t="shared" si="0"/>
        <v>1.3316416514459632</v>
      </c>
      <c r="Y5" s="84">
        <f t="shared" si="1"/>
        <v>1.4542428696858578</v>
      </c>
      <c r="Z5" t="str">
        <f t="shared" si="2"/>
        <v>1ohm53</v>
      </c>
      <c r="AA5" s="92">
        <f t="shared" si="3"/>
        <v>0.2231477947039277</v>
      </c>
      <c r="AB5" s="92">
        <f t="shared" si="4"/>
        <v>5.1981590651435719E-3</v>
      </c>
      <c r="AC5" s="84">
        <f t="shared" si="5"/>
        <v>2.0464107341572459</v>
      </c>
      <c r="AD5" s="340">
        <f t="shared" si="5"/>
        <v>0.99895632751708363</v>
      </c>
      <c r="AE5" s="340">
        <f t="shared" si="5"/>
        <v>5.8524693098080648E-5</v>
      </c>
      <c r="AF5" s="84">
        <f t="shared" si="6"/>
        <v>2.0018947902513369</v>
      </c>
      <c r="AG5">
        <f t="shared" si="7"/>
        <v>7.0177189252012995E-2</v>
      </c>
      <c r="AH5">
        <f t="shared" si="8"/>
        <v>1.6347559829603218E-3</v>
      </c>
      <c r="AI5" s="84">
        <f t="shared" si="9"/>
        <v>2.0464107341572459</v>
      </c>
    </row>
    <row r="6" spans="1:35">
      <c r="A6" s="341" t="s">
        <v>704</v>
      </c>
      <c r="B6" s="341">
        <v>53</v>
      </c>
      <c r="C6" s="341" t="s">
        <v>84</v>
      </c>
      <c r="D6" s="341">
        <v>1905</v>
      </c>
      <c r="E6" s="341">
        <v>5000099</v>
      </c>
      <c r="F6" s="341">
        <v>53</v>
      </c>
      <c r="G6" s="341">
        <v>20.7</v>
      </c>
      <c r="H6" s="341">
        <v>0.2</v>
      </c>
      <c r="I6" s="341">
        <v>10</v>
      </c>
      <c r="J6" s="341">
        <v>0</v>
      </c>
      <c r="K6" s="341">
        <v>1.0000000000000001E-5</v>
      </c>
      <c r="L6" s="341">
        <v>10</v>
      </c>
      <c r="M6" s="341">
        <v>0</v>
      </c>
      <c r="N6" s="341">
        <v>1.0000000000000001E-5</v>
      </c>
      <c r="O6" s="341">
        <v>10</v>
      </c>
      <c r="P6" s="341">
        <v>1.92541239267172E-7</v>
      </c>
      <c r="Q6" s="341">
        <v>4.2621979767676058E-9</v>
      </c>
      <c r="R6" s="341">
        <v>2.0521517668103342</v>
      </c>
      <c r="S6" s="341">
        <v>0.50003569698178441</v>
      </c>
      <c r="T6" s="341">
        <v>5.0660336387609397E-5</v>
      </c>
      <c r="U6" s="341">
        <v>2.0125083476593679</v>
      </c>
      <c r="V6" s="341">
        <v>3.8065719295661257E-9</v>
      </c>
      <c r="W6" s="341">
        <v>3.8379714017235873E-5</v>
      </c>
      <c r="X6" s="84">
        <f t="shared" si="0"/>
        <v>1.1196945849525592</v>
      </c>
      <c r="Y6" s="84">
        <f t="shared" si="1"/>
        <v>1.3199769118878386</v>
      </c>
      <c r="Z6" t="str">
        <f t="shared" si="2"/>
        <v>0.5ohm53</v>
      </c>
      <c r="AA6" s="92">
        <f t="shared" si="3"/>
        <v>0.19254123926717201</v>
      </c>
      <c r="AB6" s="92">
        <f t="shared" si="4"/>
        <v>4.2621979767676057E-3</v>
      </c>
      <c r="AC6" s="84">
        <f t="shared" si="5"/>
        <v>2.0521517668103342</v>
      </c>
      <c r="AD6" s="340">
        <f t="shared" si="5"/>
        <v>0.50003569698178441</v>
      </c>
      <c r="AE6" s="340">
        <f t="shared" si="5"/>
        <v>5.0660336387609397E-5</v>
      </c>
      <c r="AF6" s="84">
        <f t="shared" si="6"/>
        <v>2.0125083476593679</v>
      </c>
      <c r="AG6">
        <f t="shared" si="7"/>
        <v>0.12096859213170481</v>
      </c>
      <c r="AH6">
        <f t="shared" si="8"/>
        <v>2.6778267897234094E-3</v>
      </c>
      <c r="AI6" s="84">
        <f t="shared" si="9"/>
        <v>2.0521517668103342</v>
      </c>
    </row>
    <row r="7" spans="1:35">
      <c r="A7" s="341" t="s">
        <v>705</v>
      </c>
      <c r="B7" s="341">
        <v>53</v>
      </c>
      <c r="C7" s="341" t="s">
        <v>84</v>
      </c>
      <c r="D7" s="341">
        <v>153</v>
      </c>
      <c r="E7" s="341">
        <v>1000058</v>
      </c>
      <c r="F7" s="341">
        <v>53</v>
      </c>
      <c r="G7" s="341">
        <v>20.7</v>
      </c>
      <c r="H7" s="341">
        <v>0.2</v>
      </c>
      <c r="I7" s="341">
        <v>10</v>
      </c>
      <c r="J7" s="341">
        <v>0</v>
      </c>
      <c r="K7" s="341">
        <v>1.0000000000000001E-5</v>
      </c>
      <c r="L7" s="341">
        <v>10</v>
      </c>
      <c r="M7" s="341">
        <v>0</v>
      </c>
      <c r="N7" s="341">
        <v>1.0000000000000001E-5</v>
      </c>
      <c r="O7" s="341">
        <v>10</v>
      </c>
      <c r="P7" s="341">
        <v>1.7303706178296501E-8</v>
      </c>
      <c r="Q7" s="341">
        <v>3.9660753609913119E-9</v>
      </c>
      <c r="R7" s="341">
        <v>2.0824297413124122</v>
      </c>
      <c r="S7" s="341">
        <v>0.1000077594333047</v>
      </c>
      <c r="T7" s="341">
        <v>4.8035507307898262E-5</v>
      </c>
      <c r="U7" s="341">
        <v>2.0249297362867291</v>
      </c>
      <c r="V7" s="341">
        <v>3.7749099907417348E-9</v>
      </c>
      <c r="W7" s="341">
        <v>3.776181626154814E-5</v>
      </c>
      <c r="X7" s="84">
        <f t="shared" si="0"/>
        <v>1.0506410406389624</v>
      </c>
      <c r="Y7" s="84">
        <f t="shared" si="1"/>
        <v>1.2720655959764189</v>
      </c>
      <c r="Z7" t="str">
        <f t="shared" si="2"/>
        <v>0.1ohm53</v>
      </c>
      <c r="AA7" s="92">
        <f t="shared" si="3"/>
        <v>1.7303706178296501E-2</v>
      </c>
      <c r="AB7" s="92">
        <f t="shared" si="4"/>
        <v>3.9660753609913118E-3</v>
      </c>
      <c r="AC7" s="84">
        <f t="shared" si="5"/>
        <v>2.0824297413124122</v>
      </c>
      <c r="AD7" s="340">
        <f t="shared" si="5"/>
        <v>0.1000077594333047</v>
      </c>
      <c r="AE7" s="340">
        <f t="shared" si="5"/>
        <v>4.8035507307898262E-5</v>
      </c>
      <c r="AF7" s="84">
        <f t="shared" si="6"/>
        <v>2.0249297362867291</v>
      </c>
      <c r="AG7">
        <f t="shared" si="7"/>
        <v>5.4356978416125953E-2</v>
      </c>
      <c r="AH7">
        <f t="shared" si="8"/>
        <v>1.245882648334227E-2</v>
      </c>
      <c r="AI7" s="84">
        <f t="shared" si="9"/>
        <v>2.0824297413124122</v>
      </c>
    </row>
    <row r="8" spans="1:35">
      <c r="A8" s="341" t="s">
        <v>706</v>
      </c>
      <c r="B8" s="341">
        <v>53</v>
      </c>
      <c r="C8" s="341" t="s">
        <v>84</v>
      </c>
      <c r="D8" s="341">
        <v>323</v>
      </c>
      <c r="E8" s="341">
        <v>500068</v>
      </c>
      <c r="F8" s="341">
        <v>53</v>
      </c>
      <c r="G8" s="341">
        <v>20.7</v>
      </c>
      <c r="H8" s="341">
        <v>0.2</v>
      </c>
      <c r="I8" s="341">
        <v>10</v>
      </c>
      <c r="J8" s="341">
        <v>0</v>
      </c>
      <c r="K8" s="341">
        <v>1.0000000000000001E-5</v>
      </c>
      <c r="L8" s="341">
        <v>10</v>
      </c>
      <c r="M8" s="341">
        <v>0</v>
      </c>
      <c r="N8" s="341">
        <v>1.0000000000000001E-5</v>
      </c>
      <c r="O8" s="341">
        <v>10</v>
      </c>
      <c r="P8" s="341">
        <v>3.4307348087605199E-8</v>
      </c>
      <c r="Q8" s="341">
        <v>3.9572442518893148E-9</v>
      </c>
      <c r="R8" s="341">
        <v>2.0839635448374891</v>
      </c>
      <c r="S8" s="341">
        <v>5.000577982987954E-2</v>
      </c>
      <c r="T8" s="341">
        <v>4.7953316865921447E-5</v>
      </c>
      <c r="U8" s="341">
        <v>2.025457995443201</v>
      </c>
      <c r="V8" s="341">
        <v>3.7739162978135559E-9</v>
      </c>
      <c r="W8" s="341">
        <v>3.7742343676144962E-5</v>
      </c>
      <c r="X8" s="84">
        <f t="shared" ref="X8:X9" si="10">Q8/V8</f>
        <v>1.0485776417940089</v>
      </c>
      <c r="Y8" s="84">
        <f t="shared" ref="Y8:Y9" si="11">T8/W8</f>
        <v>1.2705442268607798</v>
      </c>
      <c r="Z8" t="str">
        <f t="shared" ref="Z8:Z9" si="12">A8&amp;B8</f>
        <v>0.05ohm53</v>
      </c>
      <c r="AA8" s="92">
        <f t="shared" si="3"/>
        <v>3.4307348087605202E-2</v>
      </c>
      <c r="AB8" s="92">
        <f t="shared" si="4"/>
        <v>3.9572442518893145E-3</v>
      </c>
      <c r="AC8" s="84">
        <f t="shared" ref="AC8:AC9" si="13">R8</f>
        <v>2.0839635448374891</v>
      </c>
      <c r="AD8" s="340">
        <f t="shared" ref="AD8:AD9" si="14">S8</f>
        <v>5.000577982987954E-2</v>
      </c>
      <c r="AE8" s="340">
        <f t="shared" ref="AE8:AE9" si="15">T8</f>
        <v>4.7953316865921447E-5</v>
      </c>
      <c r="AF8" s="84">
        <f t="shared" ref="AF8:AF9" si="16">U8</f>
        <v>2.025457995443201</v>
      </c>
      <c r="AG8">
        <f t="shared" si="7"/>
        <v>0.21553451037627383</v>
      </c>
      <c r="AH8">
        <f t="shared" si="8"/>
        <v>2.4861225067362089E-2</v>
      </c>
      <c r="AI8" s="84">
        <f t="shared" si="9"/>
        <v>2.0839635448374891</v>
      </c>
    </row>
    <row r="9" spans="1:35">
      <c r="A9" s="341" t="s">
        <v>707</v>
      </c>
      <c r="B9" s="341">
        <v>53</v>
      </c>
      <c r="C9" s="341" t="s">
        <v>84</v>
      </c>
      <c r="D9" s="341">
        <v>115</v>
      </c>
      <c r="E9" s="341">
        <v>99908</v>
      </c>
      <c r="F9" s="341">
        <v>53</v>
      </c>
      <c r="G9" s="341">
        <v>20.7</v>
      </c>
      <c r="H9" s="341">
        <v>0.2</v>
      </c>
      <c r="I9" s="341">
        <v>10</v>
      </c>
      <c r="J9" s="341">
        <v>0</v>
      </c>
      <c r="K9" s="341">
        <v>1.0000000000000001E-5</v>
      </c>
      <c r="L9" s="341">
        <v>10</v>
      </c>
      <c r="M9" s="341">
        <v>0</v>
      </c>
      <c r="N9" s="341">
        <v>1.0000000000000001E-5</v>
      </c>
      <c r="O9" s="341">
        <v>10</v>
      </c>
      <c r="P9" s="341">
        <v>1.350289210445103E-8</v>
      </c>
      <c r="Q9" s="341">
        <v>3.9544259211605137E-9</v>
      </c>
      <c r="R9" s="341">
        <v>2.0844647466403998</v>
      </c>
      <c r="S9" s="341">
        <v>9.987395145972645E-3</v>
      </c>
      <c r="T9" s="341">
        <v>4.7927011744791158E-5</v>
      </c>
      <c r="U9" s="341">
        <v>2.0256292774431839</v>
      </c>
      <c r="V9" s="341">
        <v>3.7735981362807659E-9</v>
      </c>
      <c r="W9" s="341">
        <v>3.7736108326512283E-5</v>
      </c>
      <c r="X9" s="84">
        <f t="shared" si="10"/>
        <v>1.0479191949829534</v>
      </c>
      <c r="Y9" s="84">
        <f t="shared" si="11"/>
        <v>1.2700570851159827</v>
      </c>
      <c r="Z9" t="str">
        <f t="shared" si="12"/>
        <v>0.01ohm53</v>
      </c>
      <c r="AA9" s="92">
        <f t="shared" si="3"/>
        <v>1.350289210445103E-2</v>
      </c>
      <c r="AB9" s="92">
        <f t="shared" si="4"/>
        <v>3.9544259211605134E-3</v>
      </c>
      <c r="AC9" s="84">
        <f t="shared" si="13"/>
        <v>2.0844647466403998</v>
      </c>
      <c r="AD9" s="340">
        <f t="shared" si="14"/>
        <v>9.987395145972645E-3</v>
      </c>
      <c r="AE9" s="340">
        <f t="shared" si="15"/>
        <v>4.7927011744791158E-5</v>
      </c>
      <c r="AF9" s="84">
        <f t="shared" si="16"/>
        <v>2.0256292774431839</v>
      </c>
      <c r="AG9">
        <f t="shared" si="7"/>
        <v>0.42474124651676387</v>
      </c>
      <c r="AH9">
        <f t="shared" si="8"/>
        <v>0.12438874442744459</v>
      </c>
      <c r="AI9" s="84">
        <f t="shared" si="9"/>
        <v>2.0844647466403998</v>
      </c>
    </row>
    <row r="10" spans="1:35">
      <c r="A10" s="341"/>
      <c r="B10" s="341"/>
      <c r="C10" s="341"/>
      <c r="D10" s="341"/>
      <c r="E10" s="341"/>
      <c r="F10" s="341"/>
      <c r="G10" s="341"/>
      <c r="H10" s="341"/>
      <c r="I10" s="341"/>
      <c r="J10" s="341"/>
      <c r="K10" s="341"/>
      <c r="L10" s="341"/>
      <c r="M10" s="341"/>
      <c r="N10" s="341"/>
      <c r="O10" s="341"/>
      <c r="P10" s="341"/>
      <c r="Q10" s="341"/>
      <c r="R10" s="341"/>
      <c r="S10" s="341"/>
      <c r="T10" s="341"/>
      <c r="U10" s="341"/>
      <c r="V10" s="341"/>
      <c r="W10" s="341"/>
      <c r="X10" s="84"/>
      <c r="Y10" s="84"/>
      <c r="AA10" s="84"/>
      <c r="AB10" s="84"/>
      <c r="AC10" s="84"/>
      <c r="AD10" s="339"/>
      <c r="AE10" s="339"/>
      <c r="AF10" s="84"/>
    </row>
    <row r="11" spans="1:35">
      <c r="A11" s="341"/>
      <c r="B11" s="341"/>
      <c r="C11" s="341"/>
      <c r="D11" s="341"/>
      <c r="E11" s="341"/>
      <c r="F11" s="341"/>
      <c r="G11" s="341"/>
      <c r="H11" s="341"/>
      <c r="I11" s="341"/>
      <c r="J11" s="341"/>
      <c r="K11" s="341"/>
      <c r="L11" s="341"/>
      <c r="M11" s="341"/>
      <c r="N11" s="341"/>
      <c r="O11" s="341"/>
      <c r="P11" s="341"/>
      <c r="Q11" s="341"/>
      <c r="R11" s="341"/>
      <c r="S11" s="341"/>
      <c r="T11" s="341"/>
      <c r="U11" s="341"/>
      <c r="V11" s="341"/>
      <c r="W11" s="341"/>
      <c r="X11" s="84"/>
      <c r="Y11" s="84"/>
      <c r="AA11" s="84"/>
      <c r="AB11" s="84"/>
      <c r="AC11" s="84"/>
      <c r="AD11" s="339"/>
      <c r="AE11" s="339"/>
      <c r="AF11" s="84"/>
    </row>
    <row r="12" spans="1:35">
      <c r="A12" s="341"/>
      <c r="B12" s="341"/>
      <c r="C12" s="341"/>
      <c r="D12" s="341"/>
      <c r="E12" s="341"/>
      <c r="F12" s="341"/>
      <c r="G12" s="341"/>
      <c r="H12" s="341"/>
      <c r="I12" s="341"/>
      <c r="J12" s="341"/>
      <c r="K12" s="341"/>
      <c r="L12" s="341"/>
      <c r="M12" s="341"/>
      <c r="N12" s="341"/>
      <c r="O12" s="341"/>
      <c r="P12" s="341"/>
      <c r="Q12" s="341"/>
      <c r="R12" s="341"/>
      <c r="S12" s="341"/>
      <c r="T12" s="341"/>
      <c r="U12" s="341"/>
      <c r="V12" s="341"/>
      <c r="W12" s="341"/>
      <c r="X12" s="84"/>
      <c r="Y12" s="84"/>
      <c r="AA12" s="84"/>
      <c r="AB12" s="84"/>
      <c r="AC12" s="84"/>
      <c r="AD12" s="339"/>
      <c r="AE12" s="339"/>
      <c r="AF12" s="84"/>
    </row>
    <row r="13" spans="1:35">
      <c r="A13" s="341"/>
      <c r="B13" s="341"/>
      <c r="C13" s="341"/>
      <c r="D13" s="341"/>
      <c r="E13" s="341"/>
      <c r="F13" s="341"/>
      <c r="G13" s="341"/>
      <c r="H13" s="341"/>
      <c r="I13" s="341"/>
      <c r="J13" s="341"/>
      <c r="K13" s="341"/>
      <c r="L13" s="341"/>
      <c r="M13" s="341"/>
      <c r="N13" s="341"/>
      <c r="O13" s="341"/>
      <c r="P13" s="341"/>
      <c r="Q13" s="341"/>
      <c r="R13" s="341"/>
      <c r="S13" s="341"/>
      <c r="T13" s="341"/>
      <c r="U13" s="341"/>
      <c r="V13" s="341"/>
      <c r="W13" s="341"/>
      <c r="X13" s="84"/>
      <c r="Y13" s="84"/>
      <c r="AA13" s="84"/>
      <c r="AB13" s="84"/>
      <c r="AC13" s="84"/>
      <c r="AD13" s="339"/>
      <c r="AE13" s="339"/>
      <c r="AF13" s="84"/>
    </row>
    <row r="14" spans="1:35">
      <c r="A14" s="341"/>
      <c r="B14" s="341"/>
      <c r="C14" s="341"/>
      <c r="D14" s="341"/>
      <c r="E14" s="341"/>
      <c r="F14" s="341"/>
      <c r="G14" s="341"/>
      <c r="H14" s="341"/>
      <c r="I14" s="341"/>
      <c r="J14" s="341"/>
      <c r="K14" s="341"/>
      <c r="L14" s="341"/>
      <c r="M14" s="341"/>
      <c r="N14" s="341"/>
      <c r="O14" s="341"/>
      <c r="P14" s="341"/>
      <c r="Q14" s="341"/>
      <c r="R14" s="341"/>
      <c r="S14" s="341"/>
      <c r="T14" s="341"/>
      <c r="U14" s="341"/>
      <c r="V14" s="341"/>
      <c r="W14" s="341"/>
      <c r="X14" s="84"/>
      <c r="Y14" s="84"/>
      <c r="AA14" s="84"/>
      <c r="AB14" s="84"/>
      <c r="AC14" s="84"/>
      <c r="AD14" s="340"/>
      <c r="AE14" s="340"/>
      <c r="AF14" s="84"/>
    </row>
    <row r="15" spans="1:35">
      <c r="A15" s="341"/>
      <c r="B15" s="341"/>
      <c r="C15" s="341"/>
      <c r="D15" s="341"/>
      <c r="E15" s="341"/>
      <c r="F15" s="341"/>
      <c r="G15" s="341"/>
      <c r="H15" s="341"/>
      <c r="I15" s="341"/>
      <c r="J15" s="341"/>
      <c r="K15" s="341"/>
      <c r="L15" s="341"/>
      <c r="M15" s="341"/>
      <c r="N15" s="341"/>
      <c r="O15" s="341"/>
      <c r="P15" s="341"/>
      <c r="Q15" s="341"/>
      <c r="R15" s="341"/>
      <c r="S15" s="341"/>
      <c r="T15" s="341"/>
      <c r="U15" s="341"/>
      <c r="V15" s="341"/>
      <c r="W15" s="341"/>
      <c r="X15" s="84"/>
      <c r="Y15" s="84"/>
      <c r="AA15" s="84"/>
      <c r="AB15" s="84"/>
      <c r="AC15" s="84"/>
      <c r="AD15" s="339"/>
      <c r="AE15" s="339"/>
      <c r="AF15" s="84"/>
    </row>
    <row r="16" spans="1:35">
      <c r="A16" s="341"/>
      <c r="B16" s="341"/>
      <c r="C16" s="341"/>
      <c r="D16" s="341"/>
      <c r="E16" s="341"/>
      <c r="F16" s="341"/>
      <c r="G16" s="341"/>
      <c r="H16" s="341"/>
      <c r="I16" s="341"/>
      <c r="J16" s="341"/>
      <c r="K16" s="341"/>
      <c r="L16" s="341"/>
      <c r="M16" s="341"/>
      <c r="N16" s="341"/>
      <c r="O16" s="341"/>
      <c r="P16" s="341"/>
      <c r="Q16" s="341"/>
      <c r="R16" s="341"/>
      <c r="S16" s="341"/>
      <c r="T16" s="341"/>
      <c r="U16" s="341"/>
      <c r="V16" s="341"/>
      <c r="W16" s="341"/>
      <c r="X16" s="84"/>
      <c r="Y16" s="84"/>
      <c r="AA16" s="84"/>
      <c r="AB16" s="84"/>
      <c r="AC16" s="84"/>
      <c r="AD16" s="339"/>
      <c r="AE16" s="339"/>
      <c r="AF16" s="84"/>
    </row>
    <row r="17" spans="1:32">
      <c r="A17" s="341"/>
      <c r="B17" s="341"/>
      <c r="C17" s="341"/>
      <c r="D17" s="341"/>
      <c r="E17" s="341"/>
      <c r="F17" s="341"/>
      <c r="G17" s="341"/>
      <c r="H17" s="341"/>
      <c r="I17" s="341"/>
      <c r="J17" s="341"/>
      <c r="K17" s="341"/>
      <c r="L17" s="341"/>
      <c r="M17" s="341"/>
      <c r="N17" s="341"/>
      <c r="O17" s="341"/>
      <c r="P17" s="341"/>
      <c r="Q17" s="341"/>
      <c r="R17" s="341"/>
      <c r="S17" s="341"/>
      <c r="T17" s="341"/>
      <c r="U17" s="341"/>
      <c r="V17" s="341"/>
      <c r="W17" s="341"/>
      <c r="X17" s="84"/>
      <c r="Y17" s="84"/>
      <c r="AA17" s="84"/>
      <c r="AB17" s="84"/>
      <c r="AC17" s="84"/>
      <c r="AD17" s="339"/>
      <c r="AE17" s="339"/>
      <c r="AF17" s="84"/>
    </row>
    <row r="18" spans="1:32">
      <c r="A18" s="341"/>
      <c r="B18" s="341"/>
      <c r="C18" s="341"/>
      <c r="D18" s="341"/>
      <c r="E18" s="341"/>
      <c r="F18" s="341"/>
      <c r="G18" s="341"/>
      <c r="H18" s="341"/>
      <c r="I18" s="341"/>
      <c r="J18" s="341"/>
      <c r="K18" s="341"/>
      <c r="L18" s="341"/>
      <c r="M18" s="341"/>
      <c r="N18" s="341"/>
      <c r="O18" s="341"/>
      <c r="P18" s="341"/>
      <c r="Q18" s="341"/>
      <c r="R18" s="341"/>
      <c r="S18" s="341"/>
      <c r="T18" s="341"/>
      <c r="U18" s="341"/>
      <c r="V18" s="341"/>
      <c r="W18" s="341"/>
      <c r="X18" s="84"/>
      <c r="Y18" s="84"/>
      <c r="AA18" s="84"/>
      <c r="AB18" s="84"/>
      <c r="AC18" s="84"/>
      <c r="AD18" s="339"/>
      <c r="AE18" s="339"/>
      <c r="AF18" s="84"/>
    </row>
    <row r="19" spans="1:32">
      <c r="A19" s="341"/>
      <c r="B19" s="341"/>
      <c r="C19" s="341"/>
      <c r="D19" s="341"/>
      <c r="E19" s="341"/>
      <c r="F19" s="341"/>
      <c r="G19" s="341"/>
      <c r="H19" s="341"/>
      <c r="I19" s="341"/>
      <c r="J19" s="341"/>
      <c r="K19" s="341"/>
      <c r="L19" s="341"/>
      <c r="M19" s="341"/>
      <c r="N19" s="341"/>
      <c r="O19" s="341"/>
      <c r="P19" s="341"/>
      <c r="Q19" s="341"/>
      <c r="R19" s="341"/>
      <c r="S19" s="341"/>
      <c r="T19" s="341"/>
      <c r="U19" s="341"/>
      <c r="V19" s="341"/>
      <c r="W19" s="341"/>
      <c r="X19" s="84"/>
      <c r="Y19" s="84"/>
      <c r="AA19" s="84"/>
      <c r="AB19" s="84"/>
      <c r="AC19" s="84"/>
      <c r="AD19" s="339"/>
      <c r="AE19" s="339"/>
      <c r="AF19" s="84"/>
    </row>
    <row r="20" spans="1:32">
      <c r="A20" s="341"/>
      <c r="B20" s="341"/>
      <c r="C20" s="341"/>
      <c r="D20" s="341"/>
      <c r="E20" s="341"/>
      <c r="F20" s="341"/>
      <c r="G20" s="341"/>
      <c r="H20" s="341"/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84"/>
      <c r="Y20" s="84"/>
      <c r="AA20" s="84"/>
      <c r="AB20" s="84"/>
      <c r="AC20" s="84"/>
      <c r="AD20" s="340"/>
      <c r="AE20" s="340"/>
      <c r="AF20" s="84"/>
    </row>
    <row r="21" spans="1:32">
      <c r="A21" s="341"/>
      <c r="B21" s="341"/>
      <c r="C21" s="341"/>
      <c r="D21" s="341"/>
      <c r="E21" s="341"/>
      <c r="F21" s="341"/>
      <c r="G21" s="341"/>
      <c r="H21" s="341"/>
      <c r="I21" s="341"/>
      <c r="J21" s="341"/>
      <c r="K21" s="341"/>
      <c r="L21" s="341"/>
      <c r="M21" s="341"/>
      <c r="N21" s="341"/>
      <c r="O21" s="341"/>
      <c r="P21" s="341"/>
      <c r="Q21" s="341"/>
      <c r="R21" s="341"/>
      <c r="S21" s="341"/>
      <c r="T21" s="341"/>
      <c r="U21" s="341"/>
      <c r="V21" s="341"/>
      <c r="W21" s="341"/>
      <c r="X21" s="84"/>
      <c r="Y21" s="84"/>
      <c r="AA21" s="84"/>
      <c r="AB21" s="84"/>
      <c r="AC21" s="84"/>
      <c r="AD21" s="340"/>
      <c r="AE21" s="340"/>
      <c r="AF21" s="84"/>
    </row>
    <row r="22" spans="1:32">
      <c r="A22" s="341"/>
      <c r="B22" s="341"/>
      <c r="C22" s="341"/>
      <c r="D22" s="341"/>
      <c r="E22" s="341"/>
      <c r="F22" s="341"/>
      <c r="G22" s="341"/>
      <c r="H22" s="341"/>
      <c r="I22" s="341"/>
      <c r="J22" s="341"/>
      <c r="K22" s="341"/>
      <c r="L22" s="341"/>
      <c r="M22" s="341"/>
      <c r="N22" s="341"/>
      <c r="O22" s="341"/>
      <c r="P22" s="341"/>
      <c r="Q22" s="341"/>
      <c r="R22" s="341"/>
      <c r="S22" s="341"/>
      <c r="T22" s="341"/>
      <c r="U22" s="341"/>
      <c r="V22" s="341"/>
      <c r="W22" s="341"/>
      <c r="X22" s="84"/>
      <c r="Y22" s="84"/>
      <c r="AA22" s="84"/>
      <c r="AB22" s="84"/>
      <c r="AC22" s="84"/>
      <c r="AD22" s="340"/>
      <c r="AE22" s="340"/>
      <c r="AF22" s="84"/>
    </row>
    <row r="23" spans="1:32">
      <c r="A23" s="341"/>
      <c r="B23" s="341"/>
      <c r="C23" s="341"/>
      <c r="D23" s="341"/>
      <c r="E23" s="341"/>
      <c r="F23" s="341"/>
      <c r="G23" s="341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84"/>
      <c r="Y23" s="84"/>
      <c r="AA23" s="84"/>
      <c r="AB23" s="84"/>
      <c r="AC23" s="84"/>
      <c r="AD23" s="340"/>
      <c r="AE23" s="340"/>
      <c r="AF23" s="84"/>
    </row>
    <row r="24" spans="1:32">
      <c r="A24" s="341"/>
      <c r="B24" s="341"/>
      <c r="C24" s="341"/>
      <c r="D24" s="341"/>
      <c r="E24" s="341"/>
      <c r="F24" s="341"/>
      <c r="G24" s="341"/>
      <c r="H24" s="341"/>
      <c r="I24" s="341"/>
      <c r="J24" s="341"/>
      <c r="K24" s="341"/>
      <c r="L24" s="341"/>
      <c r="M24" s="341"/>
      <c r="N24" s="341"/>
      <c r="O24" s="341"/>
      <c r="P24" s="341"/>
      <c r="Q24" s="341"/>
      <c r="R24" s="341"/>
      <c r="S24" s="341"/>
      <c r="T24" s="341"/>
      <c r="U24" s="341"/>
      <c r="V24" s="341"/>
      <c r="W24" s="341"/>
      <c r="X24" s="84"/>
      <c r="Y24" s="84"/>
      <c r="AA24" s="84"/>
      <c r="AB24" s="84"/>
      <c r="AC24" s="84"/>
      <c r="AD24" s="339"/>
      <c r="AE24" s="339"/>
      <c r="AF24" s="84"/>
    </row>
    <row r="25" spans="1:32">
      <c r="A25" s="341"/>
      <c r="B25" s="341"/>
      <c r="C25" s="341"/>
      <c r="D25" s="341"/>
      <c r="E25" s="341"/>
      <c r="F25" s="341"/>
      <c r="G25" s="341"/>
      <c r="H25" s="341"/>
      <c r="I25" s="341"/>
      <c r="J25" s="341"/>
      <c r="K25" s="341"/>
      <c r="L25" s="341"/>
      <c r="M25" s="341"/>
      <c r="N25" s="341"/>
      <c r="O25" s="341"/>
      <c r="P25" s="341"/>
      <c r="Q25" s="341"/>
      <c r="R25" s="341"/>
      <c r="S25" s="341"/>
      <c r="T25" s="341"/>
      <c r="U25" s="341"/>
      <c r="V25" s="341"/>
      <c r="W25" s="341"/>
      <c r="X25" s="84"/>
      <c r="Y25" s="84"/>
      <c r="AA25" s="84"/>
      <c r="AB25" s="84"/>
      <c r="AC25" s="84"/>
      <c r="AD25" s="339"/>
      <c r="AE25" s="339"/>
      <c r="AF25" s="84"/>
    </row>
    <row r="26" spans="1:32">
      <c r="A26" s="341"/>
      <c r="B26" s="341"/>
      <c r="C26" s="341"/>
      <c r="D26" s="341"/>
      <c r="E26" s="341"/>
      <c r="F26" s="341"/>
      <c r="G26" s="341"/>
      <c r="H26" s="341"/>
      <c r="I26" s="341"/>
      <c r="J26" s="341"/>
      <c r="K26" s="341"/>
      <c r="L26" s="341"/>
      <c r="M26" s="341"/>
      <c r="N26" s="341"/>
      <c r="O26" s="341"/>
      <c r="P26" s="341"/>
      <c r="Q26" s="341"/>
      <c r="R26" s="341"/>
      <c r="S26" s="341"/>
      <c r="T26" s="341"/>
      <c r="U26" s="341"/>
      <c r="V26" s="341"/>
      <c r="W26" s="341"/>
      <c r="X26" s="84"/>
      <c r="Y26" s="84"/>
      <c r="AA26" s="84"/>
      <c r="AB26" s="84"/>
      <c r="AC26" s="84"/>
      <c r="AD26" s="339"/>
      <c r="AE26" s="339"/>
      <c r="AF26" s="84"/>
    </row>
    <row r="27" spans="1:32">
      <c r="A27" s="341"/>
      <c r="B27" s="341"/>
      <c r="C27" s="341"/>
      <c r="D27" s="341"/>
      <c r="E27" s="341"/>
      <c r="F27" s="341"/>
      <c r="G27" s="341"/>
      <c r="H27" s="341"/>
      <c r="I27" s="341"/>
      <c r="J27" s="341"/>
      <c r="K27" s="341"/>
      <c r="L27" s="341"/>
      <c r="M27" s="341"/>
      <c r="N27" s="341"/>
      <c r="O27" s="341"/>
      <c r="P27" s="341"/>
      <c r="Q27" s="341"/>
      <c r="R27" s="341"/>
      <c r="S27" s="341"/>
      <c r="T27" s="341"/>
      <c r="U27" s="341"/>
      <c r="V27" s="341"/>
      <c r="W27" s="341"/>
      <c r="X27" s="84"/>
      <c r="Y27" s="84"/>
      <c r="AA27" s="84"/>
      <c r="AB27" s="84"/>
      <c r="AC27" s="84"/>
      <c r="AD27" s="339"/>
      <c r="AE27" s="339"/>
      <c r="AF27" s="84"/>
    </row>
    <row r="28" spans="1:32">
      <c r="A28" s="341"/>
      <c r="B28" s="341"/>
      <c r="C28" s="341"/>
      <c r="D28" s="341"/>
      <c r="E28" s="341"/>
      <c r="F28" s="341"/>
      <c r="G28" s="341"/>
      <c r="H28" s="341"/>
      <c r="I28" s="341"/>
      <c r="J28" s="341"/>
      <c r="K28" s="341"/>
      <c r="L28" s="341"/>
      <c r="M28" s="341"/>
      <c r="N28" s="341"/>
      <c r="O28" s="341"/>
      <c r="P28" s="341"/>
      <c r="Q28" s="341"/>
      <c r="R28" s="341"/>
      <c r="S28" s="341"/>
      <c r="T28" s="341"/>
      <c r="U28" s="341"/>
      <c r="V28" s="341"/>
      <c r="W28" s="341"/>
      <c r="X28" s="84"/>
      <c r="Y28" s="84"/>
      <c r="AA28" s="84"/>
      <c r="AB28" s="8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zoomScale="110" zoomScaleNormal="110" workbookViewId="0">
      <selection activeCell="A2" sqref="A2"/>
    </sheetView>
  </sheetViews>
  <sheetFormatPr defaultRowHeight="12.75"/>
  <cols>
    <col min="3" max="3" width="15.5703125" customWidth="1"/>
    <col min="5" max="5" width="14.42578125" customWidth="1"/>
    <col min="7" max="7" width="14.28515625" customWidth="1"/>
    <col min="8" max="8" width="12.28515625" customWidth="1"/>
    <col min="12" max="12" width="10.140625" bestFit="1" customWidth="1"/>
  </cols>
  <sheetData>
    <row r="1" spans="1:14">
      <c r="A1" s="165" t="s">
        <v>618</v>
      </c>
    </row>
    <row r="3" spans="1:14" ht="13.5" thickBot="1">
      <c r="J3" s="165" t="s">
        <v>610</v>
      </c>
    </row>
    <row r="4" spans="1:14" ht="13.5" thickTop="1">
      <c r="B4" s="65" t="s">
        <v>181</v>
      </c>
      <c r="C4" s="68" t="s">
        <v>16</v>
      </c>
      <c r="D4" s="69" t="s">
        <v>33</v>
      </c>
      <c r="E4" s="326" t="s">
        <v>605</v>
      </c>
      <c r="F4" s="326" t="s">
        <v>606</v>
      </c>
      <c r="G4" s="99" t="s">
        <v>143</v>
      </c>
      <c r="H4" s="99" t="s">
        <v>593</v>
      </c>
      <c r="J4" s="165" t="s">
        <v>608</v>
      </c>
      <c r="K4" s="165" t="s">
        <v>609</v>
      </c>
    </row>
    <row r="5" spans="1:14">
      <c r="B5" s="66"/>
      <c r="C5" s="68"/>
      <c r="D5" s="69"/>
      <c r="E5" s="326" t="s">
        <v>101</v>
      </c>
      <c r="F5" s="328" t="s">
        <v>607</v>
      </c>
      <c r="G5" s="100" t="s">
        <v>144</v>
      </c>
      <c r="H5" s="323" t="s">
        <v>596</v>
      </c>
      <c r="J5" s="165" t="s">
        <v>101</v>
      </c>
      <c r="K5" s="332" t="s">
        <v>616</v>
      </c>
      <c r="L5" s="165" t="s">
        <v>617</v>
      </c>
      <c r="M5" s="165" t="s">
        <v>615</v>
      </c>
    </row>
    <row r="6" spans="1:14">
      <c r="B6" s="166" t="s">
        <v>597</v>
      </c>
      <c r="C6" s="282"/>
      <c r="D6" s="168" t="s">
        <v>604</v>
      </c>
      <c r="E6" s="329">
        <v>3.2609999999999999E-8</v>
      </c>
      <c r="F6" s="87">
        <v>-1.0499999999999999E-3</v>
      </c>
      <c r="G6" s="325">
        <v>1000</v>
      </c>
      <c r="H6" s="99">
        <v>20.36</v>
      </c>
      <c r="J6" s="152">
        <f t="shared" ref="J6:K8" si="0">E6-E$6</f>
        <v>0</v>
      </c>
      <c r="K6">
        <f t="shared" si="0"/>
        <v>0</v>
      </c>
      <c r="L6" s="84">
        <f>G6/1000</f>
        <v>1</v>
      </c>
      <c r="M6" s="84">
        <f>J6*1000000000</f>
        <v>0</v>
      </c>
    </row>
    <row r="7" spans="1:14">
      <c r="B7" s="166" t="s">
        <v>601</v>
      </c>
      <c r="C7" s="282"/>
      <c r="D7" s="168" t="s">
        <v>604</v>
      </c>
      <c r="E7" s="330">
        <v>5.0960000000000001E-8</v>
      </c>
      <c r="F7" s="324">
        <v>0.99719000000000002</v>
      </c>
      <c r="G7" s="325">
        <v>1000</v>
      </c>
      <c r="H7" s="99"/>
      <c r="J7" s="152">
        <f t="shared" si="0"/>
        <v>1.8350000000000002E-8</v>
      </c>
      <c r="K7">
        <f t="shared" si="0"/>
        <v>0.99824000000000002</v>
      </c>
      <c r="L7" s="84">
        <f t="shared" ref="L7:L20" si="1">G7/1000</f>
        <v>1</v>
      </c>
      <c r="M7" s="84">
        <f t="shared" ref="M7:M20" si="2">J7*1000000000</f>
        <v>18.350000000000001</v>
      </c>
      <c r="N7" s="84">
        <f>M7-M8</f>
        <v>20.419999999999998</v>
      </c>
    </row>
    <row r="8" spans="1:14">
      <c r="B8" s="166" t="s">
        <v>602</v>
      </c>
      <c r="C8" s="282"/>
      <c r="D8" s="168" t="s">
        <v>604</v>
      </c>
      <c r="E8" s="330">
        <v>3.0540000000000001E-8</v>
      </c>
      <c r="F8" s="324">
        <v>0.95789999999999997</v>
      </c>
      <c r="G8" s="325">
        <v>1000</v>
      </c>
      <c r="H8" s="99"/>
      <c r="J8" s="152">
        <f t="shared" si="0"/>
        <v>-2.069999999999998E-9</v>
      </c>
      <c r="K8">
        <f t="shared" si="0"/>
        <v>0.95894999999999997</v>
      </c>
      <c r="L8" s="84">
        <f t="shared" si="1"/>
        <v>1</v>
      </c>
      <c r="M8" s="84">
        <f t="shared" si="2"/>
        <v>-2.0699999999999981</v>
      </c>
    </row>
    <row r="9" spans="1:14">
      <c r="B9" s="166" t="s">
        <v>602</v>
      </c>
      <c r="C9" s="282"/>
      <c r="D9" s="168" t="s">
        <v>604</v>
      </c>
      <c r="E9" s="327">
        <v>8.9000000000000003E-10</v>
      </c>
      <c r="F9" s="87">
        <v>0.95904</v>
      </c>
      <c r="G9" s="325">
        <v>30000</v>
      </c>
      <c r="H9" s="99"/>
      <c r="J9" s="152">
        <f t="shared" ref="J9:K11" si="3">E9-E$11</f>
        <v>5.3000000000000003E-10</v>
      </c>
      <c r="K9">
        <f t="shared" si="3"/>
        <v>0.95896999999999999</v>
      </c>
      <c r="L9" s="84">
        <f t="shared" si="1"/>
        <v>30</v>
      </c>
      <c r="M9" s="84">
        <f t="shared" si="2"/>
        <v>0.53</v>
      </c>
    </row>
    <row r="10" spans="1:14">
      <c r="B10" s="166" t="s">
        <v>601</v>
      </c>
      <c r="C10" s="282"/>
      <c r="D10" s="168" t="s">
        <v>604</v>
      </c>
      <c r="E10" s="330">
        <v>2.1360000000000001E-8</v>
      </c>
      <c r="F10" s="324">
        <v>0.99851000000000001</v>
      </c>
      <c r="G10" s="325">
        <v>30000</v>
      </c>
      <c r="H10" s="99"/>
      <c r="J10" s="152">
        <f t="shared" si="3"/>
        <v>2.0999999999999999E-8</v>
      </c>
      <c r="K10">
        <f t="shared" si="3"/>
        <v>0.99843999999999999</v>
      </c>
      <c r="L10" s="84">
        <f t="shared" si="1"/>
        <v>30</v>
      </c>
      <c r="M10" s="84">
        <f t="shared" si="2"/>
        <v>21</v>
      </c>
      <c r="N10" s="84">
        <f>M10-M9</f>
        <v>20.47</v>
      </c>
    </row>
    <row r="11" spans="1:14">
      <c r="B11" s="166" t="s">
        <v>597</v>
      </c>
      <c r="C11" s="282"/>
      <c r="D11" s="168" t="s">
        <v>604</v>
      </c>
      <c r="E11" s="330">
        <v>3.6E-10</v>
      </c>
      <c r="F11" s="324">
        <v>6.9999999999999994E-5</v>
      </c>
      <c r="G11" s="325">
        <v>30000</v>
      </c>
      <c r="H11" s="99"/>
      <c r="J11" s="152">
        <f t="shared" si="3"/>
        <v>0</v>
      </c>
      <c r="K11">
        <f t="shared" si="3"/>
        <v>0</v>
      </c>
      <c r="L11" s="84">
        <f t="shared" si="1"/>
        <v>30</v>
      </c>
      <c r="M11" s="84">
        <f t="shared" si="2"/>
        <v>0</v>
      </c>
    </row>
    <row r="12" spans="1:14">
      <c r="B12" s="166" t="s">
        <v>597</v>
      </c>
      <c r="C12" s="282"/>
      <c r="D12" s="168" t="s">
        <v>604</v>
      </c>
      <c r="E12" s="330">
        <v>5.4999999999999996E-10</v>
      </c>
      <c r="F12" s="324">
        <v>1.4999999999999999E-4</v>
      </c>
      <c r="G12" s="325">
        <v>30000</v>
      </c>
      <c r="H12" s="99">
        <v>20.440000000000001</v>
      </c>
      <c r="J12" s="152">
        <f t="shared" ref="J12:K14" si="4">E12-E$12</f>
        <v>0</v>
      </c>
      <c r="K12">
        <f t="shared" si="4"/>
        <v>0</v>
      </c>
      <c r="L12" s="84">
        <f t="shared" si="1"/>
        <v>30</v>
      </c>
      <c r="M12" s="84">
        <f t="shared" si="2"/>
        <v>0</v>
      </c>
    </row>
    <row r="13" spans="1:14">
      <c r="B13" s="166" t="s">
        <v>600</v>
      </c>
      <c r="C13" s="282"/>
      <c r="D13" s="168" t="s">
        <v>604</v>
      </c>
      <c r="E13" s="330">
        <v>9.5999999999999999E-10</v>
      </c>
      <c r="F13" s="324">
        <v>9.1310000000000002E-2</v>
      </c>
      <c r="G13" s="325">
        <v>30000</v>
      </c>
      <c r="H13" s="99"/>
      <c r="J13" s="152">
        <f t="shared" si="4"/>
        <v>4.1000000000000003E-10</v>
      </c>
      <c r="K13">
        <f t="shared" si="4"/>
        <v>9.1160000000000005E-2</v>
      </c>
      <c r="L13" s="84">
        <f t="shared" si="1"/>
        <v>30</v>
      </c>
      <c r="M13" s="84">
        <f t="shared" si="2"/>
        <v>0.41000000000000003</v>
      </c>
    </row>
    <row r="14" spans="1:14">
      <c r="B14" s="166" t="s">
        <v>599</v>
      </c>
      <c r="C14" s="282"/>
      <c r="D14" s="168" t="s">
        <v>604</v>
      </c>
      <c r="E14" s="330">
        <v>2.0120000000000001E-8</v>
      </c>
      <c r="F14" s="324">
        <v>0.1012</v>
      </c>
      <c r="G14" s="325">
        <v>30000</v>
      </c>
      <c r="H14" s="99"/>
      <c r="J14" s="152">
        <f t="shared" si="4"/>
        <v>1.9570000000000003E-8</v>
      </c>
      <c r="K14">
        <f t="shared" si="4"/>
        <v>0.10105</v>
      </c>
      <c r="L14" s="84">
        <f t="shared" si="1"/>
        <v>30</v>
      </c>
      <c r="M14" s="84">
        <f t="shared" si="2"/>
        <v>19.570000000000004</v>
      </c>
      <c r="N14" s="84">
        <f>M14-M13</f>
        <v>19.160000000000004</v>
      </c>
    </row>
    <row r="15" spans="1:14">
      <c r="B15" s="166" t="s">
        <v>599</v>
      </c>
      <c r="C15" s="282"/>
      <c r="D15" s="168" t="s">
        <v>604</v>
      </c>
      <c r="E15" s="330">
        <v>2.6090000000000001E-8</v>
      </c>
      <c r="F15" s="324">
        <v>0.1012</v>
      </c>
      <c r="G15" s="325">
        <v>10000</v>
      </c>
      <c r="H15" s="99"/>
      <c r="J15" s="152">
        <f t="shared" ref="J15:K17" si="5">E15-E$17</f>
        <v>2.0450000000000001E-8</v>
      </c>
      <c r="K15">
        <f t="shared" si="5"/>
        <v>0.10073</v>
      </c>
      <c r="L15" s="84">
        <f t="shared" si="1"/>
        <v>10</v>
      </c>
      <c r="M15" s="84">
        <f t="shared" si="2"/>
        <v>20.450000000000003</v>
      </c>
      <c r="N15" s="84">
        <f>M15-M16</f>
        <v>19.830000000000002</v>
      </c>
    </row>
    <row r="16" spans="1:14">
      <c r="B16" s="166" t="s">
        <v>600</v>
      </c>
      <c r="C16" s="282"/>
      <c r="D16" s="168" t="s">
        <v>604</v>
      </c>
      <c r="E16" s="330">
        <v>6.2600000000000003E-9</v>
      </c>
      <c r="F16" s="324">
        <v>9.1619999999999993E-2</v>
      </c>
      <c r="G16" s="325">
        <v>10000</v>
      </c>
      <c r="H16" s="99"/>
      <c r="J16" s="152">
        <f t="shared" si="5"/>
        <v>6.1999999999999993E-10</v>
      </c>
      <c r="K16">
        <f t="shared" si="5"/>
        <v>9.1149999999999995E-2</v>
      </c>
      <c r="L16" s="84">
        <f t="shared" si="1"/>
        <v>10</v>
      </c>
      <c r="M16" s="84">
        <f t="shared" si="2"/>
        <v>0.61999999999999988</v>
      </c>
    </row>
    <row r="17" spans="2:14">
      <c r="B17" s="166" t="s">
        <v>597</v>
      </c>
      <c r="C17" s="282"/>
      <c r="D17" s="168" t="s">
        <v>604</v>
      </c>
      <c r="E17" s="330">
        <v>5.6400000000000004E-9</v>
      </c>
      <c r="F17" s="324">
        <v>4.6999999999999999E-4</v>
      </c>
      <c r="G17" s="325">
        <v>10000</v>
      </c>
      <c r="H17" s="99"/>
      <c r="J17" s="152">
        <f t="shared" si="5"/>
        <v>0</v>
      </c>
      <c r="K17">
        <f t="shared" si="5"/>
        <v>0</v>
      </c>
      <c r="L17" s="84">
        <f t="shared" si="1"/>
        <v>10</v>
      </c>
      <c r="M17" s="84">
        <f t="shared" si="2"/>
        <v>0</v>
      </c>
    </row>
    <row r="18" spans="2:14">
      <c r="B18" s="166" t="s">
        <v>597</v>
      </c>
      <c r="C18" s="282"/>
      <c r="D18" s="168" t="s">
        <v>604</v>
      </c>
      <c r="E18" s="330">
        <v>2.8200000000000001E-8</v>
      </c>
      <c r="F18" s="324">
        <v>-1.0499999999999999E-3</v>
      </c>
      <c r="G18" s="325">
        <v>1000</v>
      </c>
      <c r="H18" s="99"/>
      <c r="J18" s="152">
        <f t="shared" ref="J18:K20" si="6">E18-E$18</f>
        <v>0</v>
      </c>
      <c r="K18">
        <f t="shared" si="6"/>
        <v>0</v>
      </c>
      <c r="L18" s="84">
        <f t="shared" si="1"/>
        <v>1</v>
      </c>
      <c r="M18" s="84">
        <f t="shared" si="2"/>
        <v>0</v>
      </c>
    </row>
    <row r="19" spans="2:14">
      <c r="B19" s="166" t="s">
        <v>600</v>
      </c>
      <c r="C19" s="282"/>
      <c r="D19" s="168" t="s">
        <v>604</v>
      </c>
      <c r="E19" s="330">
        <v>3.0699999999999997E-8</v>
      </c>
      <c r="F19" s="324">
        <v>9.0079999999999993E-2</v>
      </c>
      <c r="G19" s="325">
        <v>1000</v>
      </c>
      <c r="H19" s="99"/>
      <c r="J19" s="152">
        <f t="shared" si="6"/>
        <v>2.4999999999999959E-9</v>
      </c>
      <c r="K19">
        <f t="shared" si="6"/>
        <v>9.1129999999999989E-2</v>
      </c>
      <c r="L19" s="84">
        <f t="shared" si="1"/>
        <v>1</v>
      </c>
      <c r="M19" s="84">
        <f t="shared" si="2"/>
        <v>2.499999999999996</v>
      </c>
    </row>
    <row r="20" spans="2:14">
      <c r="B20" s="166" t="s">
        <v>599</v>
      </c>
      <c r="C20" s="282"/>
      <c r="D20" s="168" t="s">
        <v>604</v>
      </c>
      <c r="E20" s="330">
        <v>5.0570000000000002E-8</v>
      </c>
      <c r="F20" s="324">
        <v>9.9610000000000004E-2</v>
      </c>
      <c r="G20" s="325">
        <v>1000</v>
      </c>
      <c r="H20" s="99"/>
      <c r="J20" s="152">
        <f t="shared" si="6"/>
        <v>2.2370000000000001E-8</v>
      </c>
      <c r="K20">
        <f t="shared" si="6"/>
        <v>0.10066</v>
      </c>
      <c r="L20" s="84">
        <f t="shared" si="1"/>
        <v>1</v>
      </c>
      <c r="M20" s="84">
        <f t="shared" si="2"/>
        <v>22.37</v>
      </c>
      <c r="N20" s="84">
        <f>M20-M19</f>
        <v>19.870000000000005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N25"/>
  <sheetViews>
    <sheetView showGridLines="0" tabSelected="1" zoomScaleNormal="100" workbookViewId="0">
      <selection activeCell="J4" sqref="J4"/>
    </sheetView>
  </sheetViews>
  <sheetFormatPr defaultRowHeight="12.75"/>
  <cols>
    <col min="2" max="3" width="13.85546875" customWidth="1"/>
    <col min="4" max="4" width="9.42578125" customWidth="1"/>
    <col min="5" max="5" width="10.5703125" customWidth="1"/>
    <col min="6" max="6" width="11.5703125" customWidth="1"/>
    <col min="7" max="7" width="11.42578125" customWidth="1"/>
    <col min="9" max="9" width="13" customWidth="1"/>
    <col min="10" max="10" width="12.7109375" bestFit="1" customWidth="1"/>
    <col min="12" max="12" width="11.42578125" customWidth="1"/>
    <col min="13" max="13" width="15" customWidth="1"/>
    <col min="14" max="14" width="10.42578125" bestFit="1" customWidth="1"/>
  </cols>
  <sheetData>
    <row r="3" spans="1:14" ht="42.75" customHeight="1">
      <c r="C3" s="342" t="s">
        <v>663</v>
      </c>
      <c r="D3" s="342" t="s">
        <v>695</v>
      </c>
      <c r="E3" s="342" t="s">
        <v>664</v>
      </c>
      <c r="F3" s="342" t="s">
        <v>714</v>
      </c>
      <c r="G3" s="342" t="s">
        <v>715</v>
      </c>
      <c r="H3" s="343" t="s">
        <v>17</v>
      </c>
      <c r="I3" s="342" t="s">
        <v>696</v>
      </c>
      <c r="J3" s="342" t="s">
        <v>697</v>
      </c>
      <c r="K3" s="343" t="s">
        <v>17</v>
      </c>
      <c r="L3" s="342" t="s">
        <v>719</v>
      </c>
      <c r="M3" s="342" t="s">
        <v>720</v>
      </c>
      <c r="N3" s="343" t="s">
        <v>17</v>
      </c>
    </row>
    <row r="4" spans="1:14" ht="13.5" customHeight="1">
      <c r="A4">
        <v>53</v>
      </c>
      <c r="B4" s="165" t="s">
        <v>708</v>
      </c>
      <c r="C4" s="181"/>
      <c r="D4" s="356">
        <v>5</v>
      </c>
      <c r="E4" s="359">
        <v>53</v>
      </c>
      <c r="F4" s="364">
        <f t="shared" ref="F4:F25" si="0">VLOOKUP($B4,pyvalues,2,FALSE)</f>
        <v>-5.8612553875617053</v>
      </c>
      <c r="G4" s="364">
        <f t="shared" ref="G4:G25" si="1">VLOOKUP($B4,pyvalues,3,FALSE)</f>
        <v>4.2621756640943809E-2</v>
      </c>
      <c r="H4" s="346">
        <f t="shared" ref="H4:H25" si="2">VLOOKUP($B4,pyvalues,4,FALSE)</f>
        <v>2.052150539953387</v>
      </c>
      <c r="I4" s="358">
        <f t="shared" ref="I4:I25" si="3">VLOOKUP($B4,pyvalues,5,FALSE)</f>
        <v>4.9998279382930102</v>
      </c>
      <c r="J4" s="358">
        <f t="shared" ref="J4:J25" si="4">VLOOKUP($B4,pyvalues,6,FALSE)</f>
        <v>5.0949582698370135E-4</v>
      </c>
      <c r="K4" s="346">
        <f t="shared" ref="K4:K25" si="5">VLOOKUP($B4,pyvalues,7,FALSE)</f>
        <v>2.011367968943707</v>
      </c>
      <c r="L4" s="362">
        <f t="shared" ref="L4:L9" si="6">VLOOKUP($B4,pyvalues,8,FALSE)</f>
        <v>-0.36828621091837127</v>
      </c>
      <c r="M4" s="362">
        <f t="shared" ref="M4:M9" si="7">VLOOKUP($B4,pyvalues,9,FALSE)</f>
        <v>2.6780961104832714E-3</v>
      </c>
      <c r="N4" s="346">
        <f t="shared" ref="N4:N9" si="8">VLOOKUP($B4,pyvalues,10,FALSE)</f>
        <v>2.052150539953387</v>
      </c>
    </row>
    <row r="5" spans="1:14" ht="13.5" customHeight="1">
      <c r="A5">
        <v>53</v>
      </c>
      <c r="B5" s="165" t="s">
        <v>709</v>
      </c>
      <c r="C5" s="181"/>
      <c r="D5" s="356">
        <v>1</v>
      </c>
      <c r="E5" s="359">
        <v>53</v>
      </c>
      <c r="F5" s="365">
        <f t="shared" si="0"/>
        <v>0.2231477947039277</v>
      </c>
      <c r="G5" s="365">
        <f t="shared" si="1"/>
        <v>5.1981590651435719E-3</v>
      </c>
      <c r="H5" s="346">
        <f t="shared" si="2"/>
        <v>2.0464107341572459</v>
      </c>
      <c r="I5" s="358">
        <f t="shared" si="3"/>
        <v>0.99895632751708363</v>
      </c>
      <c r="J5" s="358">
        <f t="shared" si="4"/>
        <v>5.8524693098080648E-5</v>
      </c>
      <c r="K5" s="346">
        <f t="shared" si="5"/>
        <v>2.0018947902513369</v>
      </c>
      <c r="L5" s="362">
        <f t="shared" si="6"/>
        <v>7.0177189252012995E-2</v>
      </c>
      <c r="M5" s="362">
        <f t="shared" si="7"/>
        <v>1.6347559829603218E-3</v>
      </c>
      <c r="N5" s="346">
        <f t="shared" si="8"/>
        <v>2.0464107341572459</v>
      </c>
    </row>
    <row r="6" spans="1:14" ht="13.5" customHeight="1">
      <c r="A6">
        <v>53</v>
      </c>
      <c r="B6" s="165" t="s">
        <v>712</v>
      </c>
      <c r="C6" s="181"/>
      <c r="D6" s="356">
        <v>0.5</v>
      </c>
      <c r="E6" s="359">
        <v>53</v>
      </c>
      <c r="F6" s="365">
        <f t="shared" si="0"/>
        <v>0.19254123926717201</v>
      </c>
      <c r="G6" s="365">
        <f t="shared" si="1"/>
        <v>4.2621979767676057E-3</v>
      </c>
      <c r="H6" s="346">
        <f t="shared" si="2"/>
        <v>2.0521517668103342</v>
      </c>
      <c r="I6" s="358">
        <f t="shared" si="3"/>
        <v>0.50003569698178441</v>
      </c>
      <c r="J6" s="358">
        <f t="shared" si="4"/>
        <v>5.0660336387609397E-5</v>
      </c>
      <c r="K6" s="346">
        <f t="shared" si="5"/>
        <v>2.0125083476593679</v>
      </c>
      <c r="L6" s="362">
        <f t="shared" si="6"/>
        <v>0.12096859213170481</v>
      </c>
      <c r="M6" s="362">
        <f t="shared" si="7"/>
        <v>2.6778267897234094E-3</v>
      </c>
      <c r="N6" s="346">
        <f t="shared" si="8"/>
        <v>2.0521517668103342</v>
      </c>
    </row>
    <row r="7" spans="1:14" ht="13.5" customHeight="1">
      <c r="A7">
        <v>53</v>
      </c>
      <c r="B7" s="165" t="s">
        <v>710</v>
      </c>
      <c r="C7" s="181"/>
      <c r="D7" s="356">
        <v>0.05</v>
      </c>
      <c r="E7" s="359">
        <v>53</v>
      </c>
      <c r="F7" s="365">
        <f t="shared" si="0"/>
        <v>1.7303706178296501E-2</v>
      </c>
      <c r="G7" s="365">
        <f t="shared" si="1"/>
        <v>3.9660753609913118E-3</v>
      </c>
      <c r="H7" s="346">
        <f t="shared" si="2"/>
        <v>2.0824297413124122</v>
      </c>
      <c r="I7" s="358">
        <f t="shared" si="3"/>
        <v>0.1000077594333047</v>
      </c>
      <c r="J7" s="358">
        <f t="shared" si="4"/>
        <v>4.8035507307898262E-5</v>
      </c>
      <c r="K7" s="346">
        <f t="shared" si="5"/>
        <v>2.0249297362867291</v>
      </c>
      <c r="L7" s="362">
        <f t="shared" si="6"/>
        <v>5.4356978416125953E-2</v>
      </c>
      <c r="M7" s="362">
        <f t="shared" si="7"/>
        <v>1.245882648334227E-2</v>
      </c>
      <c r="N7" s="346">
        <f t="shared" si="8"/>
        <v>2.0824297413124122</v>
      </c>
    </row>
    <row r="8" spans="1:14" ht="13.5" customHeight="1">
      <c r="A8">
        <v>53</v>
      </c>
      <c r="B8" s="165" t="s">
        <v>713</v>
      </c>
      <c r="C8" s="181"/>
      <c r="D8" s="357">
        <v>0.05</v>
      </c>
      <c r="E8" s="359">
        <v>53</v>
      </c>
      <c r="F8" s="365">
        <f t="shared" si="0"/>
        <v>3.4307348087605202E-2</v>
      </c>
      <c r="G8" s="365">
        <f t="shared" si="1"/>
        <v>3.9572442518893145E-3</v>
      </c>
      <c r="H8" s="346">
        <f t="shared" si="2"/>
        <v>2.0839635448374891</v>
      </c>
      <c r="I8" s="358">
        <f t="shared" si="3"/>
        <v>5.000577982987954E-2</v>
      </c>
      <c r="J8" s="358">
        <f t="shared" si="4"/>
        <v>4.7953316865921447E-5</v>
      </c>
      <c r="K8" s="346">
        <f t="shared" si="5"/>
        <v>2.025457995443201</v>
      </c>
      <c r="L8" s="362">
        <f t="shared" si="6"/>
        <v>0.21553451037627383</v>
      </c>
      <c r="M8" s="362">
        <f t="shared" si="7"/>
        <v>2.4861225067362089E-2</v>
      </c>
      <c r="N8" s="346">
        <f t="shared" si="8"/>
        <v>2.0839635448374891</v>
      </c>
    </row>
    <row r="9" spans="1:14" ht="13.5" customHeight="1">
      <c r="A9">
        <v>53</v>
      </c>
      <c r="B9" s="165" t="s">
        <v>711</v>
      </c>
      <c r="C9" s="181"/>
      <c r="D9" s="357">
        <v>0.01</v>
      </c>
      <c r="E9" s="359">
        <v>53</v>
      </c>
      <c r="F9" s="365">
        <f t="shared" si="0"/>
        <v>1.350289210445103E-2</v>
      </c>
      <c r="G9" s="365">
        <f t="shared" si="1"/>
        <v>3.9544259211605134E-3</v>
      </c>
      <c r="H9" s="346">
        <f t="shared" si="2"/>
        <v>2.0844647466403998</v>
      </c>
      <c r="I9" s="358">
        <f t="shared" si="3"/>
        <v>9.987395145972645E-3</v>
      </c>
      <c r="J9" s="358">
        <f t="shared" si="4"/>
        <v>4.7927011744791158E-5</v>
      </c>
      <c r="K9" s="346">
        <f t="shared" si="5"/>
        <v>2.0256292774431839</v>
      </c>
      <c r="L9" s="363">
        <f t="shared" si="6"/>
        <v>0.42474124651676387</v>
      </c>
      <c r="M9" s="363">
        <f t="shared" si="7"/>
        <v>0.12438874442744459</v>
      </c>
      <c r="N9" s="346">
        <f t="shared" si="8"/>
        <v>2.0844647466403998</v>
      </c>
    </row>
    <row r="10" spans="1:14" ht="13.5" customHeight="1">
      <c r="C10" s="181"/>
      <c r="D10" s="356">
        <v>0.1</v>
      </c>
      <c r="E10" s="359">
        <v>400</v>
      </c>
      <c r="F10" s="356" t="e">
        <f t="shared" si="0"/>
        <v>#N/A</v>
      </c>
      <c r="G10" s="360" t="e">
        <f t="shared" si="1"/>
        <v>#N/A</v>
      </c>
      <c r="H10" s="346" t="e">
        <f t="shared" si="2"/>
        <v>#N/A</v>
      </c>
      <c r="I10" s="358" t="e">
        <f t="shared" si="3"/>
        <v>#N/A</v>
      </c>
      <c r="J10" s="358" t="e">
        <f t="shared" si="4"/>
        <v>#N/A</v>
      </c>
      <c r="K10" s="346" t="e">
        <f t="shared" si="5"/>
        <v>#N/A</v>
      </c>
    </row>
    <row r="11" spans="1:14" ht="13.5" customHeight="1">
      <c r="C11" s="181"/>
      <c r="D11" s="356">
        <v>0.1</v>
      </c>
      <c r="E11" s="359">
        <v>1000</v>
      </c>
      <c r="F11" s="357" t="e">
        <f t="shared" si="0"/>
        <v>#N/A</v>
      </c>
      <c r="G11" s="361" t="e">
        <f>VLOOKUP($B11,pyvalues,3,FALSE)</f>
        <v>#N/A</v>
      </c>
      <c r="H11" s="346" t="e">
        <f t="shared" si="2"/>
        <v>#N/A</v>
      </c>
      <c r="I11" s="358" t="e">
        <f t="shared" si="3"/>
        <v>#N/A</v>
      </c>
      <c r="J11" s="358" t="e">
        <f t="shared" si="4"/>
        <v>#N/A</v>
      </c>
      <c r="K11" s="346" t="e">
        <f t="shared" si="5"/>
        <v>#N/A</v>
      </c>
    </row>
    <row r="12" spans="1:14" ht="13.5" customHeight="1">
      <c r="C12" s="181"/>
      <c r="D12" s="356">
        <v>0.1</v>
      </c>
      <c r="E12" s="359">
        <v>1600</v>
      </c>
      <c r="F12" s="357" t="e">
        <f t="shared" si="0"/>
        <v>#N/A</v>
      </c>
      <c r="G12" s="361" t="e">
        <f t="shared" si="1"/>
        <v>#N/A</v>
      </c>
      <c r="H12" s="346" t="e">
        <f t="shared" si="2"/>
        <v>#N/A</v>
      </c>
      <c r="I12" s="358" t="e">
        <f t="shared" si="3"/>
        <v>#N/A</v>
      </c>
      <c r="J12" s="358" t="e">
        <f t="shared" si="4"/>
        <v>#N/A</v>
      </c>
      <c r="K12" s="346" t="e">
        <f t="shared" si="5"/>
        <v>#N/A</v>
      </c>
    </row>
    <row r="13" spans="1:14" ht="13.5" customHeight="1">
      <c r="C13" s="181"/>
      <c r="D13" s="357">
        <v>0.01</v>
      </c>
      <c r="E13" s="359">
        <v>65</v>
      </c>
      <c r="F13" s="356" t="e">
        <f t="shared" si="0"/>
        <v>#N/A</v>
      </c>
      <c r="G13" s="360" t="e">
        <f t="shared" si="1"/>
        <v>#N/A</v>
      </c>
      <c r="H13" s="346" t="e">
        <f t="shared" si="2"/>
        <v>#N/A</v>
      </c>
      <c r="I13" s="358" t="e">
        <f t="shared" si="3"/>
        <v>#N/A</v>
      </c>
      <c r="J13" s="358" t="e">
        <f t="shared" si="4"/>
        <v>#N/A</v>
      </c>
      <c r="K13" s="346" t="e">
        <f t="shared" si="5"/>
        <v>#N/A</v>
      </c>
    </row>
    <row r="14" spans="1:14" ht="13.5" customHeight="1">
      <c r="C14" s="181"/>
      <c r="D14" s="357">
        <v>0.01</v>
      </c>
      <c r="E14" s="359">
        <v>400</v>
      </c>
      <c r="F14" s="356" t="e">
        <f t="shared" si="0"/>
        <v>#N/A</v>
      </c>
      <c r="G14" s="360" t="e">
        <f t="shared" si="1"/>
        <v>#N/A</v>
      </c>
      <c r="H14" s="346" t="e">
        <f t="shared" si="2"/>
        <v>#N/A</v>
      </c>
      <c r="I14" s="358" t="e">
        <f t="shared" si="3"/>
        <v>#N/A</v>
      </c>
      <c r="J14" s="358" t="e">
        <f t="shared" si="4"/>
        <v>#N/A</v>
      </c>
      <c r="K14" s="346" t="e">
        <f t="shared" si="5"/>
        <v>#N/A</v>
      </c>
    </row>
    <row r="15" spans="1:14" ht="13.5" customHeight="1">
      <c r="C15" s="181"/>
      <c r="D15" s="357">
        <v>0.01</v>
      </c>
      <c r="E15" s="359">
        <v>1000</v>
      </c>
      <c r="F15" s="357" t="e">
        <f t="shared" si="0"/>
        <v>#N/A</v>
      </c>
      <c r="G15" s="361" t="e">
        <f t="shared" si="1"/>
        <v>#N/A</v>
      </c>
      <c r="H15" s="346" t="e">
        <f t="shared" si="2"/>
        <v>#N/A</v>
      </c>
      <c r="I15" s="358" t="e">
        <f t="shared" si="3"/>
        <v>#N/A</v>
      </c>
      <c r="J15" s="358" t="e">
        <f t="shared" si="4"/>
        <v>#N/A</v>
      </c>
      <c r="K15" s="346" t="e">
        <f t="shared" si="5"/>
        <v>#N/A</v>
      </c>
    </row>
    <row r="16" spans="1:14" ht="13.5" customHeight="1">
      <c r="C16" s="181"/>
      <c r="D16" s="357">
        <v>0.01</v>
      </c>
      <c r="E16" s="359">
        <v>1600</v>
      </c>
      <c r="F16" s="357" t="e">
        <f t="shared" si="0"/>
        <v>#N/A</v>
      </c>
      <c r="G16" s="361" t="e">
        <f t="shared" si="1"/>
        <v>#N/A</v>
      </c>
      <c r="H16" s="346" t="e">
        <f t="shared" si="2"/>
        <v>#N/A</v>
      </c>
      <c r="I16" s="358" t="e">
        <f t="shared" si="3"/>
        <v>#N/A</v>
      </c>
      <c r="J16" s="358" t="e">
        <f t="shared" si="4"/>
        <v>#N/A</v>
      </c>
      <c r="K16" s="346" t="e">
        <f t="shared" si="5"/>
        <v>#N/A</v>
      </c>
    </row>
    <row r="17" spans="3:11">
      <c r="C17" s="181"/>
      <c r="D17" s="345">
        <v>0.09</v>
      </c>
      <c r="E17" s="348">
        <v>65</v>
      </c>
      <c r="F17" s="344" t="e">
        <f t="shared" si="0"/>
        <v>#N/A</v>
      </c>
      <c r="G17" s="360" t="e">
        <f t="shared" si="1"/>
        <v>#N/A</v>
      </c>
      <c r="H17" s="346" t="e">
        <f t="shared" si="2"/>
        <v>#N/A</v>
      </c>
      <c r="I17" s="347" t="e">
        <f t="shared" si="3"/>
        <v>#N/A</v>
      </c>
      <c r="J17" s="347" t="e">
        <f t="shared" si="4"/>
        <v>#N/A</v>
      </c>
      <c r="K17" s="346" t="e">
        <f t="shared" si="5"/>
        <v>#N/A</v>
      </c>
    </row>
    <row r="18" spans="3:11">
      <c r="C18" s="181"/>
      <c r="D18" s="345">
        <v>0.09</v>
      </c>
      <c r="E18" s="348">
        <v>400</v>
      </c>
      <c r="F18" s="344" t="e">
        <f t="shared" si="0"/>
        <v>#N/A</v>
      </c>
      <c r="G18" s="360" t="e">
        <f t="shared" si="1"/>
        <v>#N/A</v>
      </c>
      <c r="H18" s="346" t="e">
        <f t="shared" si="2"/>
        <v>#N/A</v>
      </c>
      <c r="I18" s="347" t="e">
        <f t="shared" si="3"/>
        <v>#N/A</v>
      </c>
      <c r="J18" s="347" t="e">
        <f t="shared" si="4"/>
        <v>#N/A</v>
      </c>
      <c r="K18" s="346" t="e">
        <f t="shared" si="5"/>
        <v>#N/A</v>
      </c>
    </row>
    <row r="19" spans="3:11">
      <c r="C19" s="181"/>
      <c r="D19" s="345">
        <v>0.09</v>
      </c>
      <c r="E19" s="348">
        <v>1000</v>
      </c>
      <c r="F19" s="344" t="e">
        <f t="shared" si="0"/>
        <v>#N/A</v>
      </c>
      <c r="G19" s="360" t="e">
        <f t="shared" si="1"/>
        <v>#N/A</v>
      </c>
      <c r="H19" s="346" t="e">
        <f t="shared" si="2"/>
        <v>#N/A</v>
      </c>
      <c r="I19" s="347" t="e">
        <f t="shared" si="3"/>
        <v>#N/A</v>
      </c>
      <c r="J19" s="347" t="e">
        <f t="shared" si="4"/>
        <v>#N/A</v>
      </c>
      <c r="K19" s="346" t="e">
        <f t="shared" si="5"/>
        <v>#N/A</v>
      </c>
    </row>
    <row r="20" spans="3:11">
      <c r="C20" s="181"/>
      <c r="D20" s="345">
        <v>0.09</v>
      </c>
      <c r="E20" s="348">
        <v>1600</v>
      </c>
      <c r="F20" s="344" t="e">
        <f t="shared" si="0"/>
        <v>#N/A</v>
      </c>
      <c r="G20" s="360" t="e">
        <f t="shared" si="1"/>
        <v>#N/A</v>
      </c>
      <c r="H20" s="346" t="e">
        <f t="shared" si="2"/>
        <v>#N/A</v>
      </c>
      <c r="I20" s="347" t="e">
        <f t="shared" si="3"/>
        <v>#N/A</v>
      </c>
      <c r="J20" s="347" t="e">
        <f t="shared" si="4"/>
        <v>#N/A</v>
      </c>
      <c r="K20" s="346" t="e">
        <f t="shared" si="5"/>
        <v>#N/A</v>
      </c>
    </row>
    <row r="21" spans="3:11">
      <c r="C21" s="181"/>
      <c r="D21" s="345">
        <v>0.96</v>
      </c>
      <c r="E21" s="348">
        <v>65</v>
      </c>
      <c r="F21" s="344" t="e">
        <f t="shared" si="0"/>
        <v>#N/A</v>
      </c>
      <c r="G21" s="360" t="e">
        <f t="shared" si="1"/>
        <v>#N/A</v>
      </c>
      <c r="H21" s="346" t="e">
        <f t="shared" si="2"/>
        <v>#N/A</v>
      </c>
      <c r="I21" s="347" t="e">
        <f t="shared" si="3"/>
        <v>#N/A</v>
      </c>
      <c r="J21" s="347" t="e">
        <f t="shared" si="4"/>
        <v>#N/A</v>
      </c>
      <c r="K21" s="346" t="e">
        <f t="shared" si="5"/>
        <v>#N/A</v>
      </c>
    </row>
    <row r="22" spans="3:11">
      <c r="C22" s="181"/>
      <c r="D22" s="345">
        <v>0.96</v>
      </c>
      <c r="E22" s="348">
        <v>400</v>
      </c>
      <c r="F22" s="344" t="e">
        <f t="shared" si="0"/>
        <v>#N/A</v>
      </c>
      <c r="G22" s="360" t="e">
        <f t="shared" si="1"/>
        <v>#N/A</v>
      </c>
      <c r="H22" s="346" t="e">
        <f t="shared" si="2"/>
        <v>#N/A</v>
      </c>
      <c r="I22" s="347" t="e">
        <f t="shared" si="3"/>
        <v>#N/A</v>
      </c>
      <c r="J22" s="347" t="e">
        <f t="shared" si="4"/>
        <v>#N/A</v>
      </c>
      <c r="K22" s="346" t="e">
        <f t="shared" si="5"/>
        <v>#N/A</v>
      </c>
    </row>
    <row r="23" spans="3:11">
      <c r="C23" s="181"/>
      <c r="D23" s="345">
        <v>0.96</v>
      </c>
      <c r="E23" s="348">
        <v>1000</v>
      </c>
      <c r="F23" s="344" t="e">
        <f t="shared" si="0"/>
        <v>#N/A</v>
      </c>
      <c r="G23" s="360" t="e">
        <f t="shared" si="1"/>
        <v>#N/A</v>
      </c>
      <c r="H23" s="346" t="e">
        <f t="shared" si="2"/>
        <v>#N/A</v>
      </c>
      <c r="I23" s="347" t="e">
        <f t="shared" si="3"/>
        <v>#N/A</v>
      </c>
      <c r="J23" s="347" t="e">
        <f t="shared" si="4"/>
        <v>#N/A</v>
      </c>
      <c r="K23" s="346" t="e">
        <f t="shared" si="5"/>
        <v>#N/A</v>
      </c>
    </row>
    <row r="24" spans="3:11">
      <c r="C24" s="181"/>
      <c r="D24" s="345">
        <v>0.96</v>
      </c>
      <c r="E24" s="348">
        <v>1600</v>
      </c>
      <c r="F24" s="344" t="e">
        <f t="shared" si="0"/>
        <v>#N/A</v>
      </c>
      <c r="G24" s="360" t="e">
        <f t="shared" si="1"/>
        <v>#N/A</v>
      </c>
      <c r="H24" s="346" t="e">
        <f t="shared" si="2"/>
        <v>#N/A</v>
      </c>
      <c r="I24" s="347" t="e">
        <f t="shared" si="3"/>
        <v>#N/A</v>
      </c>
      <c r="J24" s="347" t="e">
        <f t="shared" si="4"/>
        <v>#N/A</v>
      </c>
      <c r="K24" s="346" t="e">
        <f t="shared" si="5"/>
        <v>#N/A</v>
      </c>
    </row>
    <row r="25" spans="3:11">
      <c r="C25" s="181"/>
      <c r="D25" s="345">
        <v>0.96</v>
      </c>
      <c r="E25" s="348">
        <v>2000</v>
      </c>
      <c r="F25" s="344" t="e">
        <f t="shared" si="0"/>
        <v>#N/A</v>
      </c>
      <c r="G25" s="360" t="e">
        <f t="shared" si="1"/>
        <v>#N/A</v>
      </c>
      <c r="H25" s="346" t="e">
        <f t="shared" si="2"/>
        <v>#N/A</v>
      </c>
      <c r="I25" s="347" t="e">
        <f t="shared" si="3"/>
        <v>#N/A</v>
      </c>
      <c r="J25" s="347" t="e">
        <f t="shared" si="4"/>
        <v>#N/A</v>
      </c>
      <c r="K25" s="346" t="e">
        <f t="shared" si="5"/>
        <v>#N/A</v>
      </c>
    </row>
  </sheetData>
  <sortState xmlns:xlrd2="http://schemas.microsoft.com/office/spreadsheetml/2017/richdata2" ref="B3:B28">
    <sortCondition ref="B3:B28"/>
  </sortState>
  <pageMargins left="0.7" right="0.7" top="0.75" bottom="0.75" header="0.3" footer="0.3"/>
  <pageSetup paperSize="9" scale="4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82"/>
  <sheetViews>
    <sheetView zoomScale="130" zoomScaleNormal="130" workbookViewId="0">
      <selection activeCell="I5" sqref="I5"/>
    </sheetView>
  </sheetViews>
  <sheetFormatPr defaultRowHeight="12.75"/>
  <cols>
    <col min="1" max="1" width="13.85546875" style="2" customWidth="1"/>
    <col min="2" max="2" width="13.42578125" customWidth="1"/>
    <col min="5" max="5" width="11.28515625" customWidth="1"/>
    <col min="6" max="6" width="12.140625" customWidth="1"/>
    <col min="7" max="7" width="11.85546875" customWidth="1"/>
    <col min="8" max="8" width="9.85546875" customWidth="1"/>
    <col min="9" max="9" width="13.5703125" customWidth="1"/>
    <col min="10" max="10" width="11" customWidth="1"/>
    <col min="11" max="11" width="14.42578125" customWidth="1"/>
    <col min="12" max="12" width="10.7109375" customWidth="1"/>
    <col min="13" max="13" width="11" customWidth="1"/>
    <col min="14" max="14" width="12.28515625" customWidth="1"/>
    <col min="15" max="15" width="10.28515625" customWidth="1"/>
    <col min="16" max="16" width="11" customWidth="1"/>
    <col min="17" max="17" width="10.28515625" customWidth="1"/>
    <col min="18" max="18" width="11.28515625" customWidth="1"/>
  </cols>
  <sheetData>
    <row r="1" spans="1:23" ht="15.75">
      <c r="A1" s="83" t="s">
        <v>486</v>
      </c>
      <c r="J1" s="29" t="s">
        <v>151</v>
      </c>
      <c r="K1" s="89"/>
    </row>
    <row r="3" spans="1:23">
      <c r="A3" s="278" t="s">
        <v>487</v>
      </c>
      <c r="B3" s="174" t="s">
        <v>591</v>
      </c>
      <c r="C3" s="95"/>
      <c r="D3" s="89"/>
      <c r="E3" s="29" t="s">
        <v>148</v>
      </c>
      <c r="F3" s="174" t="s">
        <v>590</v>
      </c>
      <c r="G3" s="89"/>
    </row>
    <row r="4" spans="1:23">
      <c r="A4" s="96" t="s">
        <v>44</v>
      </c>
      <c r="B4" s="97">
        <v>42860</v>
      </c>
      <c r="C4" s="95"/>
      <c r="D4" s="89"/>
      <c r="E4" s="29" t="s">
        <v>149</v>
      </c>
      <c r="F4" s="279">
        <v>96040285</v>
      </c>
      <c r="G4" s="89"/>
    </row>
    <row r="5" spans="1:23">
      <c r="A5" s="167" t="s">
        <v>257</v>
      </c>
      <c r="B5" s="97"/>
      <c r="C5" s="95"/>
      <c r="D5" s="89"/>
      <c r="E5" s="29" t="s">
        <v>150</v>
      </c>
      <c r="F5" s="174" t="s">
        <v>592</v>
      </c>
      <c r="G5" s="89"/>
      <c r="O5" s="172"/>
    </row>
    <row r="6" spans="1:23" ht="13.5" thickBot="1">
      <c r="A6" s="78"/>
      <c r="K6" t="s">
        <v>145</v>
      </c>
      <c r="M6" s="1"/>
      <c r="O6" s="165"/>
      <c r="P6" s="165"/>
      <c r="Q6" s="165"/>
    </row>
    <row r="7" spans="1:23" ht="13.5" thickTop="1">
      <c r="A7" s="65" t="s">
        <v>181</v>
      </c>
      <c r="B7" s="68" t="s">
        <v>16</v>
      </c>
      <c r="C7" s="69" t="s">
        <v>33</v>
      </c>
      <c r="D7" s="70" t="s">
        <v>10</v>
      </c>
      <c r="E7" s="70" t="s">
        <v>11</v>
      </c>
      <c r="F7" s="280" t="s">
        <v>489</v>
      </c>
      <c r="G7" s="71"/>
      <c r="H7" s="281" t="s">
        <v>490</v>
      </c>
      <c r="I7" s="72"/>
      <c r="J7" s="99" t="s">
        <v>143</v>
      </c>
      <c r="K7" t="s">
        <v>146</v>
      </c>
      <c r="L7" s="165" t="s">
        <v>579</v>
      </c>
      <c r="M7" s="165" t="s">
        <v>482</v>
      </c>
      <c r="O7" s="1"/>
    </row>
    <row r="8" spans="1:23">
      <c r="A8" s="66"/>
      <c r="B8" s="68"/>
      <c r="C8" s="69"/>
      <c r="D8" s="87"/>
      <c r="E8" s="87"/>
      <c r="F8" s="80"/>
      <c r="G8" s="74"/>
      <c r="H8" s="79"/>
      <c r="I8" s="76"/>
      <c r="J8" s="100" t="s">
        <v>144</v>
      </c>
      <c r="T8" s="165"/>
      <c r="U8" s="165"/>
      <c r="W8" s="165"/>
    </row>
    <row r="9" spans="1:23">
      <c r="A9" s="67" t="s">
        <v>597</v>
      </c>
      <c r="B9" s="282" t="str">
        <f>A9&amp;J9</f>
        <v>coax zero1600</v>
      </c>
      <c r="C9" s="168" t="s">
        <v>84</v>
      </c>
      <c r="D9" s="87">
        <f>86-100</f>
        <v>-14</v>
      </c>
      <c r="E9" s="87">
        <f>-10</f>
        <v>-10</v>
      </c>
      <c r="F9" s="80">
        <f t="shared" ref="F9:F69" si="0">(alpha-VLOOKUP(Range&amp;frequency,zeros,2,FALSE))*(1+VLOOKUP(Range,corrections,2,FALSE)*0.000001)*VLOOKUP(Range,multiplier,2,FALSE)</f>
        <v>0</v>
      </c>
      <c r="G9" s="74" t="str">
        <f t="shared" ref="G9:G69" si="1">VLOOKUP(Range,multiplier,3,FALSE)</f>
        <v>microH</v>
      </c>
      <c r="H9" s="79">
        <f t="shared" ref="H9:H69" si="2">(beta-VLOOKUP(Range&amp;frequency,zeros,3,FALSE))*(1+VLOOKUP(Range,corrections,3,FALSE)*0.000001)*VLOOKUP(Range,multiplier,5,FALSE)</f>
        <v>0</v>
      </c>
      <c r="I9" s="76" t="str">
        <f t="shared" ref="I9:I40" si="3">VLOOKUP(Range,multiplier,6,FALSE)</f>
        <v>milliohm</v>
      </c>
      <c r="J9" s="98">
        <v>1600</v>
      </c>
      <c r="K9" s="93" t="e">
        <f>1000*H9*VLOOKUP(C9,multiplier,7,FALSE)/(2*PI()*J9*F9*VLOOKUP(C9,multiplier,4,FALSE))</f>
        <v>#DIV/0!</v>
      </c>
      <c r="L9" s="81">
        <v>1591.78</v>
      </c>
      <c r="M9">
        <v>20.04</v>
      </c>
      <c r="S9" s="165"/>
      <c r="T9" s="165"/>
    </row>
    <row r="10" spans="1:23">
      <c r="A10" s="166" t="s">
        <v>598</v>
      </c>
      <c r="B10" s="282" t="str">
        <f t="shared" ref="B10:B38" si="4">A10&amp;J10</f>
        <v>CPSZ1341600</v>
      </c>
      <c r="C10" s="69" t="s">
        <v>84</v>
      </c>
      <c r="D10" s="88">
        <f>118</f>
        <v>118</v>
      </c>
      <c r="E10" s="88">
        <f>102200-10</f>
        <v>102190</v>
      </c>
      <c r="F10" s="80">
        <f t="shared" si="0"/>
        <v>1.3202832280767015E-2</v>
      </c>
      <c r="G10" s="71" t="str">
        <f t="shared" si="1"/>
        <v>microH</v>
      </c>
      <c r="H10" s="79">
        <f t="shared" si="2"/>
        <v>10.22061100103809</v>
      </c>
      <c r="I10" s="77" t="str">
        <f t="shared" si="3"/>
        <v>milliohm</v>
      </c>
      <c r="J10" s="98">
        <v>1600</v>
      </c>
      <c r="K10" s="93">
        <f>1000*H10*VLOOKUP(C10,multiplier,7,FALSE)/(2*PI()*J10*F10*VLOOKUP(C10,multiplier,4,FALSE))</f>
        <v>77003.400086937458</v>
      </c>
      <c r="L10" s="81">
        <v>1591.7</v>
      </c>
      <c r="M10">
        <v>20.04</v>
      </c>
      <c r="O10" s="318"/>
      <c r="P10" s="318"/>
      <c r="Q10" s="319"/>
      <c r="R10" s="320"/>
      <c r="S10" s="321"/>
      <c r="T10" s="321"/>
      <c r="U10" s="318"/>
      <c r="V10" s="318"/>
    </row>
    <row r="11" spans="1:23">
      <c r="A11" s="166" t="s">
        <v>599</v>
      </c>
      <c r="B11" s="282" t="str">
        <f t="shared" si="4"/>
        <v>CPSZ1331600</v>
      </c>
      <c r="C11" s="69" t="s">
        <v>84</v>
      </c>
      <c r="D11" s="88">
        <v>191</v>
      </c>
      <c r="E11" s="88">
        <v>1006712</v>
      </c>
      <c r="F11" s="80">
        <f t="shared" si="0"/>
        <v>2.0504398617857866E-2</v>
      </c>
      <c r="G11" s="71" t="str">
        <f t="shared" si="1"/>
        <v>microH</v>
      </c>
      <c r="H11" s="232">
        <f t="shared" si="2"/>
        <v>100.67821867110634</v>
      </c>
      <c r="I11" s="77" t="str">
        <f t="shared" si="3"/>
        <v>milliohm</v>
      </c>
      <c r="J11" s="98">
        <v>1600</v>
      </c>
      <c r="K11" s="93">
        <f t="shared" ref="K11:K42" si="5">1000*H11*VLOOKUP(C11,multiplier,7,FALSE)/(2*PI()*J11*F11*VLOOKUP(C11,multiplier,4,FALSE))</f>
        <v>488414.59769874869</v>
      </c>
      <c r="L11" s="81">
        <v>1591.53</v>
      </c>
      <c r="M11">
        <v>20.05</v>
      </c>
      <c r="O11" s="318"/>
      <c r="P11" s="318"/>
      <c r="Q11" s="318"/>
      <c r="R11" s="318"/>
      <c r="S11" s="321"/>
      <c r="T11" s="321"/>
      <c r="U11" s="318"/>
      <c r="V11" s="318"/>
    </row>
    <row r="12" spans="1:23">
      <c r="A12" s="166" t="s">
        <v>600</v>
      </c>
      <c r="B12" s="282" t="str">
        <f t="shared" si="4"/>
        <v>JV10A1600</v>
      </c>
      <c r="C12" s="69" t="s">
        <v>84</v>
      </c>
      <c r="D12" s="88">
        <f>91-100</f>
        <v>-9</v>
      </c>
      <c r="E12" s="88">
        <v>911361</v>
      </c>
      <c r="F12" s="80">
        <f t="shared" si="0"/>
        <v>5.001072833623869E-4</v>
      </c>
      <c r="G12" s="71" t="str">
        <f t="shared" si="1"/>
        <v>microH</v>
      </c>
      <c r="H12" s="232">
        <f t="shared" si="2"/>
        <v>91.142548616703365</v>
      </c>
      <c r="I12" s="77" t="str">
        <f t="shared" si="3"/>
        <v>milliohm</v>
      </c>
      <c r="J12" s="98">
        <v>1600</v>
      </c>
      <c r="K12" s="93">
        <f t="shared" si="5"/>
        <v>18128344.183490139</v>
      </c>
      <c r="L12" s="81">
        <v>1591.43</v>
      </c>
      <c r="M12">
        <v>20.07</v>
      </c>
      <c r="O12" s="318"/>
      <c r="P12" s="318"/>
      <c r="Q12" s="319"/>
      <c r="R12" s="320"/>
      <c r="S12" s="321"/>
      <c r="T12" s="321"/>
      <c r="U12" s="318"/>
      <c r="V12" s="318"/>
    </row>
    <row r="13" spans="1:23">
      <c r="A13" s="166" t="s">
        <v>601</v>
      </c>
      <c r="B13" s="282" t="str">
        <f t="shared" si="4"/>
        <v>CPSZ1321600</v>
      </c>
      <c r="C13" s="69" t="s">
        <v>84</v>
      </c>
      <c r="D13" s="88">
        <v>178</v>
      </c>
      <c r="E13" s="88">
        <v>9982371</v>
      </c>
      <c r="F13" s="80">
        <f t="shared" si="0"/>
        <v>1.9204119681115659E-2</v>
      </c>
      <c r="G13" s="71" t="str">
        <f t="shared" si="1"/>
        <v>microH</v>
      </c>
      <c r="H13" s="232">
        <f t="shared" si="2"/>
        <v>998.29777950248149</v>
      </c>
      <c r="I13" s="77" t="str">
        <f t="shared" si="3"/>
        <v>milliohm</v>
      </c>
      <c r="J13" s="98">
        <v>1600</v>
      </c>
      <c r="K13" s="93">
        <f t="shared" si="5"/>
        <v>5170896.5616411883</v>
      </c>
      <c r="L13" s="81">
        <v>1591.35</v>
      </c>
      <c r="M13">
        <v>20.04</v>
      </c>
      <c r="O13" s="318"/>
      <c r="P13" s="318"/>
      <c r="Q13" s="318"/>
      <c r="R13" s="318"/>
      <c r="S13" s="321"/>
      <c r="T13" s="321"/>
      <c r="U13" s="318"/>
      <c r="V13" s="318"/>
    </row>
    <row r="14" spans="1:23">
      <c r="A14" s="166" t="s">
        <v>602</v>
      </c>
      <c r="B14" s="282" t="str">
        <f t="shared" si="4"/>
        <v>JV1A1600</v>
      </c>
      <c r="C14" s="69" t="s">
        <v>84</v>
      </c>
      <c r="D14" s="88">
        <f>69-100</f>
        <v>-31</v>
      </c>
      <c r="E14" s="88">
        <v>9588970</v>
      </c>
      <c r="F14" s="80">
        <f t="shared" si="0"/>
        <v>-1.7003647634321159E-3</v>
      </c>
      <c r="G14" s="71" t="str">
        <f t="shared" si="1"/>
        <v>microH</v>
      </c>
      <c r="H14" s="232">
        <f t="shared" si="2"/>
        <v>958.95532756100022</v>
      </c>
      <c r="I14" s="77" t="str">
        <f t="shared" si="3"/>
        <v>milliohm</v>
      </c>
      <c r="J14" s="98">
        <v>1600</v>
      </c>
      <c r="K14" s="93">
        <f t="shared" si="5"/>
        <v>-56099169.082689449</v>
      </c>
      <c r="L14" s="81">
        <v>1591.07</v>
      </c>
      <c r="M14">
        <v>20.059999999999999</v>
      </c>
      <c r="O14" s="318"/>
      <c r="P14" s="318"/>
      <c r="Q14" s="319"/>
      <c r="R14" s="320"/>
      <c r="S14" s="321"/>
      <c r="T14" s="321"/>
      <c r="U14" s="318"/>
      <c r="V14" s="318"/>
    </row>
    <row r="15" spans="1:23">
      <c r="A15" s="166" t="s">
        <v>597</v>
      </c>
      <c r="B15" s="282" t="str">
        <f t="shared" si="4"/>
        <v>coax zero65</v>
      </c>
      <c r="C15" s="69" t="s">
        <v>84</v>
      </c>
      <c r="D15" s="88">
        <v>40</v>
      </c>
      <c r="E15" s="88">
        <f>85-100</f>
        <v>-15</v>
      </c>
      <c r="F15" s="80">
        <f t="shared" si="0"/>
        <v>0</v>
      </c>
      <c r="G15" s="71" t="str">
        <f t="shared" si="1"/>
        <v>microH</v>
      </c>
      <c r="H15" s="232">
        <f t="shared" si="2"/>
        <v>0</v>
      </c>
      <c r="I15" s="77" t="str">
        <f t="shared" si="3"/>
        <v>milliohm</v>
      </c>
      <c r="J15" s="98" t="s">
        <v>611</v>
      </c>
      <c r="K15" s="93" t="e">
        <f t="shared" si="5"/>
        <v>#DIV/0!</v>
      </c>
      <c r="L15" s="81">
        <v>65.099999999999994</v>
      </c>
      <c r="M15">
        <v>20.010000000000002</v>
      </c>
      <c r="N15" s="92"/>
      <c r="O15" s="318"/>
      <c r="P15" s="318"/>
      <c r="Q15" s="318"/>
      <c r="R15" s="318"/>
      <c r="S15" s="321"/>
      <c r="T15" s="321"/>
      <c r="U15" s="318"/>
      <c r="V15" s="318"/>
    </row>
    <row r="16" spans="1:23">
      <c r="A16" s="166" t="s">
        <v>598</v>
      </c>
      <c r="B16" s="282" t="str">
        <f t="shared" si="4"/>
        <v>CPSZ13465</v>
      </c>
      <c r="C16" s="69" t="s">
        <v>84</v>
      </c>
      <c r="D16" s="88">
        <v>170</v>
      </c>
      <c r="E16" s="88">
        <v>102205</v>
      </c>
      <c r="F16" s="80">
        <f t="shared" si="0"/>
        <v>1.3002789367422062E-2</v>
      </c>
      <c r="G16" s="71" t="str">
        <f t="shared" si="1"/>
        <v>microH</v>
      </c>
      <c r="H16" s="232">
        <f t="shared" si="2"/>
        <v>10.222611120607764</v>
      </c>
      <c r="I16" s="71" t="str">
        <f t="shared" si="3"/>
        <v>milliohm</v>
      </c>
      <c r="J16" s="98" t="s">
        <v>611</v>
      </c>
      <c r="K16" s="93">
        <f t="shared" si="5"/>
        <v>1925006.0005494284</v>
      </c>
      <c r="L16" s="81">
        <v>65.099999999999994</v>
      </c>
      <c r="M16">
        <v>20.03</v>
      </c>
      <c r="N16" s="64"/>
      <c r="O16" s="318"/>
      <c r="P16" s="318"/>
      <c r="Q16" s="319"/>
      <c r="R16" s="320"/>
      <c r="S16" s="321"/>
      <c r="T16" s="321"/>
      <c r="U16" s="318"/>
      <c r="V16" s="318"/>
    </row>
    <row r="17" spans="1:22">
      <c r="A17" s="166" t="s">
        <v>599</v>
      </c>
      <c r="B17" s="282" t="str">
        <f t="shared" si="4"/>
        <v>CPSZ13365</v>
      </c>
      <c r="C17" s="69" t="s">
        <v>84</v>
      </c>
      <c r="D17" s="88">
        <v>270</v>
      </c>
      <c r="E17" s="88">
        <v>1006535</v>
      </c>
      <c r="F17" s="80">
        <f t="shared" si="0"/>
        <v>2.3004935034669799E-2</v>
      </c>
      <c r="G17" s="71" t="str">
        <f t="shared" si="1"/>
        <v>microH</v>
      </c>
      <c r="H17" s="232">
        <f t="shared" si="2"/>
        <v>100.66101764280714</v>
      </c>
      <c r="I17" s="77" t="str">
        <f t="shared" si="3"/>
        <v>milliohm</v>
      </c>
      <c r="J17" s="98" t="s">
        <v>611</v>
      </c>
      <c r="K17" s="93">
        <f t="shared" si="5"/>
        <v>10713887.466967817</v>
      </c>
      <c r="L17" s="81">
        <v>65.099999999999994</v>
      </c>
      <c r="M17">
        <v>20.02</v>
      </c>
      <c r="N17" s="64"/>
      <c r="O17" s="318"/>
      <c r="P17" s="318"/>
      <c r="Q17" s="318"/>
      <c r="R17" s="318"/>
      <c r="S17" s="321"/>
      <c r="T17" s="321"/>
      <c r="U17" s="318"/>
      <c r="V17" s="318"/>
    </row>
    <row r="18" spans="1:22" ht="12.2" customHeight="1">
      <c r="A18" s="166" t="s">
        <v>600</v>
      </c>
      <c r="B18" s="282" t="str">
        <f t="shared" si="4"/>
        <v>JV10A65</v>
      </c>
      <c r="C18" s="69" t="s">
        <v>84</v>
      </c>
      <c r="D18" s="88">
        <v>70</v>
      </c>
      <c r="E18" s="88">
        <v>911385</v>
      </c>
      <c r="F18" s="80">
        <f t="shared" si="0"/>
        <v>3.0006437001743221E-3</v>
      </c>
      <c r="G18" s="71" t="str">
        <f t="shared" si="1"/>
        <v>microH</v>
      </c>
      <c r="H18" s="79">
        <f t="shared" si="2"/>
        <v>91.145448790079399</v>
      </c>
      <c r="I18" s="77" t="str">
        <f t="shared" si="3"/>
        <v>milliohm</v>
      </c>
      <c r="J18" s="98" t="s">
        <v>611</v>
      </c>
      <c r="K18" s="93">
        <f t="shared" si="5"/>
        <v>74375060.639502168</v>
      </c>
      <c r="L18" s="81">
        <v>65.099999999999994</v>
      </c>
      <c r="M18">
        <v>20.010000000000002</v>
      </c>
      <c r="N18" s="64"/>
      <c r="O18" s="318"/>
      <c r="P18" s="318"/>
      <c r="Q18" s="318"/>
      <c r="R18" s="318"/>
      <c r="S18" s="321"/>
      <c r="T18" s="321"/>
      <c r="U18" s="318"/>
      <c r="V18" s="318"/>
    </row>
    <row r="19" spans="1:22">
      <c r="A19" s="166" t="s">
        <v>601</v>
      </c>
      <c r="B19" s="282" t="str">
        <f t="shared" si="4"/>
        <v>CPSZ13265</v>
      </c>
      <c r="C19" s="69" t="s">
        <v>84</v>
      </c>
      <c r="D19" s="88">
        <v>210</v>
      </c>
      <c r="E19" s="175">
        <f>9982005-10</f>
        <v>9981995</v>
      </c>
      <c r="F19" s="80">
        <f t="shared" si="0"/>
        <v>1.7003647634321158E-2</v>
      </c>
      <c r="G19" s="71" t="str">
        <f t="shared" si="1"/>
        <v>microH</v>
      </c>
      <c r="H19" s="79">
        <f t="shared" si="2"/>
        <v>998.26067728446412</v>
      </c>
      <c r="I19" s="77" t="str">
        <f t="shared" si="3"/>
        <v>milliohm</v>
      </c>
      <c r="J19" s="98" t="s">
        <v>611</v>
      </c>
      <c r="K19" s="93">
        <f t="shared" si="5"/>
        <v>143750261.21173319</v>
      </c>
      <c r="L19" s="81">
        <v>65.099999999999994</v>
      </c>
      <c r="M19">
        <v>20.010000000000002</v>
      </c>
      <c r="N19" s="64"/>
      <c r="O19" s="318"/>
      <c r="P19" s="318"/>
      <c r="Q19" s="318"/>
      <c r="R19" s="318"/>
      <c r="S19" s="321"/>
      <c r="T19" s="321"/>
      <c r="U19" s="318"/>
      <c r="V19" s="318"/>
    </row>
    <row r="20" spans="1:22">
      <c r="A20" s="166" t="s">
        <v>602</v>
      </c>
      <c r="B20" s="282" t="str">
        <f t="shared" si="4"/>
        <v>JV1A65</v>
      </c>
      <c r="C20" s="69" t="s">
        <v>84</v>
      </c>
      <c r="D20" s="88">
        <v>40</v>
      </c>
      <c r="E20" s="88">
        <v>9589315</v>
      </c>
      <c r="F20" s="80">
        <f t="shared" si="0"/>
        <v>0</v>
      </c>
      <c r="G20" s="71" t="str">
        <f t="shared" si="1"/>
        <v>microH</v>
      </c>
      <c r="H20" s="79">
        <f t="shared" si="2"/>
        <v>958.99032965346953</v>
      </c>
      <c r="I20" s="71" t="str">
        <f t="shared" si="3"/>
        <v>milliohm</v>
      </c>
      <c r="J20" s="98" t="s">
        <v>611</v>
      </c>
      <c r="K20" s="93" t="e">
        <f t="shared" si="5"/>
        <v>#DIV/0!</v>
      </c>
      <c r="L20" s="81">
        <v>65.099999999999994</v>
      </c>
      <c r="M20" s="81">
        <v>20.010000000000002</v>
      </c>
      <c r="N20" s="64"/>
      <c r="O20" s="318"/>
      <c r="P20" s="318"/>
      <c r="Q20" s="319"/>
      <c r="R20" s="320"/>
      <c r="S20" s="321"/>
      <c r="T20" s="321"/>
      <c r="U20" s="318"/>
      <c r="V20" s="318"/>
    </row>
    <row r="21" spans="1:22">
      <c r="A21" s="166" t="s">
        <v>597</v>
      </c>
      <c r="B21" s="282" t="str">
        <f t="shared" si="4"/>
        <v>coax zero400</v>
      </c>
      <c r="C21" s="168" t="s">
        <v>84</v>
      </c>
      <c r="D21" s="88">
        <f>87-100</f>
        <v>-13</v>
      </c>
      <c r="E21" s="88">
        <v>23</v>
      </c>
      <c r="F21" s="80">
        <f t="shared" si="0"/>
        <v>0</v>
      </c>
      <c r="G21" s="71" t="str">
        <f t="shared" si="1"/>
        <v>microH</v>
      </c>
      <c r="H21" s="79">
        <f t="shared" si="2"/>
        <v>0</v>
      </c>
      <c r="I21" s="77" t="str">
        <f t="shared" si="3"/>
        <v>milliohm</v>
      </c>
      <c r="J21" s="98" t="s">
        <v>612</v>
      </c>
      <c r="K21" s="93" t="e">
        <f t="shared" si="5"/>
        <v>#DIV/0!</v>
      </c>
      <c r="L21" s="81">
        <v>400.15</v>
      </c>
      <c r="M21" s="81">
        <v>20.11</v>
      </c>
      <c r="N21" s="64"/>
      <c r="O21" s="318"/>
      <c r="P21" s="318"/>
      <c r="Q21" s="318"/>
      <c r="R21" s="318"/>
      <c r="S21" s="321"/>
      <c r="T21" s="321"/>
      <c r="U21" s="318"/>
      <c r="V21" s="318"/>
    </row>
    <row r="22" spans="1:22">
      <c r="A22" s="166" t="s">
        <v>598</v>
      </c>
      <c r="B22" s="282" t="str">
        <f t="shared" si="4"/>
        <v>CPSZ134400</v>
      </c>
      <c r="C22" s="168" t="s">
        <v>84</v>
      </c>
      <c r="D22" s="88">
        <v>119</v>
      </c>
      <c r="E22" s="88">
        <v>101760</v>
      </c>
      <c r="F22" s="80">
        <f t="shared" si="0"/>
        <v>1.3202832280767015E-2</v>
      </c>
      <c r="G22" s="71" t="str">
        <f t="shared" si="1"/>
        <v>microH</v>
      </c>
      <c r="H22" s="79">
        <f t="shared" si="2"/>
        <v>10.174308233000119</v>
      </c>
      <c r="I22" s="77" t="str">
        <f t="shared" si="3"/>
        <v>milliohm</v>
      </c>
      <c r="J22" s="98">
        <v>400</v>
      </c>
      <c r="K22" s="93">
        <f t="shared" si="5"/>
        <v>306618.19626789651</v>
      </c>
      <c r="L22" s="81">
        <v>400.13</v>
      </c>
      <c r="M22" s="81">
        <v>20.11</v>
      </c>
      <c r="N22" s="64"/>
      <c r="O22" s="318"/>
      <c r="P22" s="318"/>
      <c r="Q22" s="319"/>
      <c r="R22" s="320"/>
      <c r="S22" s="321"/>
      <c r="T22" s="321"/>
      <c r="U22" s="318"/>
      <c r="V22" s="318"/>
    </row>
    <row r="23" spans="1:22">
      <c r="A23" s="166" t="s">
        <v>599</v>
      </c>
      <c r="B23" s="282" t="str">
        <f t="shared" si="4"/>
        <v>CPSZ133400</v>
      </c>
      <c r="C23" s="168" t="s">
        <v>84</v>
      </c>
      <c r="D23" s="88">
        <v>192</v>
      </c>
      <c r="E23" s="88">
        <f>1006603-10</f>
        <v>1006593</v>
      </c>
      <c r="F23" s="80">
        <f t="shared" si="0"/>
        <v>2.0504398617857866E-2</v>
      </c>
      <c r="G23" s="71" t="str">
        <f t="shared" si="1"/>
        <v>microH</v>
      </c>
      <c r="H23" s="79">
        <f t="shared" si="2"/>
        <v>100.66301776237681</v>
      </c>
      <c r="I23" s="77" t="str">
        <f t="shared" si="3"/>
        <v>milliohm</v>
      </c>
      <c r="J23" s="98" t="s">
        <v>612</v>
      </c>
      <c r="K23" s="93">
        <f t="shared" si="5"/>
        <v>1953363.4175298819</v>
      </c>
      <c r="L23" s="81">
        <v>400.07</v>
      </c>
      <c r="M23" s="81">
        <v>20.079999999999998</v>
      </c>
      <c r="N23" s="64"/>
      <c r="O23" s="318"/>
      <c r="P23" s="318"/>
      <c r="Q23" s="319"/>
      <c r="R23" s="320"/>
      <c r="S23" s="321"/>
      <c r="T23" s="321"/>
      <c r="U23" s="318"/>
      <c r="V23" s="318"/>
    </row>
    <row r="24" spans="1:22">
      <c r="A24" s="166" t="s">
        <v>600</v>
      </c>
      <c r="B24" s="282" t="str">
        <f t="shared" si="4"/>
        <v>JV10A400</v>
      </c>
      <c r="C24" s="168" t="s">
        <v>84</v>
      </c>
      <c r="D24" s="88">
        <f>92-100</f>
        <v>-8</v>
      </c>
      <c r="E24" s="88">
        <v>911363</v>
      </c>
      <c r="F24" s="80">
        <f t="shared" si="0"/>
        <v>5.001072833623869E-4</v>
      </c>
      <c r="G24" s="71" t="str">
        <f t="shared" si="1"/>
        <v>microH</v>
      </c>
      <c r="H24" s="79">
        <f t="shared" si="2"/>
        <v>91.139448431370383</v>
      </c>
      <c r="I24" s="71" t="str">
        <f t="shared" si="3"/>
        <v>milliohm</v>
      </c>
      <c r="J24" s="98" t="s">
        <v>612</v>
      </c>
      <c r="K24" s="93">
        <f t="shared" si="5"/>
        <v>72510910.214092419</v>
      </c>
      <c r="L24" s="81">
        <v>400.13</v>
      </c>
      <c r="M24" s="81">
        <v>20.079999999999998</v>
      </c>
      <c r="N24" s="64"/>
      <c r="O24" s="318"/>
      <c r="P24" s="318"/>
      <c r="Q24" s="319"/>
      <c r="R24" s="320"/>
      <c r="S24" s="321"/>
      <c r="T24" s="321"/>
      <c r="U24" s="318"/>
      <c r="V24" s="318"/>
    </row>
    <row r="25" spans="1:22">
      <c r="A25" s="166" t="s">
        <v>601</v>
      </c>
      <c r="B25" s="282" t="str">
        <f t="shared" si="4"/>
        <v>CPSZ132400</v>
      </c>
      <c r="C25" s="168" t="s">
        <v>84</v>
      </c>
      <c r="D25" s="88">
        <v>173</v>
      </c>
      <c r="E25" s="88">
        <v>9981863</v>
      </c>
      <c r="F25" s="80">
        <f t="shared" si="0"/>
        <v>1.8603990941080797E-2</v>
      </c>
      <c r="G25" s="71" t="str">
        <f t="shared" si="1"/>
        <v>microH</v>
      </c>
      <c r="H25" s="79">
        <f t="shared" si="2"/>
        <v>998.24367626812182</v>
      </c>
      <c r="I25" s="77" t="str">
        <f t="shared" si="3"/>
        <v>milliohm</v>
      </c>
      <c r="J25" s="98" t="s">
        <v>612</v>
      </c>
      <c r="K25" s="93">
        <f t="shared" si="5"/>
        <v>21349641.589197028</v>
      </c>
      <c r="L25" s="81">
        <v>400.12</v>
      </c>
      <c r="M25" s="81">
        <v>20.12</v>
      </c>
      <c r="N25" s="64"/>
      <c r="O25" s="318"/>
      <c r="P25" s="318"/>
      <c r="Q25" s="319"/>
      <c r="R25" s="320"/>
      <c r="S25" s="321"/>
      <c r="T25" s="321"/>
      <c r="U25" s="318"/>
      <c r="V25" s="318"/>
    </row>
    <row r="26" spans="1:22">
      <c r="A26" s="166" t="s">
        <v>602</v>
      </c>
      <c r="B26" s="282" t="str">
        <f t="shared" si="4"/>
        <v>JV1A400</v>
      </c>
      <c r="C26" s="168" t="s">
        <v>84</v>
      </c>
      <c r="D26" s="88">
        <f>62-100</f>
        <v>-38</v>
      </c>
      <c r="E26" s="88">
        <v>9589343</v>
      </c>
      <c r="F26" s="80">
        <f t="shared" si="0"/>
        <v>-2.500536416811935E-3</v>
      </c>
      <c r="G26" s="71" t="str">
        <f t="shared" si="1"/>
        <v>microH</v>
      </c>
      <c r="H26" s="79">
        <f t="shared" si="2"/>
        <v>958.98932959368472</v>
      </c>
      <c r="I26" s="77" t="str">
        <f t="shared" si="3"/>
        <v>milliohm</v>
      </c>
      <c r="J26" s="98" t="s">
        <v>612</v>
      </c>
      <c r="K26" s="93">
        <f t="shared" si="5"/>
        <v>-152595150.33559388</v>
      </c>
      <c r="L26" s="81">
        <v>400.1</v>
      </c>
      <c r="M26" s="81">
        <v>20.11</v>
      </c>
      <c r="N26" s="64"/>
      <c r="O26" s="318"/>
      <c r="P26" s="318"/>
      <c r="Q26" s="319"/>
      <c r="R26" s="320"/>
      <c r="S26" s="321"/>
      <c r="T26" s="321"/>
      <c r="U26" s="318"/>
      <c r="V26" s="318"/>
    </row>
    <row r="27" spans="1:22">
      <c r="A27" s="166" t="s">
        <v>597</v>
      </c>
      <c r="B27" s="282" t="str">
        <f t="shared" si="4"/>
        <v>coax zero1000</v>
      </c>
      <c r="C27" s="168" t="s">
        <v>84</v>
      </c>
      <c r="D27" s="88">
        <f>86-100</f>
        <v>-14</v>
      </c>
      <c r="E27" s="88">
        <v>15</v>
      </c>
      <c r="F27" s="80">
        <f t="shared" si="0"/>
        <v>0</v>
      </c>
      <c r="G27" s="71" t="str">
        <f t="shared" si="1"/>
        <v>microH</v>
      </c>
      <c r="H27" s="79">
        <f t="shared" si="2"/>
        <v>0</v>
      </c>
      <c r="I27" s="77" t="str">
        <f t="shared" si="3"/>
        <v>milliohm</v>
      </c>
      <c r="J27" s="98">
        <v>1000</v>
      </c>
      <c r="K27" s="93" t="e">
        <f t="shared" si="5"/>
        <v>#DIV/0!</v>
      </c>
      <c r="L27" s="81">
        <v>1000.3</v>
      </c>
      <c r="M27" s="81">
        <v>20.12</v>
      </c>
      <c r="N27" s="64"/>
      <c r="O27" s="318"/>
      <c r="P27" s="318"/>
      <c r="Q27" s="318"/>
      <c r="R27" s="318"/>
      <c r="S27" s="321"/>
      <c r="T27" s="321"/>
      <c r="U27" s="318"/>
      <c r="V27" s="318"/>
    </row>
    <row r="28" spans="1:22">
      <c r="A28" s="166" t="s">
        <v>598</v>
      </c>
      <c r="B28" s="282" t="str">
        <f t="shared" si="4"/>
        <v>CPSZ1341000</v>
      </c>
      <c r="C28" s="168" t="s">
        <v>84</v>
      </c>
      <c r="D28" s="88">
        <v>120</v>
      </c>
      <c r="E28" s="88">
        <v>102155</v>
      </c>
      <c r="F28" s="80">
        <f t="shared" si="0"/>
        <v>1.3402875194111971E-2</v>
      </c>
      <c r="G28" s="71" t="str">
        <f t="shared" si="1"/>
        <v>microH</v>
      </c>
      <c r="H28" s="79">
        <f t="shared" si="2"/>
        <v>10.214610642329065</v>
      </c>
      <c r="I28" s="71" t="str">
        <f t="shared" si="3"/>
        <v>milliohm</v>
      </c>
      <c r="J28" s="98">
        <v>1000</v>
      </c>
      <c r="K28" s="93">
        <f t="shared" si="5"/>
        <v>121295.30059340861</v>
      </c>
      <c r="L28" s="81">
        <v>1000.2</v>
      </c>
      <c r="M28" s="81">
        <v>20.14</v>
      </c>
      <c r="N28" s="64"/>
      <c r="O28" s="318"/>
      <c r="P28" s="318"/>
      <c r="Q28" s="318"/>
      <c r="R28" s="318"/>
      <c r="S28" s="321"/>
      <c r="T28" s="321"/>
      <c r="U28" s="318"/>
      <c r="V28" s="318"/>
    </row>
    <row r="29" spans="1:22">
      <c r="A29" s="166" t="s">
        <v>599</v>
      </c>
      <c r="B29" s="282" t="str">
        <f t="shared" si="4"/>
        <v>CPSZ1331000</v>
      </c>
      <c r="C29" s="168" t="s">
        <v>84</v>
      </c>
      <c r="D29" s="88">
        <f>202-10</f>
        <v>192</v>
      </c>
      <c r="E29" s="88">
        <v>1006575</v>
      </c>
      <c r="F29" s="80">
        <f t="shared" si="0"/>
        <v>2.0604420074530345E-2</v>
      </c>
      <c r="G29" s="71" t="str">
        <f t="shared" si="1"/>
        <v>microH</v>
      </c>
      <c r="H29" s="79">
        <f t="shared" si="2"/>
        <v>100.66201770259197</v>
      </c>
      <c r="I29" s="77" t="str">
        <f t="shared" si="3"/>
        <v>milliohm</v>
      </c>
      <c r="J29" s="98">
        <v>1000</v>
      </c>
      <c r="K29" s="93">
        <f t="shared" si="5"/>
        <v>777544.70356460952</v>
      </c>
      <c r="L29" s="81">
        <v>1000.2</v>
      </c>
      <c r="M29" s="81">
        <v>20.12</v>
      </c>
      <c r="N29" s="64"/>
      <c r="O29" s="318"/>
      <c r="P29" s="318"/>
      <c r="Q29" s="318"/>
      <c r="R29" s="318"/>
      <c r="S29" s="321"/>
      <c r="T29" s="321"/>
      <c r="U29" s="318"/>
      <c r="V29" s="318"/>
    </row>
    <row r="30" spans="1:22">
      <c r="A30" s="166" t="s">
        <v>600</v>
      </c>
      <c r="B30" s="282" t="str">
        <f t="shared" si="4"/>
        <v>JV10A1000</v>
      </c>
      <c r="C30" s="168" t="s">
        <v>84</v>
      </c>
      <c r="D30" s="88">
        <f>88-100</f>
        <v>-12</v>
      </c>
      <c r="E30" s="88">
        <v>911375</v>
      </c>
      <c r="F30" s="73">
        <f t="shared" si="0"/>
        <v>2.0004291334495481E-4</v>
      </c>
      <c r="G30" s="71" t="str">
        <f t="shared" si="1"/>
        <v>microH</v>
      </c>
      <c r="H30" s="79">
        <f t="shared" si="2"/>
        <v>91.141448550940055</v>
      </c>
      <c r="I30" s="77" t="str">
        <f t="shared" si="3"/>
        <v>milliohm</v>
      </c>
      <c r="J30" s="98">
        <v>1000</v>
      </c>
      <c r="K30" s="93">
        <f t="shared" si="5"/>
        <v>72512501.517233148</v>
      </c>
      <c r="L30" s="81">
        <v>1000.2</v>
      </c>
      <c r="M30" s="81">
        <v>20.14</v>
      </c>
      <c r="N30" s="64"/>
      <c r="O30" s="318"/>
      <c r="P30" s="318"/>
      <c r="Q30" s="318"/>
      <c r="R30" s="318"/>
      <c r="S30" s="321"/>
      <c r="T30" s="321"/>
      <c r="U30" s="318"/>
      <c r="V30" s="318"/>
    </row>
    <row r="31" spans="1:22">
      <c r="A31" s="166" t="s">
        <v>601</v>
      </c>
      <c r="B31" s="282" t="str">
        <f t="shared" si="4"/>
        <v>CPSZ1321000</v>
      </c>
      <c r="C31" s="168" t="s">
        <v>84</v>
      </c>
      <c r="D31" s="88">
        <v>179</v>
      </c>
      <c r="E31" s="88">
        <v>9981815</v>
      </c>
      <c r="F31" s="73">
        <f t="shared" si="0"/>
        <v>1.9304141137788135E-2</v>
      </c>
      <c r="G31" s="71" t="str">
        <f t="shared" si="1"/>
        <v>microH</v>
      </c>
      <c r="H31" s="79">
        <f t="shared" si="2"/>
        <v>998.23967602898244</v>
      </c>
      <c r="I31" s="77" t="str">
        <f t="shared" si="3"/>
        <v>milliohm</v>
      </c>
      <c r="J31" s="98">
        <v>1000</v>
      </c>
      <c r="K31" s="93">
        <f t="shared" si="5"/>
        <v>8230087.922402571</v>
      </c>
      <c r="L31" s="81">
        <v>1000.5</v>
      </c>
      <c r="M31" s="81">
        <v>20.09</v>
      </c>
      <c r="N31" s="64"/>
      <c r="O31" s="318"/>
      <c r="P31" s="318"/>
      <c r="Q31" s="318"/>
      <c r="R31" s="318"/>
      <c r="S31" s="321"/>
      <c r="T31" s="321"/>
      <c r="U31" s="318"/>
      <c r="V31" s="318"/>
    </row>
    <row r="32" spans="1:22">
      <c r="A32" s="166" t="s">
        <v>602</v>
      </c>
      <c r="B32" s="282" t="str">
        <f t="shared" si="4"/>
        <v>JV1A1000</v>
      </c>
      <c r="C32" s="168" t="s">
        <v>84</v>
      </c>
      <c r="D32" s="88">
        <f>68-100</f>
        <v>-32</v>
      </c>
      <c r="E32" s="88">
        <v>9589070</v>
      </c>
      <c r="F32" s="73">
        <f t="shared" si="0"/>
        <v>-1.8003862201045931E-3</v>
      </c>
      <c r="G32" s="71" t="str">
        <f t="shared" si="1"/>
        <v>microH</v>
      </c>
      <c r="H32" s="79">
        <f t="shared" si="2"/>
        <v>958.96282800938661</v>
      </c>
      <c r="I32" s="77" t="str">
        <f t="shared" si="3"/>
        <v>milliohm</v>
      </c>
      <c r="J32" s="98">
        <v>1000</v>
      </c>
      <c r="K32" s="93">
        <f t="shared" si="5"/>
        <v>-84772740.767928302</v>
      </c>
      <c r="L32" s="81">
        <v>1000.4</v>
      </c>
      <c r="M32" s="81">
        <v>20.079999999999998</v>
      </c>
      <c r="N32" s="64"/>
    </row>
    <row r="33" spans="1:15">
      <c r="A33" s="166" t="s">
        <v>602</v>
      </c>
      <c r="B33" s="282" t="str">
        <f t="shared" si="4"/>
        <v>JV1A2000</v>
      </c>
      <c r="C33" s="168" t="s">
        <v>84</v>
      </c>
      <c r="D33" s="88">
        <f>69-100</f>
        <v>-31</v>
      </c>
      <c r="E33" s="88">
        <v>9588933</v>
      </c>
      <c r="F33" s="73">
        <f t="shared" si="0"/>
        <v>-1.7003647634321159E-3</v>
      </c>
      <c r="G33" s="71" t="str">
        <f t="shared" si="1"/>
        <v>microH</v>
      </c>
      <c r="H33" s="79">
        <f t="shared" si="2"/>
        <v>958.95062728001142</v>
      </c>
      <c r="I33" s="77" t="str">
        <f t="shared" si="3"/>
        <v>milliohm</v>
      </c>
      <c r="J33" s="98">
        <v>2000</v>
      </c>
      <c r="K33" s="93">
        <f t="shared" si="5"/>
        <v>-44879115.29189387</v>
      </c>
      <c r="L33">
        <v>2000.2</v>
      </c>
      <c r="M33">
        <v>20.09</v>
      </c>
    </row>
    <row r="34" spans="1:15">
      <c r="A34" s="166" t="s">
        <v>601</v>
      </c>
      <c r="B34" s="282" t="str">
        <f t="shared" si="4"/>
        <v>CPSZ1322000</v>
      </c>
      <c r="C34" s="168" t="s">
        <v>84</v>
      </c>
      <c r="D34" s="88">
        <v>178</v>
      </c>
      <c r="E34" s="88">
        <v>9981923</v>
      </c>
      <c r="F34" s="73">
        <f t="shared" si="0"/>
        <v>1.9204119681115659E-2</v>
      </c>
      <c r="G34" s="71" t="str">
        <f t="shared" si="1"/>
        <v>microH</v>
      </c>
      <c r="H34" s="79">
        <f t="shared" si="2"/>
        <v>998.25197676433595</v>
      </c>
      <c r="I34" s="77" t="str">
        <f t="shared" si="3"/>
        <v>milliohm</v>
      </c>
      <c r="J34" s="98">
        <v>2000</v>
      </c>
      <c r="K34" s="93">
        <f t="shared" si="5"/>
        <v>4136527.4532612697</v>
      </c>
      <c r="L34">
        <v>2000.2</v>
      </c>
      <c r="M34">
        <v>20.11</v>
      </c>
    </row>
    <row r="35" spans="1:15">
      <c r="A35" s="166" t="s">
        <v>597</v>
      </c>
      <c r="B35" s="282" t="str">
        <f t="shared" si="4"/>
        <v>coax zero2000</v>
      </c>
      <c r="C35" s="168" t="s">
        <v>84</v>
      </c>
      <c r="D35" s="88">
        <f>86-100</f>
        <v>-14</v>
      </c>
      <c r="E35" s="88">
        <v>0</v>
      </c>
      <c r="F35" s="73">
        <f t="shared" si="0"/>
        <v>0</v>
      </c>
      <c r="G35" s="71" t="str">
        <f t="shared" si="1"/>
        <v>microH</v>
      </c>
      <c r="H35" s="79">
        <f t="shared" si="2"/>
        <v>0</v>
      </c>
      <c r="I35" s="77" t="str">
        <f t="shared" si="3"/>
        <v>milliohm</v>
      </c>
      <c r="J35" s="98">
        <v>2000</v>
      </c>
      <c r="K35" s="93" t="e">
        <f t="shared" si="5"/>
        <v>#DIV/0!</v>
      </c>
      <c r="L35" s="81">
        <v>2000.1</v>
      </c>
      <c r="M35" s="81">
        <v>20.100000000000001</v>
      </c>
      <c r="N35" s="64"/>
    </row>
    <row r="36" spans="1:15">
      <c r="A36" s="166" t="s">
        <v>691</v>
      </c>
      <c r="B36" s="282" t="str">
        <f t="shared" si="4"/>
        <v>coax zero rpt400.001</v>
      </c>
      <c r="C36" s="168" t="s">
        <v>84</v>
      </c>
      <c r="D36" s="88">
        <f>87-100</f>
        <v>-13</v>
      </c>
      <c r="E36" s="88">
        <v>0</v>
      </c>
      <c r="F36" s="73">
        <f t="shared" si="0"/>
        <v>0</v>
      </c>
      <c r="G36" s="71" t="str">
        <f t="shared" si="1"/>
        <v>microH</v>
      </c>
      <c r="H36" s="79">
        <f t="shared" si="2"/>
        <v>0</v>
      </c>
      <c r="I36" s="77" t="str">
        <f t="shared" si="3"/>
        <v>milliohm</v>
      </c>
      <c r="J36" s="98">
        <v>400.00099999999998</v>
      </c>
      <c r="K36" s="93" t="e">
        <f t="shared" si="5"/>
        <v>#DIV/0!</v>
      </c>
      <c r="L36" s="81"/>
      <c r="M36" s="81"/>
      <c r="N36" s="92"/>
    </row>
    <row r="37" spans="1:15">
      <c r="A37" s="166" t="s">
        <v>692</v>
      </c>
      <c r="B37" s="68" t="str">
        <f t="shared" si="4"/>
        <v>CPSZ134 rpt1400.001</v>
      </c>
      <c r="C37" s="168" t="s">
        <v>84</v>
      </c>
      <c r="D37" s="88">
        <v>120</v>
      </c>
      <c r="E37" s="88">
        <v>102230</v>
      </c>
      <c r="F37" s="73">
        <f t="shared" si="0"/>
        <v>1.3302853737439495E-2</v>
      </c>
      <c r="G37" s="71" t="str">
        <f t="shared" si="1"/>
        <v>microH</v>
      </c>
      <c r="H37" s="79">
        <f t="shared" si="2"/>
        <v>10.223611180392602</v>
      </c>
      <c r="I37" s="77" t="str">
        <f t="shared" si="3"/>
        <v>milliohm</v>
      </c>
      <c r="J37" s="98">
        <v>400.00099999999998</v>
      </c>
      <c r="K37" s="93">
        <f t="shared" si="5"/>
        <v>305786.67928862903</v>
      </c>
      <c r="L37" s="81"/>
      <c r="M37" s="81"/>
      <c r="N37" s="92"/>
    </row>
    <row r="38" spans="1:15">
      <c r="A38" s="166" t="s">
        <v>693</v>
      </c>
      <c r="B38" s="68" t="str">
        <f t="shared" si="4"/>
        <v>CPSZ134 rpt2400.001</v>
      </c>
      <c r="C38" s="168" t="s">
        <v>84</v>
      </c>
      <c r="D38" s="88">
        <v>120</v>
      </c>
      <c r="E38" s="88">
        <v>102130</v>
      </c>
      <c r="F38" s="73">
        <f t="shared" si="0"/>
        <v>1.3302853737439495E-2</v>
      </c>
      <c r="G38" s="71" t="str">
        <f t="shared" si="1"/>
        <v>microH</v>
      </c>
      <c r="H38" s="79">
        <f t="shared" si="2"/>
        <v>10.213610582544229</v>
      </c>
      <c r="I38" s="77" t="str">
        <f t="shared" si="3"/>
        <v>milliohm</v>
      </c>
      <c r="J38" s="98">
        <v>400.00099999999998</v>
      </c>
      <c r="K38" s="93">
        <f t="shared" si="5"/>
        <v>305487.56290470198</v>
      </c>
      <c r="L38" s="245" t="s">
        <v>482</v>
      </c>
      <c r="M38" s="81">
        <f>AVERAGE(M9:M31)</f>
        <v>20.069999999999997</v>
      </c>
      <c r="N38" s="81">
        <f>STDEV(M9:M31)</f>
        <v>4.492417854765738E-2</v>
      </c>
    </row>
    <row r="39" spans="1:15">
      <c r="A39" s="166"/>
      <c r="B39" s="68"/>
      <c r="C39" s="168"/>
      <c r="D39" s="88"/>
      <c r="E39" s="88"/>
      <c r="F39" s="73" t="e">
        <f t="shared" si="0"/>
        <v>#N/A</v>
      </c>
      <c r="G39" s="71" t="e">
        <f t="shared" si="1"/>
        <v>#N/A</v>
      </c>
      <c r="H39" s="79" t="e">
        <f t="shared" si="2"/>
        <v>#N/A</v>
      </c>
      <c r="I39" s="77" t="e">
        <f t="shared" si="3"/>
        <v>#N/A</v>
      </c>
      <c r="J39" s="98"/>
      <c r="K39" s="93" t="e">
        <f t="shared" si="5"/>
        <v>#N/A</v>
      </c>
      <c r="L39" s="245" t="s">
        <v>588</v>
      </c>
      <c r="M39" s="81">
        <f>RoomLogger!F1</f>
        <v>41.090540540540523</v>
      </c>
      <c r="N39" s="64">
        <f>RoomLogger!G1</f>
        <v>0.28849172861189154</v>
      </c>
    </row>
    <row r="40" spans="1:15">
      <c r="A40" s="166"/>
      <c r="B40" s="68"/>
      <c r="C40" s="168"/>
      <c r="D40" s="88"/>
      <c r="E40" s="88"/>
      <c r="F40" s="73" t="e">
        <f t="shared" si="0"/>
        <v>#N/A</v>
      </c>
      <c r="G40" s="71" t="e">
        <f t="shared" si="1"/>
        <v>#N/A</v>
      </c>
      <c r="H40" s="79" t="e">
        <f t="shared" si="2"/>
        <v>#N/A</v>
      </c>
      <c r="I40" s="77" t="e">
        <f t="shared" si="3"/>
        <v>#N/A</v>
      </c>
      <c r="J40" s="98"/>
      <c r="K40" s="93" t="e">
        <f t="shared" si="5"/>
        <v>#N/A</v>
      </c>
      <c r="L40" s="81"/>
      <c r="M40" s="81"/>
      <c r="N40" s="92"/>
    </row>
    <row r="41" spans="1:15">
      <c r="A41" s="166"/>
      <c r="B41" s="68"/>
      <c r="C41" s="168"/>
      <c r="D41" s="88"/>
      <c r="E41" s="88"/>
      <c r="F41" s="73" t="e">
        <f t="shared" si="0"/>
        <v>#N/A</v>
      </c>
      <c r="G41" s="71" t="e">
        <f t="shared" si="1"/>
        <v>#N/A</v>
      </c>
      <c r="H41" s="79" t="e">
        <f t="shared" si="2"/>
        <v>#N/A</v>
      </c>
      <c r="I41" s="77" t="e">
        <f t="shared" ref="I41:I69" si="6">VLOOKUP(Range,multiplier,6,FALSE)</f>
        <v>#N/A</v>
      </c>
      <c r="J41" s="98"/>
      <c r="K41" s="93" t="e">
        <f t="shared" si="5"/>
        <v>#N/A</v>
      </c>
      <c r="L41" s="354" t="s">
        <v>694</v>
      </c>
      <c r="M41" s="355">
        <f>H22</f>
        <v>10.174308233000119</v>
      </c>
      <c r="N41" s="92"/>
    </row>
    <row r="42" spans="1:15">
      <c r="A42" s="166"/>
      <c r="B42" s="68"/>
      <c r="C42" s="168"/>
      <c r="D42" s="88"/>
      <c r="E42" s="88"/>
      <c r="F42" s="73" t="e">
        <f t="shared" si="0"/>
        <v>#N/A</v>
      </c>
      <c r="G42" s="71" t="e">
        <f t="shared" si="1"/>
        <v>#N/A</v>
      </c>
      <c r="H42" s="79" t="e">
        <f t="shared" si="2"/>
        <v>#N/A</v>
      </c>
      <c r="I42" s="77" t="e">
        <f t="shared" si="6"/>
        <v>#N/A</v>
      </c>
      <c r="J42" s="98"/>
      <c r="K42" s="93" t="e">
        <f t="shared" si="5"/>
        <v>#N/A</v>
      </c>
      <c r="L42" s="353"/>
      <c r="M42" s="355">
        <f>H37</f>
        <v>10.223611180392602</v>
      </c>
    </row>
    <row r="43" spans="1:15">
      <c r="A43" s="166"/>
      <c r="B43" s="68"/>
      <c r="C43" s="168"/>
      <c r="D43" s="88"/>
      <c r="E43" s="88"/>
      <c r="F43" s="73" t="e">
        <f t="shared" si="0"/>
        <v>#N/A</v>
      </c>
      <c r="G43" s="71" t="e">
        <f t="shared" si="1"/>
        <v>#N/A</v>
      </c>
      <c r="H43" s="79" t="e">
        <f t="shared" si="2"/>
        <v>#N/A</v>
      </c>
      <c r="I43" s="77" t="e">
        <f t="shared" si="6"/>
        <v>#N/A</v>
      </c>
      <c r="J43" s="98"/>
      <c r="K43" s="93" t="e">
        <f>1000*H43*VLOOKUP(C43,multiplier,7,FALSE)/(2*PI()*J43*F43*VLOOKUP(C43,multiplier,4,FALSE))</f>
        <v>#N/A</v>
      </c>
      <c r="L43" s="353"/>
      <c r="M43" s="355">
        <f>H38</f>
        <v>10.213610582544229</v>
      </c>
    </row>
    <row r="44" spans="1:15">
      <c r="A44" s="166"/>
      <c r="B44" s="68"/>
      <c r="C44" s="168"/>
      <c r="D44" s="88"/>
      <c r="E44" s="88"/>
      <c r="F44" s="73" t="e">
        <f t="shared" si="0"/>
        <v>#N/A</v>
      </c>
      <c r="G44" s="71" t="e">
        <f t="shared" si="1"/>
        <v>#N/A</v>
      </c>
      <c r="H44" s="79" t="e">
        <f t="shared" si="2"/>
        <v>#N/A</v>
      </c>
      <c r="I44" s="71" t="e">
        <f t="shared" si="6"/>
        <v>#N/A</v>
      </c>
      <c r="J44" s="98"/>
      <c r="K44" s="93" t="e">
        <f t="shared" ref="K44:K58" si="7">1000*H44*VLOOKUP(C44,multiplier,7,FALSE)/(2*PI()*J44*F44*VLOOKUP(C44,multiplier,4,FALSE))</f>
        <v>#N/A</v>
      </c>
      <c r="L44" s="353" t="s">
        <v>665</v>
      </c>
      <c r="M44" s="355">
        <f>STDEV(M41:M43)</f>
        <v>2.6062320370598597E-2</v>
      </c>
    </row>
    <row r="45" spans="1:15">
      <c r="A45" s="166"/>
      <c r="B45" s="68"/>
      <c r="C45" s="168"/>
      <c r="D45" s="88"/>
      <c r="E45" s="88"/>
      <c r="F45" s="73" t="e">
        <f t="shared" si="0"/>
        <v>#N/A</v>
      </c>
      <c r="G45" s="71" t="e">
        <f t="shared" si="1"/>
        <v>#N/A</v>
      </c>
      <c r="H45" s="79" t="e">
        <f t="shared" si="2"/>
        <v>#N/A</v>
      </c>
      <c r="I45" s="77" t="e">
        <f t="shared" si="6"/>
        <v>#N/A</v>
      </c>
      <c r="J45" s="98"/>
      <c r="K45" s="93" t="e">
        <f t="shared" si="7"/>
        <v>#N/A</v>
      </c>
      <c r="L45" s="81"/>
      <c r="M45" s="81"/>
    </row>
    <row r="46" spans="1:15">
      <c r="A46" s="166"/>
      <c r="B46" s="68"/>
      <c r="C46" s="168"/>
      <c r="D46" s="88"/>
      <c r="E46" s="88"/>
      <c r="F46" s="73" t="e">
        <f t="shared" si="0"/>
        <v>#N/A</v>
      </c>
      <c r="G46" s="71" t="e">
        <f t="shared" si="1"/>
        <v>#N/A</v>
      </c>
      <c r="H46" s="79" t="e">
        <f t="shared" si="2"/>
        <v>#N/A</v>
      </c>
      <c r="I46" s="77" t="e">
        <f t="shared" si="6"/>
        <v>#N/A</v>
      </c>
      <c r="J46" s="98"/>
      <c r="K46" s="93" t="e">
        <f t="shared" si="7"/>
        <v>#N/A</v>
      </c>
      <c r="L46" s="81"/>
      <c r="M46" s="81"/>
      <c r="N46" s="165"/>
    </row>
    <row r="47" spans="1:15">
      <c r="A47" s="166"/>
      <c r="B47" s="68"/>
      <c r="C47" s="168"/>
      <c r="D47" s="88"/>
      <c r="E47" s="88"/>
      <c r="F47" s="73" t="e">
        <f t="shared" si="0"/>
        <v>#N/A</v>
      </c>
      <c r="G47" s="71" t="e">
        <f t="shared" si="1"/>
        <v>#N/A</v>
      </c>
      <c r="H47" s="79" t="e">
        <f t="shared" si="2"/>
        <v>#N/A</v>
      </c>
      <c r="I47" s="77" t="e">
        <f t="shared" si="6"/>
        <v>#N/A</v>
      </c>
      <c r="J47" s="98"/>
      <c r="K47" s="93" t="e">
        <f t="shared" si="7"/>
        <v>#N/A</v>
      </c>
      <c r="L47" s="81"/>
      <c r="M47" s="81"/>
      <c r="N47" s="155"/>
      <c r="O47" s="165"/>
    </row>
    <row r="48" spans="1:15">
      <c r="A48" s="166"/>
      <c r="B48" s="68"/>
      <c r="C48" s="168"/>
      <c r="D48" s="88"/>
      <c r="E48" s="88"/>
      <c r="F48" s="73" t="e">
        <f t="shared" si="0"/>
        <v>#N/A</v>
      </c>
      <c r="G48" s="71" t="e">
        <f t="shared" si="1"/>
        <v>#N/A</v>
      </c>
      <c r="H48" s="79" t="e">
        <f t="shared" si="2"/>
        <v>#N/A</v>
      </c>
      <c r="I48" s="71" t="e">
        <f t="shared" si="6"/>
        <v>#N/A</v>
      </c>
      <c r="J48" s="98"/>
      <c r="K48" s="93" t="e">
        <f t="shared" si="7"/>
        <v>#N/A</v>
      </c>
      <c r="L48" s="81"/>
      <c r="M48" s="81"/>
      <c r="N48" s="165"/>
    </row>
    <row r="49" spans="1:15">
      <c r="A49" s="166"/>
      <c r="B49" s="68"/>
      <c r="C49" s="168"/>
      <c r="D49" s="88"/>
      <c r="E49" s="88"/>
      <c r="F49" s="73" t="e">
        <f t="shared" si="0"/>
        <v>#N/A</v>
      </c>
      <c r="G49" s="71" t="e">
        <f t="shared" si="1"/>
        <v>#N/A</v>
      </c>
      <c r="H49" s="75" t="e">
        <f t="shared" si="2"/>
        <v>#N/A</v>
      </c>
      <c r="I49" s="77" t="e">
        <f t="shared" si="6"/>
        <v>#N/A</v>
      </c>
      <c r="J49" s="98"/>
      <c r="K49" s="93" t="e">
        <f t="shared" si="7"/>
        <v>#N/A</v>
      </c>
      <c r="L49" s="81"/>
      <c r="M49" s="81"/>
      <c r="N49" s="156"/>
      <c r="O49" s="165"/>
    </row>
    <row r="50" spans="1:15">
      <c r="A50" s="166"/>
      <c r="B50" s="68"/>
      <c r="C50" s="168"/>
      <c r="D50" s="88"/>
      <c r="E50" s="88"/>
      <c r="F50" s="73" t="e">
        <f t="shared" si="0"/>
        <v>#N/A</v>
      </c>
      <c r="G50" s="71" t="e">
        <f t="shared" si="1"/>
        <v>#N/A</v>
      </c>
      <c r="H50" s="75" t="e">
        <f t="shared" si="2"/>
        <v>#N/A</v>
      </c>
      <c r="I50" s="77" t="e">
        <f t="shared" si="6"/>
        <v>#N/A</v>
      </c>
      <c r="J50" s="98"/>
      <c r="K50" s="93" t="e">
        <f t="shared" si="7"/>
        <v>#N/A</v>
      </c>
      <c r="L50" s="81"/>
      <c r="M50" s="81"/>
      <c r="N50" s="156"/>
      <c r="O50" s="165"/>
    </row>
    <row r="51" spans="1:15">
      <c r="A51" s="166"/>
      <c r="B51" s="68"/>
      <c r="C51" s="168"/>
      <c r="D51" s="88"/>
      <c r="E51" s="88"/>
      <c r="F51" s="73" t="e">
        <f t="shared" si="0"/>
        <v>#N/A</v>
      </c>
      <c r="G51" s="71" t="e">
        <f t="shared" si="1"/>
        <v>#N/A</v>
      </c>
      <c r="H51" s="75" t="e">
        <f t="shared" si="2"/>
        <v>#N/A</v>
      </c>
      <c r="I51" s="77" t="e">
        <f t="shared" si="6"/>
        <v>#N/A</v>
      </c>
      <c r="J51" s="98"/>
      <c r="K51" s="93" t="e">
        <f t="shared" si="7"/>
        <v>#N/A</v>
      </c>
      <c r="L51" s="81"/>
      <c r="M51" s="81"/>
    </row>
    <row r="52" spans="1:15">
      <c r="A52" s="166"/>
      <c r="B52" s="68"/>
      <c r="C52" s="168"/>
      <c r="D52" s="88"/>
      <c r="E52" s="88"/>
      <c r="F52" s="73" t="e">
        <f t="shared" si="0"/>
        <v>#N/A</v>
      </c>
      <c r="G52" s="71" t="e">
        <f t="shared" si="1"/>
        <v>#N/A</v>
      </c>
      <c r="H52" s="75" t="e">
        <f t="shared" si="2"/>
        <v>#N/A</v>
      </c>
      <c r="I52" s="77" t="e">
        <f t="shared" si="6"/>
        <v>#N/A</v>
      </c>
      <c r="J52" s="98"/>
      <c r="K52" s="93" t="e">
        <f t="shared" si="7"/>
        <v>#N/A</v>
      </c>
      <c r="L52" s="81"/>
      <c r="M52" s="81"/>
    </row>
    <row r="53" spans="1:15">
      <c r="A53" s="166"/>
      <c r="B53" s="68"/>
      <c r="C53" s="168"/>
      <c r="D53" s="88"/>
      <c r="E53" s="88"/>
      <c r="F53" s="73" t="e">
        <f t="shared" si="0"/>
        <v>#N/A</v>
      </c>
      <c r="G53" s="71" t="e">
        <f t="shared" si="1"/>
        <v>#N/A</v>
      </c>
      <c r="H53" s="75" t="e">
        <f t="shared" si="2"/>
        <v>#N/A</v>
      </c>
      <c r="I53" s="77" t="e">
        <f t="shared" si="6"/>
        <v>#N/A</v>
      </c>
      <c r="J53" s="98"/>
      <c r="K53" s="93" t="e">
        <f t="shared" si="7"/>
        <v>#N/A</v>
      </c>
      <c r="L53" s="81"/>
      <c r="M53" s="81"/>
    </row>
    <row r="54" spans="1:15">
      <c r="A54" s="67"/>
      <c r="B54" s="68"/>
      <c r="C54" s="69"/>
      <c r="D54" s="88"/>
      <c r="E54" s="88"/>
      <c r="F54" s="73" t="e">
        <f t="shared" si="0"/>
        <v>#N/A</v>
      </c>
      <c r="G54" s="71" t="e">
        <f t="shared" si="1"/>
        <v>#N/A</v>
      </c>
      <c r="H54" s="75" t="e">
        <f t="shared" si="2"/>
        <v>#N/A</v>
      </c>
      <c r="I54" s="77" t="e">
        <f t="shared" si="6"/>
        <v>#N/A</v>
      </c>
      <c r="J54" s="98"/>
      <c r="K54" s="93" t="e">
        <f t="shared" si="7"/>
        <v>#N/A</v>
      </c>
      <c r="L54" s="81"/>
      <c r="M54" s="81"/>
    </row>
    <row r="55" spans="1:15">
      <c r="A55" s="166"/>
      <c r="B55" s="68"/>
      <c r="C55" s="168"/>
      <c r="D55" s="88"/>
      <c r="E55" s="88"/>
      <c r="F55" s="73" t="e">
        <f t="shared" si="0"/>
        <v>#N/A</v>
      </c>
      <c r="G55" s="71" t="e">
        <f t="shared" si="1"/>
        <v>#N/A</v>
      </c>
      <c r="H55" s="75" t="e">
        <f t="shared" si="2"/>
        <v>#N/A</v>
      </c>
      <c r="I55" s="77" t="e">
        <f t="shared" si="6"/>
        <v>#N/A</v>
      </c>
      <c r="J55" s="229"/>
      <c r="K55" s="93" t="e">
        <f t="shared" si="7"/>
        <v>#N/A</v>
      </c>
      <c r="L55" s="81"/>
      <c r="M55" s="81"/>
    </row>
    <row r="56" spans="1:15">
      <c r="A56" s="166"/>
      <c r="B56" s="68"/>
      <c r="C56" s="168"/>
      <c r="D56" s="88"/>
      <c r="E56" s="88"/>
      <c r="F56" s="73" t="e">
        <f t="shared" si="0"/>
        <v>#N/A</v>
      </c>
      <c r="G56" s="71" t="e">
        <f t="shared" si="1"/>
        <v>#N/A</v>
      </c>
      <c r="H56" s="75" t="e">
        <f t="shared" si="2"/>
        <v>#N/A</v>
      </c>
      <c r="I56" s="77" t="e">
        <f t="shared" si="6"/>
        <v>#N/A</v>
      </c>
      <c r="J56" s="231"/>
      <c r="K56" s="93" t="e">
        <f t="shared" si="7"/>
        <v>#N/A</v>
      </c>
      <c r="L56" s="81"/>
      <c r="M56" s="81"/>
    </row>
    <row r="57" spans="1:15">
      <c r="A57" s="166"/>
      <c r="B57" s="68"/>
      <c r="C57" s="168"/>
      <c r="D57" s="88"/>
      <c r="E57" s="88"/>
      <c r="F57" s="73" t="e">
        <f t="shared" si="0"/>
        <v>#N/A</v>
      </c>
      <c r="G57" s="71" t="e">
        <f t="shared" si="1"/>
        <v>#N/A</v>
      </c>
      <c r="H57" s="75" t="e">
        <f t="shared" si="2"/>
        <v>#N/A</v>
      </c>
      <c r="I57" s="77" t="e">
        <f t="shared" si="6"/>
        <v>#N/A</v>
      </c>
      <c r="J57" s="231"/>
      <c r="K57" s="93" t="e">
        <f t="shared" si="7"/>
        <v>#N/A</v>
      </c>
      <c r="L57" s="81"/>
      <c r="M57" s="81"/>
    </row>
    <row r="58" spans="1:15">
      <c r="A58" s="166"/>
      <c r="B58" s="68"/>
      <c r="C58" s="168"/>
      <c r="D58" s="88"/>
      <c r="E58" s="88"/>
      <c r="F58" s="73" t="e">
        <f t="shared" si="0"/>
        <v>#N/A</v>
      </c>
      <c r="G58" s="71" t="e">
        <f t="shared" si="1"/>
        <v>#N/A</v>
      </c>
      <c r="H58" s="75" t="e">
        <f t="shared" si="2"/>
        <v>#N/A</v>
      </c>
      <c r="I58" s="77" t="e">
        <f t="shared" si="6"/>
        <v>#N/A</v>
      </c>
      <c r="J58" s="231"/>
      <c r="K58" s="93" t="e">
        <f t="shared" si="7"/>
        <v>#N/A</v>
      </c>
      <c r="L58" s="81"/>
      <c r="M58" s="81"/>
    </row>
    <row r="59" spans="1:15">
      <c r="A59" s="166"/>
      <c r="B59" s="68"/>
      <c r="C59" s="168"/>
      <c r="D59" s="88"/>
      <c r="E59" s="88"/>
      <c r="F59" s="73" t="e">
        <f t="shared" si="0"/>
        <v>#N/A</v>
      </c>
      <c r="G59" s="71" t="e">
        <f t="shared" si="1"/>
        <v>#N/A</v>
      </c>
      <c r="H59" s="75" t="e">
        <f t="shared" si="2"/>
        <v>#N/A</v>
      </c>
      <c r="I59" s="77" t="e">
        <f t="shared" si="6"/>
        <v>#N/A</v>
      </c>
      <c r="J59" s="228"/>
      <c r="K59" s="93" t="e">
        <f>1000*H59*VLOOKUP(C59,multiplier,7,FALSE)/(2*PI()*J59*F59*VLOOKUP(C59,multiplier,4,FALSE))</f>
        <v>#N/A</v>
      </c>
      <c r="L59" s="81"/>
      <c r="M59" s="81"/>
    </row>
    <row r="60" spans="1:15">
      <c r="A60" s="166"/>
      <c r="B60" s="68"/>
      <c r="C60" s="168"/>
      <c r="D60" s="88"/>
      <c r="E60" s="88"/>
      <c r="F60" s="94" t="e">
        <f t="shared" si="0"/>
        <v>#N/A</v>
      </c>
      <c r="G60" s="71" t="e">
        <f t="shared" si="1"/>
        <v>#N/A</v>
      </c>
      <c r="H60" s="75" t="e">
        <f t="shared" si="2"/>
        <v>#N/A</v>
      </c>
      <c r="I60" s="77" t="e">
        <f t="shared" si="6"/>
        <v>#N/A</v>
      </c>
      <c r="J60" s="228"/>
      <c r="K60" s="93" t="e">
        <f>1000*H60*VLOOKUP(C60,multiplier,7,FALSE)/(2*PI()*J60*F60*VLOOKUP(C60,multiplier,4,FALSE))</f>
        <v>#N/A</v>
      </c>
      <c r="L60" s="81"/>
      <c r="M60" s="81"/>
    </row>
    <row r="61" spans="1:15">
      <c r="A61" s="166"/>
      <c r="B61" s="68"/>
      <c r="C61" s="168"/>
      <c r="D61" s="88"/>
      <c r="E61" s="88"/>
      <c r="F61" s="73" t="e">
        <f t="shared" si="0"/>
        <v>#N/A</v>
      </c>
      <c r="G61" s="71" t="e">
        <f t="shared" si="1"/>
        <v>#N/A</v>
      </c>
      <c r="H61" s="75" t="e">
        <f t="shared" si="2"/>
        <v>#N/A</v>
      </c>
      <c r="I61" s="77" t="e">
        <f t="shared" si="6"/>
        <v>#N/A</v>
      </c>
      <c r="J61" s="228"/>
      <c r="K61" s="93" t="e">
        <f t="shared" ref="K61:K68" si="8">1000*H61*VLOOKUP(C61,multiplier,7,FALSE)/(2*PI()*J61*F61*VLOOKUP(C61,multiplier,4,FALSE))</f>
        <v>#N/A</v>
      </c>
      <c r="L61" s="81"/>
      <c r="M61" s="81"/>
    </row>
    <row r="62" spans="1:15">
      <c r="A62" s="166"/>
      <c r="B62" s="68"/>
      <c r="C62" s="168"/>
      <c r="D62" s="88"/>
      <c r="E62" s="88"/>
      <c r="F62" s="73" t="e">
        <f t="shared" si="0"/>
        <v>#N/A</v>
      </c>
      <c r="G62" s="71" t="e">
        <f t="shared" si="1"/>
        <v>#N/A</v>
      </c>
      <c r="H62" s="75" t="e">
        <f t="shared" si="2"/>
        <v>#N/A</v>
      </c>
      <c r="I62" s="77" t="e">
        <f t="shared" si="6"/>
        <v>#N/A</v>
      </c>
      <c r="J62" s="228"/>
      <c r="K62" s="93" t="e">
        <f t="shared" si="8"/>
        <v>#N/A</v>
      </c>
      <c r="L62" s="81"/>
      <c r="M62" s="81"/>
    </row>
    <row r="63" spans="1:15">
      <c r="A63" s="166"/>
      <c r="B63" s="68"/>
      <c r="C63" s="168"/>
      <c r="D63" s="88"/>
      <c r="E63" s="88"/>
      <c r="F63" s="73" t="e">
        <f t="shared" si="0"/>
        <v>#N/A</v>
      </c>
      <c r="G63" s="71" t="e">
        <f t="shared" si="1"/>
        <v>#N/A</v>
      </c>
      <c r="H63" s="75" t="e">
        <f t="shared" si="2"/>
        <v>#N/A</v>
      </c>
      <c r="I63" s="77" t="e">
        <f t="shared" si="6"/>
        <v>#N/A</v>
      </c>
      <c r="J63" s="228"/>
      <c r="K63" s="93" t="e">
        <f t="shared" si="8"/>
        <v>#N/A</v>
      </c>
      <c r="L63" s="81"/>
      <c r="M63" s="81"/>
    </row>
    <row r="64" spans="1:15">
      <c r="A64" s="166"/>
      <c r="B64" s="68"/>
      <c r="C64" s="168"/>
      <c r="D64" s="88"/>
      <c r="E64" s="88"/>
      <c r="F64" s="73" t="e">
        <f t="shared" si="0"/>
        <v>#N/A</v>
      </c>
      <c r="G64" s="71" t="e">
        <f t="shared" si="1"/>
        <v>#N/A</v>
      </c>
      <c r="H64" s="75" t="e">
        <f t="shared" si="2"/>
        <v>#N/A</v>
      </c>
      <c r="I64" s="77" t="e">
        <f t="shared" si="6"/>
        <v>#N/A</v>
      </c>
      <c r="J64" s="228"/>
      <c r="K64" s="93" t="e">
        <f t="shared" si="8"/>
        <v>#N/A</v>
      </c>
      <c r="L64" s="81"/>
      <c r="M64" s="81"/>
    </row>
    <row r="65" spans="1:13">
      <c r="A65" s="166"/>
      <c r="B65" s="68"/>
      <c r="C65" s="168"/>
      <c r="D65" s="88"/>
      <c r="E65" s="88"/>
      <c r="F65" s="73" t="e">
        <f t="shared" si="0"/>
        <v>#N/A</v>
      </c>
      <c r="G65" s="71" t="e">
        <f t="shared" si="1"/>
        <v>#N/A</v>
      </c>
      <c r="H65" s="75" t="e">
        <f t="shared" si="2"/>
        <v>#N/A</v>
      </c>
      <c r="I65" s="77" t="e">
        <f t="shared" si="6"/>
        <v>#N/A</v>
      </c>
      <c r="J65" s="228"/>
      <c r="K65" s="93" t="e">
        <f t="shared" si="8"/>
        <v>#N/A</v>
      </c>
      <c r="L65" s="81"/>
      <c r="M65" s="81"/>
    </row>
    <row r="66" spans="1:13">
      <c r="A66" s="166"/>
      <c r="B66" s="68"/>
      <c r="C66" s="168"/>
      <c r="D66" s="88"/>
      <c r="E66" s="88"/>
      <c r="F66" s="73" t="e">
        <f t="shared" si="0"/>
        <v>#N/A</v>
      </c>
      <c r="G66" s="74" t="e">
        <f t="shared" si="1"/>
        <v>#N/A</v>
      </c>
      <c r="H66" s="75" t="e">
        <f t="shared" si="2"/>
        <v>#N/A</v>
      </c>
      <c r="I66" s="76" t="e">
        <f t="shared" si="6"/>
        <v>#N/A</v>
      </c>
      <c r="J66" s="228"/>
      <c r="K66" s="93" t="e">
        <f t="shared" si="8"/>
        <v>#N/A</v>
      </c>
      <c r="L66" s="81"/>
      <c r="M66" s="81"/>
    </row>
    <row r="67" spans="1:13">
      <c r="A67" s="166"/>
      <c r="B67" s="68"/>
      <c r="C67" s="168"/>
      <c r="D67" s="88"/>
      <c r="E67" s="88"/>
      <c r="F67" s="73" t="e">
        <f t="shared" si="0"/>
        <v>#N/A</v>
      </c>
      <c r="G67" s="74" t="e">
        <f t="shared" si="1"/>
        <v>#N/A</v>
      </c>
      <c r="H67" s="75" t="e">
        <f t="shared" si="2"/>
        <v>#N/A</v>
      </c>
      <c r="I67" s="76" t="e">
        <f t="shared" si="6"/>
        <v>#N/A</v>
      </c>
      <c r="J67" s="228"/>
      <c r="K67" s="93" t="e">
        <f t="shared" si="8"/>
        <v>#N/A</v>
      </c>
      <c r="L67" s="81"/>
      <c r="M67" s="81"/>
    </row>
    <row r="68" spans="1:13">
      <c r="A68" s="166"/>
      <c r="B68" s="68"/>
      <c r="C68" s="168"/>
      <c r="D68" s="88"/>
      <c r="E68" s="88"/>
      <c r="F68" s="73" t="e">
        <f t="shared" si="0"/>
        <v>#N/A</v>
      </c>
      <c r="G68" s="74" t="e">
        <f t="shared" si="1"/>
        <v>#N/A</v>
      </c>
      <c r="H68" s="75" t="e">
        <f t="shared" si="2"/>
        <v>#N/A</v>
      </c>
      <c r="I68" s="76" t="e">
        <f t="shared" si="6"/>
        <v>#N/A</v>
      </c>
      <c r="J68" s="228"/>
      <c r="K68" s="93" t="e">
        <f t="shared" si="8"/>
        <v>#N/A</v>
      </c>
      <c r="L68" s="81"/>
      <c r="M68" s="81"/>
    </row>
    <row r="69" spans="1:13">
      <c r="A69" s="166"/>
      <c r="B69" s="68"/>
      <c r="C69" s="168"/>
      <c r="D69" s="88"/>
      <c r="E69" s="88"/>
      <c r="F69" s="73" t="e">
        <f t="shared" si="0"/>
        <v>#N/A</v>
      </c>
      <c r="G69" s="74" t="e">
        <f t="shared" si="1"/>
        <v>#N/A</v>
      </c>
      <c r="H69" s="75" t="e">
        <f t="shared" si="2"/>
        <v>#N/A</v>
      </c>
      <c r="I69" s="76" t="e">
        <f t="shared" si="6"/>
        <v>#N/A</v>
      </c>
      <c r="J69" s="229"/>
      <c r="K69" s="93" t="e">
        <f t="shared" ref="K69" si="9">1000*H69*VLOOKUP(C69,multiplier,7,FALSE)/(2*PI()*J69*F69*VLOOKUP(C69,multiplier,4,FALSE))</f>
        <v>#N/A</v>
      </c>
      <c r="M69" s="81"/>
    </row>
    <row r="70" spans="1:13">
      <c r="K70" s="93"/>
    </row>
    <row r="71" spans="1:13">
      <c r="A71"/>
    </row>
    <row r="72" spans="1:13">
      <c r="A72"/>
    </row>
    <row r="73" spans="1:13">
      <c r="A73"/>
    </row>
    <row r="74" spans="1:13">
      <c r="A74"/>
    </row>
    <row r="75" spans="1:13">
      <c r="A75"/>
    </row>
    <row r="77" spans="1:13">
      <c r="A77"/>
    </row>
    <row r="78" spans="1:13">
      <c r="A78"/>
      <c r="F78" s="84"/>
      <c r="K78" s="92"/>
      <c r="L78" s="81"/>
    </row>
    <row r="79" spans="1:13">
      <c r="A79"/>
      <c r="F79" s="84"/>
      <c r="K79" s="92"/>
      <c r="L79" s="81"/>
    </row>
    <row r="80" spans="1:13">
      <c r="A80"/>
      <c r="F80" s="84"/>
      <c r="K80" s="92"/>
      <c r="L80" s="81"/>
    </row>
    <row r="81" spans="1:12">
      <c r="A81"/>
      <c r="F81" s="84"/>
      <c r="K81" s="92"/>
      <c r="L81" s="81"/>
    </row>
    <row r="82" spans="1:12">
      <c r="A82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79998168889431442"/>
  </sheetPr>
  <dimension ref="A1:AE56"/>
  <sheetViews>
    <sheetView workbookViewId="0">
      <selection activeCell="D35" sqref="D35"/>
    </sheetView>
  </sheetViews>
  <sheetFormatPr defaultRowHeight="12.75"/>
  <cols>
    <col min="1" max="1" width="10.140625" bestFit="1" customWidth="1"/>
    <col min="3" max="3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</cols>
  <sheetData>
    <row r="1" spans="1:31" ht="13.5" thickBot="1">
      <c r="A1" s="102" t="s">
        <v>157</v>
      </c>
      <c r="E1" t="s">
        <v>43</v>
      </c>
      <c r="L1" t="s">
        <v>44</v>
      </c>
      <c r="M1" s="3" t="s">
        <v>39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4" t="s">
        <v>13</v>
      </c>
      <c r="T1" s="4" t="s">
        <v>15</v>
      </c>
    </row>
    <row r="2" spans="1:31" ht="13.5" thickTop="1">
      <c r="E2" s="5" t="s">
        <v>50</v>
      </c>
      <c r="F2" s="6" t="s">
        <v>51</v>
      </c>
      <c r="G2" s="7" t="s">
        <v>44</v>
      </c>
      <c r="H2" s="8"/>
      <c r="K2" t="s">
        <v>52</v>
      </c>
      <c r="L2" s="103">
        <v>31092</v>
      </c>
      <c r="M2" s="90">
        <f>IMREAL(COMPLEX(32,0))</f>
        <v>32</v>
      </c>
      <c r="N2" s="90">
        <f>IMREAL(COMPLEX(30.1,3.9))</f>
        <v>30.1</v>
      </c>
      <c r="O2" s="90">
        <f>IMREAL(COMPLEX(-12,-5.9))</f>
        <v>-12</v>
      </c>
      <c r="P2" s="90">
        <f>IMREAL(COMPLEX(53,0))</f>
        <v>53</v>
      </c>
      <c r="Q2" s="90">
        <f>IMREAL(COMPLEX(13,-0.4))</f>
        <v>13</v>
      </c>
      <c r="R2" s="90">
        <f>IMREAL(COMPLEX(8.7,1.8))</f>
        <v>8.6999999999999993</v>
      </c>
      <c r="S2" s="90" t="s">
        <v>158</v>
      </c>
      <c r="T2" s="90" t="s">
        <v>158</v>
      </c>
      <c r="U2" t="s">
        <v>159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9"/>
      <c r="F3" s="10" t="s">
        <v>53</v>
      </c>
      <c r="G3" s="104">
        <v>44957</v>
      </c>
      <c r="H3" s="11"/>
      <c r="K3" t="s">
        <v>54</v>
      </c>
      <c r="L3" s="103">
        <v>32477</v>
      </c>
      <c r="M3" s="90">
        <v>123.32</v>
      </c>
      <c r="N3" s="90">
        <v>35</v>
      </c>
      <c r="O3" s="90">
        <v>-12</v>
      </c>
      <c r="P3" s="90" t="e">
        <f>NA()</f>
        <v>#N/A</v>
      </c>
      <c r="Q3" s="90">
        <v>9</v>
      </c>
      <c r="R3" s="90">
        <v>4</v>
      </c>
      <c r="S3" s="90">
        <v>0</v>
      </c>
      <c r="T3" s="90">
        <v>0</v>
      </c>
      <c r="Y3">
        <f t="shared" ref="Y3:Y13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12" t="s">
        <v>44</v>
      </c>
      <c r="B4" s="12" t="s">
        <v>55</v>
      </c>
      <c r="C4" s="12" t="s">
        <v>56</v>
      </c>
      <c r="E4" s="9" t="s">
        <v>57</v>
      </c>
      <c r="F4" s="13">
        <f>IMREAL(VLOOKUP($G$3,Data,2,FALSE))</f>
        <v>170.85000000016669</v>
      </c>
      <c r="G4" s="13" t="e">
        <f t="shared" ref="G4:G9" si="3">VLOOKUP($G$3,Record,2,FALSE)</f>
        <v>#N/A</v>
      </c>
      <c r="H4" s="11"/>
      <c r="K4" t="s">
        <v>54</v>
      </c>
      <c r="L4" s="103">
        <v>33309</v>
      </c>
      <c r="M4" s="90">
        <v>133</v>
      </c>
      <c r="N4" s="90">
        <v>37</v>
      </c>
      <c r="O4" s="90">
        <v>-14</v>
      </c>
      <c r="P4" s="90">
        <v>61</v>
      </c>
      <c r="Q4" s="90">
        <v>10</v>
      </c>
      <c r="R4" s="90">
        <v>6</v>
      </c>
      <c r="S4" s="90">
        <v>0</v>
      </c>
      <c r="T4" s="90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1">
        <v>29728</v>
      </c>
      <c r="B5" t="s">
        <v>58</v>
      </c>
      <c r="C5" t="s">
        <v>59</v>
      </c>
      <c r="E5" s="9" t="s">
        <v>60</v>
      </c>
      <c r="F5" s="13">
        <f>IMREAL(VLOOKUP($G$3,Data,3,FALSE))</f>
        <v>53.776447386466586</v>
      </c>
      <c r="G5" s="13" t="e">
        <f t="shared" si="3"/>
        <v>#N/A</v>
      </c>
      <c r="H5" s="11"/>
      <c r="K5" t="s">
        <v>54</v>
      </c>
      <c r="L5" s="103">
        <v>34933</v>
      </c>
      <c r="M5" s="90">
        <v>127.40600000000001</v>
      </c>
      <c r="N5" s="90">
        <v>40.340000000000003</v>
      </c>
      <c r="O5" s="105">
        <v>-17.21</v>
      </c>
      <c r="P5" s="90">
        <v>52</v>
      </c>
      <c r="Q5" s="105">
        <v>11.21</v>
      </c>
      <c r="R5" s="105">
        <v>6.21</v>
      </c>
      <c r="S5" s="90">
        <v>0</v>
      </c>
      <c r="T5" s="90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1">
        <v>30665</v>
      </c>
      <c r="B6" t="s">
        <v>61</v>
      </c>
      <c r="C6" t="s">
        <v>62</v>
      </c>
      <c r="E6" s="9" t="s">
        <v>63</v>
      </c>
      <c r="F6" s="13">
        <f>IMREAL(VLOOKUP($G$3,Data,4,FALSE))</f>
        <v>-5.5290276127495375</v>
      </c>
      <c r="G6" s="13" t="e">
        <f t="shared" si="3"/>
        <v>#N/A</v>
      </c>
      <c r="H6" s="11"/>
      <c r="K6" t="s">
        <v>54</v>
      </c>
      <c r="L6" s="103">
        <v>36102</v>
      </c>
      <c r="M6" s="90">
        <v>135.27000000000001</v>
      </c>
      <c r="N6" s="106">
        <v>43.374148761358811</v>
      </c>
      <c r="O6" s="105">
        <v>-16.35231834356091</v>
      </c>
      <c r="P6" s="106">
        <v>67.003866063780151</v>
      </c>
      <c r="Q6" s="105">
        <v>11.184371676790761</v>
      </c>
      <c r="R6" s="105">
        <v>6.6891116768238135</v>
      </c>
      <c r="S6" s="90">
        <v>0</v>
      </c>
      <c r="T6" s="90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1">
        <v>30722</v>
      </c>
      <c r="C7" t="s">
        <v>64</v>
      </c>
      <c r="E7" s="9" t="s">
        <v>65</v>
      </c>
      <c r="F7" s="13">
        <f>IMREAL(VLOOKUP($G$3,Data,5,FALSE))</f>
        <v>73.51044739634105</v>
      </c>
      <c r="G7" s="13" t="e">
        <f t="shared" si="3"/>
        <v>#N/A</v>
      </c>
      <c r="H7" s="11"/>
      <c r="K7" t="s">
        <v>54</v>
      </c>
      <c r="L7" s="103">
        <v>37142</v>
      </c>
      <c r="M7" s="105">
        <v>124.15653400852065</v>
      </c>
      <c r="N7" s="105">
        <v>46.005999473575088</v>
      </c>
      <c r="O7" s="105">
        <v>-17.319750828058801</v>
      </c>
      <c r="P7" s="105">
        <v>64.090992469401087</v>
      </c>
      <c r="Q7" s="105">
        <v>12.022750828099106</v>
      </c>
      <c r="R7" s="105">
        <v>7.47625082806357</v>
      </c>
      <c r="S7" s="90">
        <v>0</v>
      </c>
      <c r="T7" s="90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1">
        <v>32477</v>
      </c>
      <c r="B8" t="s">
        <v>66</v>
      </c>
      <c r="C8" t="s">
        <v>67</v>
      </c>
      <c r="E8" s="9" t="s">
        <v>68</v>
      </c>
      <c r="F8" s="13">
        <f>IMREAL(VLOOKUP($G$3,Data,6,FALSE))</f>
        <v>16.068112612899199</v>
      </c>
      <c r="G8" s="13" t="e">
        <f t="shared" si="3"/>
        <v>#N/A</v>
      </c>
      <c r="H8" s="11"/>
      <c r="K8" t="s">
        <v>54</v>
      </c>
      <c r="L8" s="103">
        <v>38008</v>
      </c>
      <c r="M8" s="105">
        <v>131.71484972722556</v>
      </c>
      <c r="N8" s="105">
        <v>47.52000000007861</v>
      </c>
      <c r="O8" s="105">
        <v>-16.235999999891781</v>
      </c>
      <c r="P8" s="105">
        <v>63.740000000089836</v>
      </c>
      <c r="Q8" s="105">
        <v>12.615999999798788</v>
      </c>
      <c r="R8" s="105">
        <v>7.5959999999986039</v>
      </c>
      <c r="S8" s="90">
        <v>0</v>
      </c>
      <c r="T8" s="90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1">
        <v>33309</v>
      </c>
      <c r="B9" t="s">
        <v>66</v>
      </c>
      <c r="C9" t="s">
        <v>67</v>
      </c>
      <c r="E9" s="9" t="s">
        <v>69</v>
      </c>
      <c r="F9" s="13">
        <f>IMREAL(VLOOKUP($G$3,Data,7,FALSE))</f>
        <v>10.05972261280963</v>
      </c>
      <c r="G9" s="13" t="e">
        <f t="shared" si="3"/>
        <v>#N/A</v>
      </c>
      <c r="H9" s="11"/>
      <c r="K9" t="s">
        <v>54</v>
      </c>
      <c r="L9" s="103">
        <v>38035</v>
      </c>
      <c r="M9" s="105">
        <v>123.9</v>
      </c>
      <c r="N9" s="105">
        <v>47.52000000007861</v>
      </c>
      <c r="O9" s="105">
        <v>-16.235999999891781</v>
      </c>
      <c r="P9" s="105">
        <v>63.740000000089836</v>
      </c>
      <c r="Q9" s="105">
        <v>12.615999999798788</v>
      </c>
      <c r="R9" s="105">
        <v>7.5959999999986039</v>
      </c>
      <c r="S9" s="90">
        <v>5.2</v>
      </c>
      <c r="T9" s="90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1">
        <v>33374</v>
      </c>
      <c r="B10" t="s">
        <v>66</v>
      </c>
      <c r="C10" t="s">
        <v>71</v>
      </c>
      <c r="E10" s="14"/>
      <c r="F10" s="15"/>
      <c r="G10" s="15"/>
      <c r="H10" s="11"/>
      <c r="K10" t="s">
        <v>54</v>
      </c>
      <c r="L10" s="103">
        <v>38401</v>
      </c>
      <c r="M10" s="107">
        <v>129.44934972722558</v>
      </c>
      <c r="N10" s="90">
        <v>46.540000000261372</v>
      </c>
      <c r="O10" s="90">
        <v>-16.960000000287856</v>
      </c>
      <c r="P10" s="90">
        <v>61.50000000015865</v>
      </c>
      <c r="Q10" s="90">
        <v>13.840000000375774</v>
      </c>
      <c r="R10" s="90">
        <v>9.0000000000367564</v>
      </c>
      <c r="S10" s="90">
        <v>5.7</v>
      </c>
      <c r="T10" s="90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1">
        <v>33407</v>
      </c>
      <c r="B11" t="s">
        <v>72</v>
      </c>
      <c r="C11" t="s">
        <v>73</v>
      </c>
      <c r="E11" s="14" t="s">
        <v>74</v>
      </c>
      <c r="F11" s="15"/>
      <c r="G11" s="15"/>
      <c r="H11" s="11" t="s">
        <v>160</v>
      </c>
      <c r="K11" t="s">
        <v>54</v>
      </c>
      <c r="L11" s="103">
        <v>40038</v>
      </c>
      <c r="M11" s="90">
        <v>130.29869400282834</v>
      </c>
      <c r="N11" s="90">
        <v>50.874703493297702</v>
      </c>
      <c r="O11" s="90">
        <v>-14.104296506833869</v>
      </c>
      <c r="P11" s="90">
        <v>64.524703493384905</v>
      </c>
      <c r="Q11" s="90">
        <v>12.507296506814036</v>
      </c>
      <c r="R11" s="90">
        <v>7.4752965067981236</v>
      </c>
      <c r="S11" s="90">
        <v>2</v>
      </c>
      <c r="T11" s="90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1">
        <v>34933</v>
      </c>
      <c r="B12" t="s">
        <v>66</v>
      </c>
      <c r="C12" t="s">
        <v>75</v>
      </c>
      <c r="E12" s="14" t="s">
        <v>76</v>
      </c>
      <c r="F12" s="3" t="s">
        <v>138</v>
      </c>
      <c r="G12" s="108">
        <f>IMREAL(VLOOKUP($G$3,Data,8,FALSE))</f>
        <v>0</v>
      </c>
      <c r="H12" s="11"/>
      <c r="K12" s="165" t="s">
        <v>54</v>
      </c>
      <c r="L12" s="103">
        <v>41827</v>
      </c>
      <c r="M12" s="90">
        <v>143.10000000006261</v>
      </c>
      <c r="N12" s="90">
        <v>54.126077194238675</v>
      </c>
      <c r="O12" s="90">
        <v>-9.8547183057240417</v>
      </c>
      <c r="P12" s="90">
        <v>67.19327719428847</v>
      </c>
      <c r="Q12" s="90">
        <v>12.948503305687531</v>
      </c>
      <c r="R12" s="90">
        <v>7.496058305744846</v>
      </c>
      <c r="S12" s="90">
        <v>10.97</v>
      </c>
      <c r="T12" s="90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1">
        <v>36102</v>
      </c>
      <c r="B13" t="s">
        <v>66</v>
      </c>
      <c r="C13" t="s">
        <v>131</v>
      </c>
      <c r="E13" s="14" t="s">
        <v>77</v>
      </c>
      <c r="F13" s="15"/>
      <c r="G13" s="15"/>
      <c r="H13" s="11" t="s">
        <v>161</v>
      </c>
      <c r="K13" s="165" t="s">
        <v>407</v>
      </c>
      <c r="L13" s="103">
        <v>42125</v>
      </c>
      <c r="M13" s="105">
        <f>M12+L19</f>
        <v>162.99711690792583</v>
      </c>
      <c r="N13" s="90">
        <f>N12</f>
        <v>54.126077194238675</v>
      </c>
      <c r="O13" s="90">
        <f t="shared" ref="O13:T13" si="4">O12</f>
        <v>-9.8547183057240417</v>
      </c>
      <c r="P13" s="90">
        <f t="shared" si="4"/>
        <v>67.19327719428847</v>
      </c>
      <c r="Q13" s="90">
        <f t="shared" si="4"/>
        <v>12.948503305687531</v>
      </c>
      <c r="R13" s="90">
        <f t="shared" si="4"/>
        <v>7.496058305744846</v>
      </c>
      <c r="S13" s="90">
        <f t="shared" si="4"/>
        <v>10.97</v>
      </c>
      <c r="T13" s="90">
        <f t="shared" si="4"/>
        <v>0</v>
      </c>
      <c r="Y13">
        <f t="shared" si="1"/>
        <v>39.677116907925836</v>
      </c>
    </row>
    <row r="14" spans="1:31">
      <c r="A14" s="1">
        <v>37142</v>
      </c>
      <c r="B14" t="s">
        <v>134</v>
      </c>
      <c r="C14" t="s">
        <v>135</v>
      </c>
      <c r="E14" s="14" t="s">
        <v>78</v>
      </c>
      <c r="F14" s="15"/>
      <c r="G14" s="15"/>
      <c r="H14" s="11"/>
      <c r="L14" s="367">
        <v>44957</v>
      </c>
      <c r="M14" s="368">
        <v>170.85000000016669</v>
      </c>
      <c r="N14" s="368">
        <v>53.776447386466586</v>
      </c>
      <c r="O14" s="368">
        <v>-5.5290276127495375</v>
      </c>
      <c r="P14" s="368">
        <v>73.51044739634105</v>
      </c>
      <c r="Q14" s="368">
        <v>16.068112612899199</v>
      </c>
      <c r="R14" s="368">
        <v>10.05972261280963</v>
      </c>
      <c r="S14" s="368"/>
      <c r="T14" s="368"/>
    </row>
    <row r="15" spans="1:31">
      <c r="A15" s="1">
        <v>38008</v>
      </c>
      <c r="B15" t="s">
        <v>134</v>
      </c>
      <c r="C15" t="s">
        <v>136</v>
      </c>
      <c r="E15" s="366" t="s">
        <v>721</v>
      </c>
      <c r="F15" s="15"/>
      <c r="G15" s="15"/>
      <c r="H15" s="11"/>
      <c r="L15" s="90"/>
      <c r="M15" s="90"/>
      <c r="N15" s="90"/>
      <c r="O15" s="90"/>
      <c r="P15" s="90"/>
      <c r="Q15" s="90"/>
      <c r="R15" s="90"/>
      <c r="S15" s="90"/>
      <c r="T15" s="90"/>
    </row>
    <row r="16" spans="1:31">
      <c r="A16" s="1">
        <v>38035</v>
      </c>
      <c r="B16" t="s">
        <v>134</v>
      </c>
      <c r="C16" t="s">
        <v>137</v>
      </c>
      <c r="E16" s="14" t="s">
        <v>79</v>
      </c>
      <c r="F16" s="15"/>
      <c r="G16" s="15"/>
      <c r="H16" s="11"/>
      <c r="K16" s="165" t="s">
        <v>408</v>
      </c>
      <c r="L16" s="165" t="s">
        <v>409</v>
      </c>
    </row>
    <row r="17" spans="1:24">
      <c r="A17" s="1">
        <v>38401</v>
      </c>
      <c r="B17" t="s">
        <v>134</v>
      </c>
      <c r="C17" t="s">
        <v>147</v>
      </c>
      <c r="E17" s="14" t="s">
        <v>80</v>
      </c>
      <c r="F17" s="15"/>
      <c r="G17" s="15"/>
      <c r="H17" s="11"/>
      <c r="K17" s="1">
        <v>41828</v>
      </c>
      <c r="L17">
        <v>1000.1449</v>
      </c>
    </row>
    <row r="18" spans="1:24" ht="13.5" thickBot="1">
      <c r="A18" s="117">
        <v>40038</v>
      </c>
      <c r="B18" s="118" t="s">
        <v>163</v>
      </c>
      <c r="C18" s="118" t="s">
        <v>164</v>
      </c>
      <c r="E18" s="16" t="s">
        <v>81</v>
      </c>
      <c r="F18" s="17"/>
      <c r="G18" s="17"/>
      <c r="H18" s="18"/>
      <c r="K18" s="1">
        <v>42125</v>
      </c>
      <c r="L18">
        <v>1000.1648</v>
      </c>
      <c r="V18" t="s">
        <v>239</v>
      </c>
      <c r="W18" t="s">
        <v>240</v>
      </c>
      <c r="X18" t="s">
        <v>244</v>
      </c>
    </row>
    <row r="19" spans="1:24" ht="16.5" thickTop="1">
      <c r="A19" s="1">
        <v>41827</v>
      </c>
      <c r="B19" s="118" t="s">
        <v>163</v>
      </c>
      <c r="C19" s="118" t="s">
        <v>254</v>
      </c>
      <c r="K19" s="165" t="s">
        <v>410</v>
      </c>
      <c r="L19" s="84">
        <f>(L18/L17-1)*1000000</f>
        <v>19.897116907863222</v>
      </c>
      <c r="M19" s="165" t="s">
        <v>240</v>
      </c>
      <c r="N19" s="25" t="s">
        <v>70</v>
      </c>
      <c r="O19" s="109" t="s">
        <v>33</v>
      </c>
      <c r="P19" s="110" t="s">
        <v>143</v>
      </c>
      <c r="Q19" s="111" t="s">
        <v>162</v>
      </c>
      <c r="R19" s="112" t="s">
        <v>10</v>
      </c>
      <c r="S19" s="113" t="s">
        <v>11</v>
      </c>
      <c r="V19" t="s">
        <v>65</v>
      </c>
      <c r="W19" s="85">
        <f>(1/0.000000999985/1000000-1)*1000000</f>
        <v>15.000225003447554</v>
      </c>
      <c r="X19">
        <f>10000*0.0000000000000096/0.000001*1000</f>
        <v>9.6000000000000002E-2</v>
      </c>
    </row>
    <row r="20" spans="1:24">
      <c r="A20" s="1">
        <v>42125</v>
      </c>
      <c r="B20" s="118" t="s">
        <v>163</v>
      </c>
      <c r="C20" s="118" t="s">
        <v>412</v>
      </c>
      <c r="O20" s="176" t="s">
        <v>84</v>
      </c>
      <c r="P20" s="115">
        <v>1600</v>
      </c>
      <c r="Q20" s="115" t="str">
        <f t="shared" ref="Q20:Q42" si="5">O20&amp;P20</f>
        <v>1Z1600</v>
      </c>
      <c r="R20" s="101">
        <f>excelResults!D9</f>
        <v>-14</v>
      </c>
      <c r="S20" s="116">
        <f>excelResults!E9</f>
        <v>-10</v>
      </c>
      <c r="T20" s="165"/>
    </row>
    <row r="21" spans="1:24">
      <c r="O21" s="176" t="s">
        <v>84</v>
      </c>
      <c r="P21" s="115">
        <v>65</v>
      </c>
      <c r="Q21" s="115" t="str">
        <f t="shared" si="5"/>
        <v>1Z65</v>
      </c>
      <c r="R21" s="101">
        <f>excelResults!D15</f>
        <v>40</v>
      </c>
      <c r="S21" s="116">
        <f>excelResults!E15</f>
        <v>-15</v>
      </c>
      <c r="T21" s="165"/>
      <c r="U21" s="118"/>
    </row>
    <row r="22" spans="1:24">
      <c r="O22" s="176" t="s">
        <v>84</v>
      </c>
      <c r="P22" s="115">
        <v>400</v>
      </c>
      <c r="Q22" s="115" t="str">
        <f t="shared" si="5"/>
        <v>1Z400</v>
      </c>
      <c r="R22" s="101">
        <f>excelResults!D21</f>
        <v>-13</v>
      </c>
      <c r="S22" s="116">
        <f>excelResults!E21</f>
        <v>23</v>
      </c>
    </row>
    <row r="23" spans="1:24">
      <c r="O23" s="176" t="s">
        <v>84</v>
      </c>
      <c r="P23" s="115">
        <v>1000</v>
      </c>
      <c r="Q23" s="115" t="str">
        <f t="shared" si="5"/>
        <v>1Z1000</v>
      </c>
      <c r="R23" s="101">
        <f>excelResults!D27</f>
        <v>-14</v>
      </c>
      <c r="S23" s="116">
        <f>excelResults!E27</f>
        <v>15</v>
      </c>
      <c r="T23" s="165"/>
    </row>
    <row r="24" spans="1:24">
      <c r="F24" s="19" t="s">
        <v>33</v>
      </c>
      <c r="G24" s="20" t="s">
        <v>82</v>
      </c>
      <c r="H24" s="20" t="s">
        <v>83</v>
      </c>
      <c r="O24" s="176" t="s">
        <v>84</v>
      </c>
      <c r="P24" s="115">
        <v>2000</v>
      </c>
      <c r="Q24" s="115" t="str">
        <f t="shared" si="5"/>
        <v>1Z2000</v>
      </c>
      <c r="R24" s="101">
        <f>excelResults!D35</f>
        <v>-14</v>
      </c>
      <c r="S24" s="116">
        <f>excelResults!E35</f>
        <v>0</v>
      </c>
      <c r="T24" s="165"/>
    </row>
    <row r="25" spans="1:24">
      <c r="F25" s="19"/>
      <c r="G25" s="19" t="s">
        <v>53</v>
      </c>
      <c r="H25" s="19" t="s">
        <v>53</v>
      </c>
      <c r="O25" s="176" t="s">
        <v>84</v>
      </c>
      <c r="P25" s="115">
        <v>400.00099999999998</v>
      </c>
      <c r="Q25" s="115" t="str">
        <f t="shared" si="5"/>
        <v>1Z400.001</v>
      </c>
      <c r="R25" s="101">
        <f>excelResults!D36</f>
        <v>-13</v>
      </c>
      <c r="S25" s="116">
        <f>excelResults!E36</f>
        <v>0</v>
      </c>
      <c r="T25" s="165"/>
    </row>
    <row r="26" spans="1:24">
      <c r="F26" s="2" t="s">
        <v>84</v>
      </c>
      <c r="G26" s="21">
        <f>R_4A-G_2+C_1+correction_c</f>
        <v>214.56672477382364</v>
      </c>
      <c r="H26" s="21">
        <f>R_4A-G_2+G_1+correction_c</f>
        <v>59.784837386556156</v>
      </c>
      <c r="O26" s="176"/>
      <c r="P26" s="115"/>
      <c r="Q26" s="115"/>
      <c r="R26" s="101"/>
      <c r="S26" s="116"/>
      <c r="T26" s="165"/>
    </row>
    <row r="27" spans="1:24">
      <c r="F27" s="2" t="s">
        <v>85</v>
      </c>
      <c r="G27" s="21">
        <f>R_4A-G_2+C_1+correction_c</f>
        <v>214.56672477382364</v>
      </c>
      <c r="H27" s="21">
        <f>R_4A-G_2+G_1+correction_c</f>
        <v>59.784837386556156</v>
      </c>
      <c r="O27" s="114"/>
      <c r="P27" s="115"/>
      <c r="Q27" s="115" t="str">
        <f t="shared" si="5"/>
        <v/>
      </c>
      <c r="R27" s="101"/>
      <c r="S27" s="116"/>
    </row>
    <row r="28" spans="1:24">
      <c r="F28" s="2" t="s">
        <v>86</v>
      </c>
      <c r="G28" s="21">
        <f>R_4A-G_2+C_1+correction_c</f>
        <v>214.56672477382364</v>
      </c>
      <c r="H28" s="21">
        <f>R_4A-G_2+G_1+correction_c</f>
        <v>59.784837386556156</v>
      </c>
      <c r="O28" s="114"/>
      <c r="P28" s="115"/>
      <c r="Q28" s="115" t="str">
        <f t="shared" si="5"/>
        <v/>
      </c>
      <c r="R28" s="101"/>
      <c r="S28" s="116"/>
    </row>
    <row r="29" spans="1:24">
      <c r="F29" s="2" t="s">
        <v>87</v>
      </c>
      <c r="G29" s="21">
        <f>R_4A-G_2+C_1+correction_c</f>
        <v>214.56672477382364</v>
      </c>
      <c r="H29" s="21">
        <f>R_4A-G_2+G_1+correction_c</f>
        <v>59.784837386556156</v>
      </c>
      <c r="O29" s="114"/>
      <c r="P29" s="115"/>
      <c r="Q29" s="115" t="str">
        <f t="shared" si="5"/>
        <v/>
      </c>
      <c r="R29" s="101"/>
      <c r="S29" s="116"/>
    </row>
    <row r="30" spans="1:24">
      <c r="F30" s="2" t="s">
        <v>88</v>
      </c>
      <c r="G30" s="21">
        <f>R_4A-G_2+C_1+correction_c</f>
        <v>214.56672477382364</v>
      </c>
      <c r="H30" s="21">
        <f>R_4A-G_2+G_1+correction_c</f>
        <v>59.784837386556156</v>
      </c>
      <c r="O30" s="114"/>
      <c r="P30" s="115"/>
      <c r="Q30" s="115" t="str">
        <f t="shared" si="5"/>
        <v/>
      </c>
      <c r="R30" s="101"/>
      <c r="S30" s="116"/>
    </row>
    <row r="31" spans="1:24">
      <c r="F31" s="2" t="s">
        <v>89</v>
      </c>
      <c r="G31" s="21">
        <f>R_4B-G_2+C_1+correction_c</f>
        <v>155.26124977460751</v>
      </c>
      <c r="H31" s="21">
        <f>R_4B-G_2+G_1+correction_c</f>
        <v>0.47936238734003211</v>
      </c>
      <c r="O31" s="114"/>
      <c r="P31" s="115"/>
      <c r="Q31" s="115" t="str">
        <f t="shared" si="5"/>
        <v/>
      </c>
      <c r="R31" s="101"/>
      <c r="S31" s="116"/>
    </row>
    <row r="32" spans="1:24">
      <c r="F32" s="2" t="s">
        <v>90</v>
      </c>
      <c r="G32" s="21">
        <f>R_4C-G_2+C_1+correction_c</f>
        <v>234.30072478369812</v>
      </c>
      <c r="H32" s="21">
        <f>R_4C-G_2+G_1+correction_c</f>
        <v>79.518837396430627</v>
      </c>
      <c r="O32" s="114"/>
      <c r="P32" s="115"/>
      <c r="Q32" s="115" t="str">
        <f t="shared" si="5"/>
        <v/>
      </c>
      <c r="R32" s="101"/>
      <c r="S32" s="116"/>
    </row>
    <row r="33" spans="6:24">
      <c r="F33" s="2" t="s">
        <v>91</v>
      </c>
      <c r="G33" s="21">
        <f>-R_4A-G_2+C_1-correction_c</f>
        <v>107.01383000089047</v>
      </c>
      <c r="H33" s="21">
        <f>-R_4A-G_2+G_1-correction_c</f>
        <v>-47.768057386377016</v>
      </c>
      <c r="O33" s="114"/>
      <c r="P33" s="115"/>
      <c r="Q33" s="115" t="str">
        <f t="shared" si="5"/>
        <v/>
      </c>
      <c r="R33" s="101"/>
      <c r="S33" s="116"/>
    </row>
    <row r="34" spans="6:24">
      <c r="F34" s="2" t="s">
        <v>92</v>
      </c>
      <c r="G34" s="21">
        <f>-R_4A-G_2+C_1-correction_c</f>
        <v>107.01383000089047</v>
      </c>
      <c r="H34" s="21">
        <f>-R_4A-G_2+G_1-correction_c</f>
        <v>-47.768057386377016</v>
      </c>
      <c r="O34" s="114"/>
      <c r="P34" s="115"/>
      <c r="Q34" s="115" t="str">
        <f t="shared" si="5"/>
        <v/>
      </c>
      <c r="R34" s="101"/>
      <c r="S34" s="116"/>
    </row>
    <row r="35" spans="6:24">
      <c r="F35" s="2" t="s">
        <v>36</v>
      </c>
      <c r="G35" s="21">
        <f>-R_4A-G_2+C_1-correction_c</f>
        <v>107.01383000089047</v>
      </c>
      <c r="H35" s="21">
        <f>-R_4A-G_2+G_1-correction_c</f>
        <v>-47.768057386377016</v>
      </c>
      <c r="O35" s="114"/>
      <c r="P35" s="115"/>
      <c r="Q35" s="115" t="str">
        <f t="shared" si="5"/>
        <v/>
      </c>
      <c r="R35" s="101"/>
      <c r="S35" s="116"/>
    </row>
    <row r="36" spans="6:24">
      <c r="F36" s="2" t="s">
        <v>93</v>
      </c>
      <c r="G36" s="21">
        <f>-R_4A-G_2+C_1-correction_c</f>
        <v>107.01383000089047</v>
      </c>
      <c r="H36" s="21">
        <f>-R_4A-G_2+G_1-correction_c</f>
        <v>-47.768057386377016</v>
      </c>
      <c r="O36" s="114"/>
      <c r="P36" s="115"/>
      <c r="Q36" s="115" t="str">
        <f t="shared" si="5"/>
        <v/>
      </c>
      <c r="R36" s="101"/>
      <c r="S36" s="116"/>
    </row>
    <row r="37" spans="6:24">
      <c r="F37" s="2" t="s">
        <v>40</v>
      </c>
      <c r="G37" s="21">
        <f>-R_4A-G_2+C_1-correction_c</f>
        <v>107.01383000089047</v>
      </c>
      <c r="H37" s="21">
        <f>-R_4A-G_2+G_1-correction_c</f>
        <v>-47.768057386377016</v>
      </c>
      <c r="O37" s="114"/>
      <c r="P37" s="115"/>
      <c r="Q37" s="115" t="str">
        <f t="shared" si="5"/>
        <v/>
      </c>
      <c r="R37" s="101"/>
      <c r="S37" s="116"/>
    </row>
    <row r="38" spans="6:24">
      <c r="F38" s="2" t="s">
        <v>35</v>
      </c>
      <c r="G38" s="21">
        <f>-R_4B-G_2+C_1-correction_c</f>
        <v>166.3193050001066</v>
      </c>
      <c r="H38" s="21">
        <f>-R_4B-G_2+G_1-correction_c</f>
        <v>11.537417612839107</v>
      </c>
      <c r="O38" s="114"/>
      <c r="P38" s="115"/>
      <c r="Q38" s="115" t="str">
        <f t="shared" si="5"/>
        <v/>
      </c>
      <c r="R38" s="101"/>
      <c r="S38" s="116"/>
    </row>
    <row r="39" spans="6:24">
      <c r="F39" s="2" t="s">
        <v>42</v>
      </c>
      <c r="G39" s="21">
        <f>-R_4C-G_2+C_1-correction_c</f>
        <v>87.279829991016015</v>
      </c>
      <c r="H39" s="21">
        <f>-R_4C-G_2+G_1-correction_c</f>
        <v>-67.502057396251473</v>
      </c>
      <c r="O39" s="114"/>
      <c r="P39" s="115"/>
      <c r="Q39" s="115" t="str">
        <f t="shared" si="5"/>
        <v/>
      </c>
      <c r="R39" s="101"/>
      <c r="S39" s="116"/>
    </row>
    <row r="40" spans="6:24">
      <c r="F40" s="2"/>
      <c r="G40" s="21"/>
      <c r="H40" s="21"/>
      <c r="O40" s="114"/>
      <c r="P40" s="115"/>
      <c r="Q40" s="115" t="str">
        <f t="shared" si="5"/>
        <v/>
      </c>
      <c r="R40" s="119"/>
      <c r="S40" s="116"/>
      <c r="U40" t="s">
        <v>165</v>
      </c>
      <c r="W40" t="s">
        <v>166</v>
      </c>
    </row>
    <row r="41" spans="6:24">
      <c r="G41" s="2" t="s">
        <v>95</v>
      </c>
      <c r="H41" s="2" t="s">
        <v>96</v>
      </c>
      <c r="I41" t="s">
        <v>94</v>
      </c>
      <c r="J41" t="s">
        <v>97</v>
      </c>
      <c r="K41" s="2" t="s">
        <v>96</v>
      </c>
      <c r="L41" t="s">
        <v>94</v>
      </c>
      <c r="M41" t="s">
        <v>167</v>
      </c>
      <c r="N41" t="s">
        <v>168</v>
      </c>
      <c r="O41" s="114"/>
      <c r="P41" s="115"/>
      <c r="Q41" s="115" t="str">
        <f t="shared" si="5"/>
        <v/>
      </c>
      <c r="R41" s="119"/>
      <c r="S41" s="116"/>
      <c r="U41" s="2" t="s">
        <v>96</v>
      </c>
      <c r="V41" s="2" t="s">
        <v>96</v>
      </c>
      <c r="W41" t="s">
        <v>96</v>
      </c>
      <c r="X41" t="s">
        <v>96</v>
      </c>
    </row>
    <row r="42" spans="6:24" ht="16.5" thickBot="1">
      <c r="F42" s="2" t="s">
        <v>84</v>
      </c>
      <c r="G42" s="22">
        <v>1E-4</v>
      </c>
      <c r="H42" t="s">
        <v>169</v>
      </c>
      <c r="I42" s="22">
        <v>9.9999999999999995E-7</v>
      </c>
      <c r="J42" s="22">
        <v>1E-4</v>
      </c>
      <c r="K42" t="s">
        <v>170</v>
      </c>
      <c r="L42" s="22">
        <v>1E-3</v>
      </c>
      <c r="M42" s="22">
        <v>0.2</v>
      </c>
      <c r="N42" s="22">
        <v>2E-3</v>
      </c>
      <c r="O42" s="120"/>
      <c r="P42" s="121"/>
      <c r="Q42" s="121" t="str">
        <f t="shared" si="5"/>
        <v/>
      </c>
      <c r="R42" s="122"/>
      <c r="S42" s="123"/>
      <c r="U42" s="23" t="s">
        <v>171</v>
      </c>
      <c r="V42" s="24" t="s">
        <v>98</v>
      </c>
      <c r="W42" t="s">
        <v>169</v>
      </c>
      <c r="X42" t="s">
        <v>170</v>
      </c>
    </row>
    <row r="43" spans="6:24" ht="16.5" thickTop="1">
      <c r="F43" s="2" t="s">
        <v>85</v>
      </c>
      <c r="G43" s="22">
        <v>1E-3</v>
      </c>
      <c r="H43" t="s">
        <v>169</v>
      </c>
      <c r="I43" s="22">
        <v>9.9999999999999995E-7</v>
      </c>
      <c r="J43" s="22">
        <v>9.9999999999999995E-7</v>
      </c>
      <c r="K43" t="s">
        <v>100</v>
      </c>
      <c r="L43" s="22">
        <v>1</v>
      </c>
      <c r="M43" s="22">
        <v>2</v>
      </c>
      <c r="N43" s="22">
        <v>0.02</v>
      </c>
      <c r="U43" s="23" t="s">
        <v>171</v>
      </c>
      <c r="V43" s="23" t="s">
        <v>99</v>
      </c>
      <c r="W43" t="s">
        <v>169</v>
      </c>
      <c r="X43" t="s">
        <v>100</v>
      </c>
    </row>
    <row r="44" spans="6:24" ht="15.75">
      <c r="F44" s="2" t="s">
        <v>86</v>
      </c>
      <c r="G44" s="22">
        <v>1.0000000000000001E-5</v>
      </c>
      <c r="H44" t="s">
        <v>172</v>
      </c>
      <c r="I44" s="22">
        <v>1E-3</v>
      </c>
      <c r="J44" s="22">
        <v>1.0000000000000001E-5</v>
      </c>
      <c r="K44" t="s">
        <v>100</v>
      </c>
      <c r="L44" s="22">
        <v>1</v>
      </c>
      <c r="M44" s="22">
        <v>20</v>
      </c>
      <c r="N44" s="22">
        <v>0.2</v>
      </c>
      <c r="U44" s="24" t="s">
        <v>173</v>
      </c>
      <c r="V44" s="23" t="s">
        <v>99</v>
      </c>
      <c r="W44" t="s">
        <v>172</v>
      </c>
      <c r="X44" t="s">
        <v>100</v>
      </c>
    </row>
    <row r="45" spans="6:24" ht="15.75">
      <c r="F45" s="2" t="s">
        <v>87</v>
      </c>
      <c r="G45" s="22">
        <v>1E-4</v>
      </c>
      <c r="H45" t="s">
        <v>172</v>
      </c>
      <c r="I45" s="22">
        <v>1E-3</v>
      </c>
      <c r="J45" s="22">
        <v>1E-4</v>
      </c>
      <c r="K45" t="s">
        <v>100</v>
      </c>
      <c r="L45" s="22">
        <v>1</v>
      </c>
      <c r="M45" s="22">
        <v>200</v>
      </c>
      <c r="N45" s="124">
        <v>2</v>
      </c>
      <c r="U45" s="24" t="s">
        <v>173</v>
      </c>
      <c r="V45" s="24" t="s">
        <v>100</v>
      </c>
      <c r="W45" t="s">
        <v>172</v>
      </c>
      <c r="X45" t="s">
        <v>100</v>
      </c>
    </row>
    <row r="46" spans="6:24" ht="15.75">
      <c r="F46" s="2" t="s">
        <v>88</v>
      </c>
      <c r="G46" s="22">
        <v>1E-3</v>
      </c>
      <c r="H46" t="s">
        <v>172</v>
      </c>
      <c r="I46" s="22">
        <v>1E-3</v>
      </c>
      <c r="J46" s="22">
        <v>1E-3</v>
      </c>
      <c r="K46" t="s">
        <v>100</v>
      </c>
      <c r="L46" s="22">
        <v>1</v>
      </c>
      <c r="M46" s="22">
        <v>2000</v>
      </c>
      <c r="N46" s="124">
        <v>20</v>
      </c>
      <c r="U46" s="24" t="s">
        <v>173</v>
      </c>
      <c r="V46" s="24" t="s">
        <v>100</v>
      </c>
      <c r="W46" t="s">
        <v>172</v>
      </c>
      <c r="X46" t="s">
        <v>100</v>
      </c>
    </row>
    <row r="47" spans="6:24" ht="15.75">
      <c r="F47" s="2" t="s">
        <v>89</v>
      </c>
      <c r="G47" s="22">
        <v>1.0000000000000001E-5</v>
      </c>
      <c r="H47" t="s">
        <v>101</v>
      </c>
      <c r="I47" s="22">
        <v>1</v>
      </c>
      <c r="J47" s="22">
        <v>1.0000000000000001E-5</v>
      </c>
      <c r="K47" t="s">
        <v>174</v>
      </c>
      <c r="L47" s="125">
        <v>1000</v>
      </c>
      <c r="M47" s="22">
        <v>20000</v>
      </c>
      <c r="N47" s="124">
        <v>200</v>
      </c>
      <c r="U47" s="24" t="s">
        <v>101</v>
      </c>
      <c r="V47" s="24" t="s">
        <v>102</v>
      </c>
      <c r="W47" t="s">
        <v>101</v>
      </c>
      <c r="X47" t="s">
        <v>174</v>
      </c>
    </row>
    <row r="48" spans="6:24" ht="15.75">
      <c r="F48" s="2" t="s">
        <v>90</v>
      </c>
      <c r="G48" s="22">
        <v>1E-4</v>
      </c>
      <c r="H48" t="s">
        <v>101</v>
      </c>
      <c r="I48" s="22">
        <v>1</v>
      </c>
      <c r="J48" s="22">
        <v>1E-4</v>
      </c>
      <c r="K48" t="s">
        <v>174</v>
      </c>
      <c r="L48" s="125">
        <v>1000</v>
      </c>
      <c r="M48" s="22">
        <v>200000</v>
      </c>
      <c r="N48" s="124">
        <v>2000</v>
      </c>
      <c r="U48" s="24" t="s">
        <v>101</v>
      </c>
      <c r="V48" s="24" t="s">
        <v>102</v>
      </c>
      <c r="W48" t="s">
        <v>101</v>
      </c>
      <c r="X48" t="s">
        <v>174</v>
      </c>
    </row>
    <row r="49" spans="6:24" ht="15.75">
      <c r="F49" s="2" t="s">
        <v>91</v>
      </c>
      <c r="G49" s="22">
        <v>1E-4</v>
      </c>
      <c r="H49" t="s">
        <v>175</v>
      </c>
      <c r="I49" s="22">
        <v>9.9999999999999995E-7</v>
      </c>
      <c r="J49" s="22">
        <v>1E-4</v>
      </c>
      <c r="K49" t="s">
        <v>176</v>
      </c>
      <c r="L49" s="22">
        <v>1E-3</v>
      </c>
      <c r="U49" s="23" t="s">
        <v>177</v>
      </c>
      <c r="V49" s="24" t="s">
        <v>103</v>
      </c>
      <c r="W49" t="s">
        <v>175</v>
      </c>
      <c r="X49" t="s">
        <v>176</v>
      </c>
    </row>
    <row r="50" spans="6:24" ht="15.75">
      <c r="F50" s="2" t="s">
        <v>92</v>
      </c>
      <c r="G50" s="22">
        <v>1.0000000000000001E-5</v>
      </c>
      <c r="H50" t="s">
        <v>175</v>
      </c>
      <c r="I50" s="22">
        <v>9.9999999999999995E-7</v>
      </c>
      <c r="J50" s="22">
        <v>1.0000000000000001E-5</v>
      </c>
      <c r="K50" t="s">
        <v>176</v>
      </c>
      <c r="L50" s="22">
        <v>1E-3</v>
      </c>
      <c r="U50" s="23" t="s">
        <v>177</v>
      </c>
      <c r="V50" s="24" t="s">
        <v>103</v>
      </c>
      <c r="W50" t="s">
        <v>175</v>
      </c>
      <c r="X50" t="s">
        <v>176</v>
      </c>
    </row>
    <row r="51" spans="6:24" ht="15.75">
      <c r="F51" s="2" t="s">
        <v>36</v>
      </c>
      <c r="G51" s="22">
        <v>9.9999999999999995E-7</v>
      </c>
      <c r="H51" t="s">
        <v>175</v>
      </c>
      <c r="I51" s="22">
        <v>9.9999999999999995E-7</v>
      </c>
      <c r="J51" s="22">
        <v>9.9999999999999995E-7</v>
      </c>
      <c r="K51" t="s">
        <v>176</v>
      </c>
      <c r="L51" s="22">
        <v>1E-3</v>
      </c>
      <c r="U51" s="23" t="s">
        <v>177</v>
      </c>
      <c r="V51" s="24" t="s">
        <v>103</v>
      </c>
      <c r="W51" t="s">
        <v>175</v>
      </c>
      <c r="X51" t="s">
        <v>176</v>
      </c>
    </row>
    <row r="52" spans="6:24" ht="15.75">
      <c r="F52" s="2" t="s">
        <v>93</v>
      </c>
      <c r="G52" s="22">
        <v>1E-4</v>
      </c>
      <c r="H52" t="s">
        <v>104</v>
      </c>
      <c r="I52" s="22">
        <v>1.0000000000000001E-9</v>
      </c>
      <c r="J52" s="22">
        <v>1E-4</v>
      </c>
      <c r="K52" t="s">
        <v>178</v>
      </c>
      <c r="L52" s="22">
        <v>9.9999999999999995E-7</v>
      </c>
      <c r="U52" s="24" t="s">
        <v>104</v>
      </c>
      <c r="V52" s="23" t="s">
        <v>179</v>
      </c>
      <c r="W52" t="s">
        <v>104</v>
      </c>
      <c r="X52" t="s">
        <v>178</v>
      </c>
    </row>
    <row r="53" spans="6:24" ht="15.75">
      <c r="F53" s="2" t="s">
        <v>40</v>
      </c>
      <c r="G53" s="22">
        <v>1.0000000000000001E-5</v>
      </c>
      <c r="H53" t="s">
        <v>104</v>
      </c>
      <c r="I53" s="22">
        <v>1.0000000000000001E-9</v>
      </c>
      <c r="J53" s="22">
        <v>1.0000000000000001E-5</v>
      </c>
      <c r="K53" t="s">
        <v>178</v>
      </c>
      <c r="L53" s="22">
        <v>9.9999999999999995E-7</v>
      </c>
      <c r="U53" s="24" t="s">
        <v>104</v>
      </c>
      <c r="V53" s="23" t="s">
        <v>179</v>
      </c>
      <c r="W53" t="s">
        <v>104</v>
      </c>
      <c r="X53" t="s">
        <v>178</v>
      </c>
    </row>
    <row r="54" spans="6:24" ht="15.75">
      <c r="F54" s="2" t="s">
        <v>35</v>
      </c>
      <c r="G54" s="22">
        <v>1E-3</v>
      </c>
      <c r="H54" t="s">
        <v>105</v>
      </c>
      <c r="I54" s="22">
        <v>9.9999999999999998E-13</v>
      </c>
      <c r="J54" s="22">
        <v>1E-3</v>
      </c>
      <c r="K54" t="s">
        <v>1</v>
      </c>
      <c r="L54" s="22">
        <v>1.0000000000000001E-9</v>
      </c>
      <c r="U54" s="24" t="s">
        <v>105</v>
      </c>
      <c r="V54" s="24" t="s">
        <v>1</v>
      </c>
      <c r="W54" t="s">
        <v>105</v>
      </c>
      <c r="X54" t="s">
        <v>1</v>
      </c>
    </row>
    <row r="55" spans="6:24" ht="15.75">
      <c r="F55" s="2" t="s">
        <v>42</v>
      </c>
      <c r="G55" s="22">
        <v>1E-4</v>
      </c>
      <c r="H55" t="s">
        <v>105</v>
      </c>
      <c r="I55" s="22">
        <v>9.9999999999999998E-13</v>
      </c>
      <c r="J55" s="22">
        <v>1E-4</v>
      </c>
      <c r="K55" t="s">
        <v>1</v>
      </c>
      <c r="L55" s="22">
        <v>1.0000000000000001E-9</v>
      </c>
      <c r="U55" s="24" t="s">
        <v>105</v>
      </c>
      <c r="V55" s="24" t="s">
        <v>1</v>
      </c>
      <c r="W55" t="s">
        <v>105</v>
      </c>
      <c r="X55" t="s">
        <v>1</v>
      </c>
    </row>
    <row r="56" spans="6:24" ht="15.75">
      <c r="G56" s="22"/>
      <c r="H56" s="24"/>
      <c r="I56" s="22"/>
      <c r="J56" s="22"/>
      <c r="K56" s="23"/>
      <c r="L56" s="22"/>
    </row>
  </sheetData>
  <phoneticPr fontId="0" type="noConversion"/>
  <pageMargins left="0.75" right="0.75" top="1" bottom="1" header="0.5" footer="0.5"/>
  <pageSetup paperSize="9" scale="95" orientation="portrait" r:id="rId1"/>
  <headerFooter alignWithMargins="0">
    <oddHeader>&amp;A</oddHeader>
    <oddFooter>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H80"/>
  <sheetViews>
    <sheetView topLeftCell="Z1" zoomScale="80" zoomScaleNormal="80" workbookViewId="0">
      <selection activeCell="BJ1" sqref="BJ1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23.5703125" customWidth="1"/>
    <col min="44" max="44" width="7.7109375" customWidth="1"/>
    <col min="45" max="45" width="28.7109375" customWidth="1"/>
    <col min="46" max="46" width="9.140625" customWidth="1"/>
    <col min="47" max="48" width="11.42578125" customWidth="1"/>
    <col min="49" max="49" width="9.5703125" customWidth="1"/>
    <col min="50" max="50" width="9.140625" customWidth="1"/>
    <col min="54" max="54" width="12.42578125" bestFit="1" customWidth="1"/>
    <col min="59" max="59" width="13.140625" bestFit="1" customWidth="1"/>
    <col min="60" max="60" width="11.42578125" bestFit="1" customWidth="1"/>
  </cols>
  <sheetData>
    <row r="1" spans="1:60" ht="15.75">
      <c r="A1" s="26" t="s">
        <v>6</v>
      </c>
      <c r="F1" s="27" t="s">
        <v>7</v>
      </c>
      <c r="S1" t="s">
        <v>185</v>
      </c>
      <c r="AB1" s="12" t="s">
        <v>186</v>
      </c>
      <c r="AQ1" s="12" t="s">
        <v>187</v>
      </c>
      <c r="AR1" s="12"/>
      <c r="AU1" s="12" t="s">
        <v>188</v>
      </c>
      <c r="AV1" s="12"/>
      <c r="AZ1" s="172" t="s">
        <v>585</v>
      </c>
      <c r="BA1" s="172"/>
    </row>
    <row r="2" spans="1:60">
      <c r="A2" s="28" t="s">
        <v>8</v>
      </c>
      <c r="F2" s="28" t="s">
        <v>9</v>
      </c>
      <c r="U2" s="165" t="s">
        <v>577</v>
      </c>
      <c r="AB2" t="s">
        <v>189</v>
      </c>
      <c r="AP2" s="126"/>
      <c r="AQ2" s="28" t="s">
        <v>248</v>
      </c>
      <c r="AS2" s="28" t="s">
        <v>247</v>
      </c>
      <c r="AZ2" s="89" t="s">
        <v>581</v>
      </c>
      <c r="BB2" s="28" t="s">
        <v>582</v>
      </c>
      <c r="BG2" s="165" t="s">
        <v>690</v>
      </c>
    </row>
    <row r="3" spans="1:60">
      <c r="A3" s="29" t="s">
        <v>190</v>
      </c>
      <c r="C3" s="30"/>
      <c r="F3" s="28" t="s">
        <v>10</v>
      </c>
      <c r="G3">
        <v>1.96</v>
      </c>
      <c r="L3" t="s">
        <v>106</v>
      </c>
      <c r="S3" s="2" t="s">
        <v>16</v>
      </c>
      <c r="T3" t="s">
        <v>191</v>
      </c>
      <c r="U3" t="s">
        <v>192</v>
      </c>
      <c r="V3" t="s">
        <v>193</v>
      </c>
      <c r="W3" t="s">
        <v>194</v>
      </c>
      <c r="X3" t="s">
        <v>195</v>
      </c>
      <c r="Y3" t="s">
        <v>196</v>
      </c>
      <c r="AB3" s="2" t="s">
        <v>16</v>
      </c>
      <c r="AC3" s="2" t="s">
        <v>197</v>
      </c>
      <c r="AD3" s="2" t="s">
        <v>17</v>
      </c>
      <c r="AE3" s="2" t="s">
        <v>237</v>
      </c>
      <c r="AF3" s="2" t="s">
        <v>17</v>
      </c>
      <c r="AG3" s="2" t="s">
        <v>238</v>
      </c>
      <c r="AH3" s="2" t="s">
        <v>33</v>
      </c>
      <c r="AI3" s="2" t="s">
        <v>198</v>
      </c>
      <c r="AJ3" s="2" t="s">
        <v>199</v>
      </c>
      <c r="AK3" s="2" t="s">
        <v>200</v>
      </c>
      <c r="AL3" s="2" t="s">
        <v>201</v>
      </c>
      <c r="AM3" s="2" t="s">
        <v>199</v>
      </c>
      <c r="AN3" s="2" t="s">
        <v>202</v>
      </c>
      <c r="AO3" s="2" t="s">
        <v>203</v>
      </c>
      <c r="AP3" s="127"/>
      <c r="AQ3" s="28" t="s">
        <v>105</v>
      </c>
      <c r="AR3" s="2" t="s">
        <v>204</v>
      </c>
      <c r="AS3" s="28"/>
      <c r="AT3" s="2" t="s">
        <v>204</v>
      </c>
      <c r="AU3" t="s">
        <v>0</v>
      </c>
      <c r="AW3" t="s">
        <v>153</v>
      </c>
      <c r="AZ3" s="89" t="s">
        <v>583</v>
      </c>
      <c r="BA3" s="2" t="s">
        <v>204</v>
      </c>
      <c r="BB3" s="28" t="s">
        <v>584</v>
      </c>
      <c r="BC3" s="2" t="s">
        <v>204</v>
      </c>
      <c r="BG3" s="165" t="s">
        <v>689</v>
      </c>
    </row>
    <row r="4" spans="1:60">
      <c r="F4" s="28" t="s">
        <v>11</v>
      </c>
      <c r="G4">
        <v>2.3719999999999999</v>
      </c>
      <c r="L4" t="s">
        <v>108</v>
      </c>
      <c r="S4" s="86"/>
      <c r="AB4" s="86"/>
      <c r="AC4" s="128">
        <f>F80</f>
        <v>1.0564057723535462E-2</v>
      </c>
      <c r="AD4" s="129">
        <f>F78</f>
        <v>3.0459980693003432</v>
      </c>
      <c r="AE4" s="128">
        <f>F66</f>
        <v>8.7826006992863595E-2</v>
      </c>
      <c r="AF4" s="129">
        <f>F64</f>
        <v>2.1239595083866862</v>
      </c>
      <c r="AG4" s="170" t="s">
        <v>244</v>
      </c>
      <c r="BE4" t="s">
        <v>648</v>
      </c>
      <c r="BF4" t="s">
        <v>649</v>
      </c>
    </row>
    <row r="5" spans="1:60">
      <c r="A5" s="28" t="s">
        <v>12</v>
      </c>
      <c r="B5" s="33"/>
      <c r="F5" s="28" t="s">
        <v>13</v>
      </c>
      <c r="G5">
        <v>1.2737000000000001</v>
      </c>
      <c r="S5" s="169" t="s">
        <v>678</v>
      </c>
      <c r="T5">
        <v>0</v>
      </c>
      <c r="U5">
        <f>pyUBreadings!N9*1000000</f>
        <v>0</v>
      </c>
      <c r="V5">
        <v>0</v>
      </c>
      <c r="W5">
        <f>pyUBreadings!K9*1000000</f>
        <v>0</v>
      </c>
      <c r="X5">
        <v>0</v>
      </c>
      <c r="Y5">
        <v>0</v>
      </c>
      <c r="AB5" s="86" t="s">
        <v>678</v>
      </c>
      <c r="AC5" s="128">
        <f t="dataTable" ref="AC5:AF55" dt2D="0" dtr="0" r1="B9"/>
        <v>4.1505281930467056E-4</v>
      </c>
      <c r="AD5" s="129">
        <v>2.5928143745502004</v>
      </c>
      <c r="AE5" s="128">
        <v>3.0956712246059648E-3</v>
      </c>
      <c r="AF5" s="129">
        <v>2.1889700868465272</v>
      </c>
      <c r="AG5" s="171" t="e">
        <f>AE5*AM5/(2*PI()*AO5*AI5*AJ5)*1000</f>
        <v>#DIV/0!</v>
      </c>
      <c r="AH5" t="str">
        <f t="shared" ref="AH5:AH36" si="0">VLOOKUP(AB5, Results,2,FALSE)</f>
        <v>1Z</v>
      </c>
      <c r="AI5">
        <f>VLOOKUP(AB5,Results,5,FALSE)</f>
        <v>0</v>
      </c>
      <c r="AJ5" s="130">
        <f t="shared" ref="AJ5:AJ36" si="1">VLOOKUP(AH5,multiplier,4,FALSE)</f>
        <v>9.9999999999999995E-7</v>
      </c>
      <c r="AK5" s="130">
        <f t="shared" ref="AK5:AK36" si="2">VLOOKUP(AH5,multiplier,8,FALSE)</f>
        <v>0.2</v>
      </c>
      <c r="AL5">
        <f>VLOOKUP(AB5,Results,7,FALSE)</f>
        <v>0</v>
      </c>
      <c r="AM5" s="130">
        <f t="shared" ref="AM5:AM36" si="3">VLOOKUP(AH5,multiplier,7,FALSE)</f>
        <v>1E-3</v>
      </c>
      <c r="AN5" s="130">
        <f t="shared" ref="AN5:AN36" si="4">VLOOKUP(AH5,multiplier,9,FALSE)</f>
        <v>2E-3</v>
      </c>
      <c r="AO5">
        <f t="shared" ref="AO5:AO36" si="5">VLOOKUP(AB5,Results,9,FALSE)</f>
        <v>1600</v>
      </c>
      <c r="AQ5" s="130">
        <f>0.2/AO5+22*AI5*AJ5*1000000</f>
        <v>1.25E-4</v>
      </c>
      <c r="AR5" s="81">
        <f>AQ5*0.000000000001/(AC5*AJ5)</f>
        <v>3.0116648818193776E-7</v>
      </c>
      <c r="AS5" s="157" t="e">
        <f>0.000027+0.00027/(AI5*AJ5*1000000000000)</f>
        <v>#DIV/0!</v>
      </c>
      <c r="AT5" s="84" t="e">
        <f>AS5*1000/AG5</f>
        <v>#DIV/0!</v>
      </c>
      <c r="AU5" s="131">
        <f>AQ5</f>
        <v>1.25E-4</v>
      </c>
      <c r="AV5" s="81">
        <f>AU5*0.000000000001/(AC5*AJ5)</f>
        <v>3.0116648818193776E-7</v>
      </c>
      <c r="AW5" s="131">
        <f>0.00003*1000</f>
        <v>3.0000000000000002E-2</v>
      </c>
      <c r="AX5" s="84" t="e">
        <f>AW5/AG5</f>
        <v>#DIV/0!</v>
      </c>
      <c r="AZ5">
        <f>SQRT((0.000014*AI5*1000)^2+(0.001*AL5)^2+(200/AO5)^2)*0.001</f>
        <v>1.25E-4</v>
      </c>
      <c r="BA5" s="84">
        <f>AZ5/AC5</f>
        <v>0.30116648818193775</v>
      </c>
      <c r="BB5">
        <f>SQRT((0.000014*AL5)^2+(0.0000001*AI5*1000)^2+(2/AO5)^2)*0.001</f>
        <v>1.2500000000000001E-6</v>
      </c>
      <c r="BC5" s="322">
        <f>BB5/AE5</f>
        <v>4.0378964990350595E-4</v>
      </c>
      <c r="BE5">
        <v>1.2564550530897709E-10</v>
      </c>
      <c r="BF5">
        <v>1.2564550456372871E-6</v>
      </c>
      <c r="BG5" s="81">
        <f>BE5/AZ5*1000000</f>
        <v>1.0051640424718167</v>
      </c>
      <c r="BH5" s="81">
        <f>BF5/BB5</f>
        <v>1.0051640365098296</v>
      </c>
    </row>
    <row r="6" spans="1:60">
      <c r="A6" s="28" t="s">
        <v>14</v>
      </c>
      <c r="B6" s="33"/>
      <c r="F6" s="28" t="s">
        <v>15</v>
      </c>
      <c r="G6">
        <v>7.0961999999999996</v>
      </c>
      <c r="S6" s="169" t="s">
        <v>675</v>
      </c>
      <c r="T6">
        <v>0</v>
      </c>
      <c r="U6">
        <f>pyUBreadings!N10*1000000</f>
        <v>10</v>
      </c>
      <c r="V6">
        <v>0</v>
      </c>
      <c r="W6">
        <f>pyUBreadings!K10*1000000</f>
        <v>10</v>
      </c>
      <c r="X6">
        <v>0</v>
      </c>
      <c r="Y6">
        <v>0</v>
      </c>
      <c r="AB6" s="86" t="s">
        <v>675</v>
      </c>
      <c r="AC6" s="128">
        <v>4.1449628776330611E-4</v>
      </c>
      <c r="AD6" s="129">
        <v>2.5759335219007511</v>
      </c>
      <c r="AE6" s="128">
        <v>3.175909511665321E-3</v>
      </c>
      <c r="AF6" s="129">
        <v>2.1514427153810352</v>
      </c>
      <c r="AG6" s="171">
        <f t="shared" ref="AG6:AG55" si="6">AE6*AM6/(2*PI()*AO6*AI6*AJ6)*1000</f>
        <v>23.927711439348954</v>
      </c>
      <c r="AH6" t="str">
        <f t="shared" si="0"/>
        <v>1Z</v>
      </c>
      <c r="AI6">
        <f t="shared" ref="AI6:AI59" si="7">VLOOKUP(AB6,Results,5,FALSE)</f>
        <v>1.3202832280767015E-2</v>
      </c>
      <c r="AJ6" s="130">
        <f t="shared" si="1"/>
        <v>9.9999999999999995E-7</v>
      </c>
      <c r="AK6" s="130">
        <f t="shared" si="2"/>
        <v>0.2</v>
      </c>
      <c r="AL6">
        <f t="shared" ref="AL6:AL59" si="8">VLOOKUP(AB6,Results,7,FALSE)</f>
        <v>10.22061100103809</v>
      </c>
      <c r="AM6" s="130">
        <f t="shared" si="3"/>
        <v>1E-3</v>
      </c>
      <c r="AN6" s="130">
        <f t="shared" si="4"/>
        <v>2E-3</v>
      </c>
      <c r="AO6">
        <f t="shared" si="5"/>
        <v>1600</v>
      </c>
      <c r="AQ6" s="130">
        <f t="shared" ref="AQ6:AQ11" si="9">0.2/AO6+22*AI6*AJ6*1000000</f>
        <v>0.29058731017687434</v>
      </c>
      <c r="AR6" s="81">
        <f t="shared" ref="AR6:AR11" si="10">AQ6*0.000000000001/(AC6*AJ6)</f>
        <v>7.0106130924581711E-4</v>
      </c>
      <c r="AS6" s="157">
        <f t="shared" ref="AS6:AS11" si="11">0.000027+0.00027/(AI6*AJ6*1000000000000)</f>
        <v>2.7020450157531221E-5</v>
      </c>
      <c r="AT6" s="84">
        <f t="shared" ref="AT6:AT11" si="12">AS6*1000/AG6</f>
        <v>1.1292534276009481E-3</v>
      </c>
      <c r="AU6" s="131">
        <f t="shared" ref="AU6:AU11" si="13">AQ6</f>
        <v>0.29058731017687434</v>
      </c>
      <c r="AV6" s="81">
        <f t="shared" ref="AV6:AV11" si="14">AU6*0.000000000001/(AC6*AJ6)</f>
        <v>7.0106130924581711E-4</v>
      </c>
      <c r="AW6" s="131">
        <f t="shared" ref="AW6:AW55" si="15">0.00003*1000</f>
        <v>3.0000000000000002E-2</v>
      </c>
      <c r="AX6" s="84">
        <f t="shared" ref="AX6:AX11" si="16">AW6/AG6</f>
        <v>1.2537764038170909E-3</v>
      </c>
      <c r="AZ6">
        <f t="shared" ref="AZ6:AZ31" si="17">SQRT((0.000014*AI6*1000)^2+(0.001*AL6)^2+(200/AO6)^2)*0.001</f>
        <v>1.2541728371692423E-4</v>
      </c>
      <c r="BA6" s="84">
        <f t="shared" ref="BA6:BA24" si="18">AZ6/AC6</f>
        <v>0.30257758011223129</v>
      </c>
      <c r="BB6">
        <f t="shared" ref="BB6:BB31" si="19">SQRT((0.000014*AL6)^2+(0.0000001*AI6*1000)^2+(2/AO6)^2)*0.001</f>
        <v>1.2581637721051153E-6</v>
      </c>
      <c r="BC6" s="322">
        <f t="shared" ref="BC6:BC24" si="20">BB6/AE6</f>
        <v>3.9615857047683452E-4</v>
      </c>
      <c r="BE6">
        <v>1.2606684559454249E-10</v>
      </c>
      <c r="BF6">
        <v>1.264638334245945E-6</v>
      </c>
      <c r="BG6" s="81">
        <f t="shared" ref="BG6:BG31" si="21">BE6/AZ6*1000000</f>
        <v>1.005179205436185</v>
      </c>
      <c r="BH6" s="81">
        <f t="shared" ref="BH6:BH31" si="22">BF6/BB6</f>
        <v>1.0051460408290065</v>
      </c>
    </row>
    <row r="7" spans="1:60">
      <c r="A7" s="28" t="s">
        <v>18</v>
      </c>
      <c r="B7" s="33"/>
      <c r="O7" s="2"/>
      <c r="P7" s="2"/>
      <c r="Q7" s="2"/>
      <c r="R7" s="2"/>
      <c r="S7" s="169" t="s">
        <v>670</v>
      </c>
      <c r="T7">
        <v>0</v>
      </c>
      <c r="U7">
        <f>pyUBreadings!N11*1000000</f>
        <v>0</v>
      </c>
      <c r="V7">
        <v>0</v>
      </c>
      <c r="W7">
        <f>pyUBreadings!K11*1000000</f>
        <v>0</v>
      </c>
      <c r="X7">
        <v>0</v>
      </c>
      <c r="Y7">
        <v>0</v>
      </c>
      <c r="Z7" s="2"/>
      <c r="AA7" s="2"/>
      <c r="AB7" s="86" t="s">
        <v>670</v>
      </c>
      <c r="AC7" s="128">
        <v>4.8606491070381496E-4</v>
      </c>
      <c r="AD7" s="129">
        <v>2.1404052849074295</v>
      </c>
      <c r="AE7" s="128">
        <v>9.2125976662696483E-3</v>
      </c>
      <c r="AF7" s="129">
        <v>2.0931847132743893</v>
      </c>
      <c r="AG7" s="171">
        <f t="shared" si="6"/>
        <v>44.692558552616241</v>
      </c>
      <c r="AH7" t="str">
        <f t="shared" si="0"/>
        <v>1Z</v>
      </c>
      <c r="AI7">
        <f t="shared" si="7"/>
        <v>2.0504398617857866E-2</v>
      </c>
      <c r="AJ7" s="130">
        <f t="shared" si="1"/>
        <v>9.9999999999999995E-7</v>
      </c>
      <c r="AK7" s="130">
        <f t="shared" si="2"/>
        <v>0.2</v>
      </c>
      <c r="AL7">
        <f t="shared" si="8"/>
        <v>100.67821867110634</v>
      </c>
      <c r="AM7" s="130">
        <f t="shared" si="3"/>
        <v>1E-3</v>
      </c>
      <c r="AN7" s="130">
        <f t="shared" si="4"/>
        <v>2E-3</v>
      </c>
      <c r="AO7">
        <f t="shared" si="5"/>
        <v>1600</v>
      </c>
      <c r="AQ7" s="130">
        <f t="shared" si="9"/>
        <v>0.45122176959287302</v>
      </c>
      <c r="AR7" s="81">
        <f t="shared" si="10"/>
        <v>9.2831586822325943E-4</v>
      </c>
      <c r="AS7" s="157">
        <f t="shared" si="11"/>
        <v>2.7013167906312786E-5</v>
      </c>
      <c r="AT7" s="84">
        <f t="shared" si="12"/>
        <v>6.0442205103362727E-4</v>
      </c>
      <c r="AU7" s="131">
        <f t="shared" si="13"/>
        <v>0.45122176959287302</v>
      </c>
      <c r="AV7" s="81">
        <f t="shared" si="14"/>
        <v>9.2831586822325943E-4</v>
      </c>
      <c r="AW7" s="131">
        <f t="shared" si="15"/>
        <v>3.0000000000000002E-2</v>
      </c>
      <c r="AX7" s="84">
        <f t="shared" si="16"/>
        <v>6.7125268661182621E-4</v>
      </c>
      <c r="AZ7">
        <f t="shared" si="17"/>
        <v>1.6050291623250399E-4</v>
      </c>
      <c r="BA7" s="84">
        <f t="shared" si="18"/>
        <v>0.33020881100036226</v>
      </c>
      <c r="BB7">
        <f t="shared" si="19"/>
        <v>1.8839268914694912E-6</v>
      </c>
      <c r="BC7" s="322">
        <f t="shared" si="20"/>
        <v>2.0449464523639922E-4</v>
      </c>
      <c r="BE7">
        <v>1.6102156295619469E-10</v>
      </c>
      <c r="BF7">
        <v>1.8883480475805711E-6</v>
      </c>
      <c r="BG7" s="81">
        <f t="shared" si="21"/>
        <v>1.0032313850481034</v>
      </c>
      <c r="BH7" s="81">
        <f t="shared" si="22"/>
        <v>1.0023467769004726</v>
      </c>
    </row>
    <row r="8" spans="1:60">
      <c r="A8" s="28" t="s">
        <v>19</v>
      </c>
      <c r="B8" s="33"/>
      <c r="O8" s="2"/>
      <c r="P8" s="34"/>
      <c r="Q8" s="35"/>
      <c r="R8" s="36"/>
      <c r="S8" s="169" t="s">
        <v>673</v>
      </c>
      <c r="T8">
        <v>0</v>
      </c>
      <c r="U8">
        <f>pyUBreadings!N12*1000000</f>
        <v>10</v>
      </c>
      <c r="V8">
        <v>0</v>
      </c>
      <c r="W8">
        <f>pyUBreadings!K12*1000000</f>
        <v>10</v>
      </c>
      <c r="X8">
        <v>0</v>
      </c>
      <c r="Y8">
        <v>0</v>
      </c>
      <c r="Z8" s="36"/>
      <c r="AA8" s="35"/>
      <c r="AB8" s="86" t="s">
        <v>673</v>
      </c>
      <c r="AC8" s="128">
        <v>4.6777730995889319E-4</v>
      </c>
      <c r="AD8" s="129">
        <v>2.1602754702537283</v>
      </c>
      <c r="AE8" s="128">
        <v>8.4159263300791435E-3</v>
      </c>
      <c r="AF8" s="129">
        <v>2.0880924239523893</v>
      </c>
      <c r="AG8" s="171">
        <f t="shared" si="6"/>
        <v>1673.9361741592927</v>
      </c>
      <c r="AH8" t="str">
        <f t="shared" si="0"/>
        <v>1Z</v>
      </c>
      <c r="AI8">
        <f t="shared" si="7"/>
        <v>5.001072833623869E-4</v>
      </c>
      <c r="AJ8" s="130">
        <f t="shared" si="1"/>
        <v>9.9999999999999995E-7</v>
      </c>
      <c r="AK8" s="130">
        <f t="shared" si="2"/>
        <v>0.2</v>
      </c>
      <c r="AL8">
        <f t="shared" si="8"/>
        <v>91.142548616703365</v>
      </c>
      <c r="AM8" s="130">
        <f t="shared" si="3"/>
        <v>1E-3</v>
      </c>
      <c r="AN8" s="130">
        <f t="shared" si="4"/>
        <v>2E-3</v>
      </c>
      <c r="AO8">
        <f t="shared" si="5"/>
        <v>1600</v>
      </c>
      <c r="AQ8" s="130">
        <f t="shared" si="9"/>
        <v>1.1127360233972513E-2</v>
      </c>
      <c r="AR8" s="81">
        <f t="shared" si="10"/>
        <v>2.3787729753181807E-5</v>
      </c>
      <c r="AS8" s="157">
        <f t="shared" si="11"/>
        <v>2.7539884158824282E-5</v>
      </c>
      <c r="AT8" s="84">
        <f t="shared" si="12"/>
        <v>1.645217098713799E-5</v>
      </c>
      <c r="AU8" s="131">
        <f t="shared" si="13"/>
        <v>1.1127360233972513E-2</v>
      </c>
      <c r="AV8" s="81">
        <f t="shared" si="14"/>
        <v>2.3787729753181807E-5</v>
      </c>
      <c r="AW8" s="131">
        <f t="shared" si="15"/>
        <v>3.0000000000000002E-2</v>
      </c>
      <c r="AX8" s="84">
        <f t="shared" si="16"/>
        <v>1.7921830272332226E-5</v>
      </c>
      <c r="AZ8">
        <f t="shared" si="17"/>
        <v>1.5469959346219747E-4</v>
      </c>
      <c r="BA8" s="84">
        <f t="shared" si="18"/>
        <v>0.33071205073155852</v>
      </c>
      <c r="BB8">
        <f t="shared" si="19"/>
        <v>1.7862432587688909E-6</v>
      </c>
      <c r="BC8" s="322">
        <f t="shared" si="20"/>
        <v>2.1224559112224229E-4</v>
      </c>
      <c r="BE8">
        <v>1.552439929669135E-10</v>
      </c>
      <c r="BF8">
        <v>1.790960043508661E-6</v>
      </c>
      <c r="BG8" s="81">
        <f t="shared" si="21"/>
        <v>1.0035190752123666</v>
      </c>
      <c r="BH8" s="81">
        <f t="shared" si="22"/>
        <v>1.0026406172376661</v>
      </c>
    </row>
    <row r="9" spans="1:60">
      <c r="A9" s="37" t="s">
        <v>205</v>
      </c>
      <c r="B9" s="38" t="s">
        <v>656</v>
      </c>
      <c r="O9" s="2"/>
      <c r="P9" s="31"/>
      <c r="Q9" s="32"/>
      <c r="R9" s="31"/>
      <c r="S9" s="169" t="s">
        <v>667</v>
      </c>
      <c r="T9">
        <v>0</v>
      </c>
      <c r="U9">
        <f>pyUBreadings!N13*1000000</f>
        <v>10</v>
      </c>
      <c r="V9">
        <v>0</v>
      </c>
      <c r="W9">
        <f>pyUBreadings!K13*1000000</f>
        <v>10</v>
      </c>
      <c r="X9">
        <v>0</v>
      </c>
      <c r="Y9">
        <v>0</v>
      </c>
      <c r="Z9" s="31"/>
      <c r="AA9" s="32"/>
      <c r="AB9" s="86" t="s">
        <v>667</v>
      </c>
      <c r="AC9" s="128">
        <v>3.4498399647246809E-3</v>
      </c>
      <c r="AD9" s="129">
        <v>2.1491902260737841</v>
      </c>
      <c r="AE9" s="128">
        <v>8.7846543534923965E-2</v>
      </c>
      <c r="AF9" s="129">
        <v>2.1237575155210773</v>
      </c>
      <c r="AG9" s="171">
        <f t="shared" si="6"/>
        <v>455.01993417553439</v>
      </c>
      <c r="AH9" t="str">
        <f t="shared" si="0"/>
        <v>1Z</v>
      </c>
      <c r="AI9">
        <f t="shared" si="7"/>
        <v>1.9204119681115659E-2</v>
      </c>
      <c r="AJ9" s="130">
        <f t="shared" si="1"/>
        <v>9.9999999999999995E-7</v>
      </c>
      <c r="AK9" s="130">
        <f t="shared" si="2"/>
        <v>0.2</v>
      </c>
      <c r="AL9">
        <f t="shared" si="8"/>
        <v>998.29777950248149</v>
      </c>
      <c r="AM9" s="130">
        <f t="shared" si="3"/>
        <v>1E-3</v>
      </c>
      <c r="AN9" s="130">
        <f t="shared" si="4"/>
        <v>2E-3</v>
      </c>
      <c r="AO9">
        <f t="shared" si="5"/>
        <v>1600</v>
      </c>
      <c r="AQ9" s="130">
        <f t="shared" si="9"/>
        <v>0.42261563298454441</v>
      </c>
      <c r="AR9" s="81">
        <f t="shared" si="10"/>
        <v>1.2250296747265836E-4</v>
      </c>
      <c r="AS9" s="157">
        <f t="shared" si="11"/>
        <v>2.7014059483302716E-5</v>
      </c>
      <c r="AT9" s="84">
        <f t="shared" si="12"/>
        <v>5.9368958268279789E-5</v>
      </c>
      <c r="AU9" s="131">
        <f t="shared" si="13"/>
        <v>0.42261563298454441</v>
      </c>
      <c r="AV9" s="81">
        <f t="shared" si="14"/>
        <v>1.2250296747265836E-4</v>
      </c>
      <c r="AW9" s="131">
        <f t="shared" si="15"/>
        <v>3.0000000000000002E-2</v>
      </c>
      <c r="AX9" s="84">
        <f t="shared" si="16"/>
        <v>6.5931177398541877E-5</v>
      </c>
      <c r="AZ9">
        <f t="shared" si="17"/>
        <v>1.0060932008735745E-3</v>
      </c>
      <c r="BA9" s="84">
        <f t="shared" si="18"/>
        <v>0.29163474571605735</v>
      </c>
      <c r="BB9">
        <f t="shared" si="19"/>
        <v>1.4031956427158004E-5</v>
      </c>
      <c r="BC9" s="322">
        <f t="shared" si="20"/>
        <v>1.597325957575042E-4</v>
      </c>
      <c r="BE9">
        <v>1.0061874603159411E-9</v>
      </c>
      <c r="BF9">
        <v>1.403269852889649E-5</v>
      </c>
      <c r="BG9" s="81">
        <f t="shared" si="21"/>
        <v>1.000093688579035</v>
      </c>
      <c r="BH9" s="81">
        <f t="shared" si="22"/>
        <v>1.0000528865480973</v>
      </c>
    </row>
    <row r="10" spans="1:60" ht="15.75">
      <c r="A10" s="39" t="s">
        <v>206</v>
      </c>
      <c r="B10" s="40"/>
      <c r="C10" s="41"/>
      <c r="D10" s="42"/>
      <c r="F10" s="28" t="s">
        <v>20</v>
      </c>
      <c r="O10" s="2"/>
      <c r="P10" s="31"/>
      <c r="Q10" s="32"/>
      <c r="R10" s="31"/>
      <c r="S10" s="169" t="s">
        <v>676</v>
      </c>
      <c r="T10">
        <v>0</v>
      </c>
      <c r="U10">
        <f>pyUBreadings!N14*1000000</f>
        <v>10</v>
      </c>
      <c r="V10">
        <v>0</v>
      </c>
      <c r="W10">
        <f>pyUBreadings!K14*1000000</f>
        <v>10</v>
      </c>
      <c r="X10">
        <v>0</v>
      </c>
      <c r="Y10">
        <v>0</v>
      </c>
      <c r="Z10" s="31"/>
      <c r="AA10" s="32"/>
      <c r="AB10" s="86" t="s">
        <v>676</v>
      </c>
      <c r="AC10" s="128">
        <v>3.3147583787163292E-3</v>
      </c>
      <c r="AD10" s="129">
        <v>2.1488632591728041</v>
      </c>
      <c r="AE10" s="128">
        <v>8.4387332333307266E-2</v>
      </c>
      <c r="AF10" s="129">
        <v>2.1237236463291507</v>
      </c>
      <c r="AG10" s="171">
        <f t="shared" si="6"/>
        <v>-4936.683794274215</v>
      </c>
      <c r="AH10" t="str">
        <f t="shared" si="0"/>
        <v>1Z</v>
      </c>
      <c r="AI10">
        <f t="shared" si="7"/>
        <v>-1.7003647634321159E-3</v>
      </c>
      <c r="AJ10" s="130">
        <f t="shared" si="1"/>
        <v>9.9999999999999995E-7</v>
      </c>
      <c r="AK10" s="130">
        <f t="shared" si="2"/>
        <v>0.2</v>
      </c>
      <c r="AL10">
        <f t="shared" si="8"/>
        <v>958.95532756100022</v>
      </c>
      <c r="AM10" s="130">
        <f t="shared" si="3"/>
        <v>1E-3</v>
      </c>
      <c r="AN10" s="130">
        <f t="shared" si="4"/>
        <v>2E-3</v>
      </c>
      <c r="AO10">
        <f t="shared" si="5"/>
        <v>1600</v>
      </c>
      <c r="AQ10" s="130">
        <f t="shared" si="9"/>
        <v>-3.7283024795506547E-2</v>
      </c>
      <c r="AR10" s="81">
        <f t="shared" si="10"/>
        <v>-1.1247584449864108E-5</v>
      </c>
      <c r="AS10" s="157">
        <f t="shared" si="11"/>
        <v>2.6841210541522268E-5</v>
      </c>
      <c r="AT10" s="84">
        <f t="shared" si="12"/>
        <v>-5.4370933323000953E-6</v>
      </c>
      <c r="AU10" s="131">
        <f t="shared" si="13"/>
        <v>-3.7283024795506547E-2</v>
      </c>
      <c r="AV10" s="81">
        <f t="shared" si="14"/>
        <v>-1.1247584449864108E-5</v>
      </c>
      <c r="AW10" s="131">
        <f t="shared" si="15"/>
        <v>3.0000000000000002E-2</v>
      </c>
      <c r="AX10" s="84">
        <f t="shared" si="16"/>
        <v>-6.0769539330826366E-6</v>
      </c>
      <c r="AZ10">
        <f t="shared" si="17"/>
        <v>9.6706789876632162E-4</v>
      </c>
      <c r="BA10" s="84">
        <f t="shared" si="18"/>
        <v>0.2917461209166104</v>
      </c>
      <c r="BB10">
        <f t="shared" si="19"/>
        <v>1.3483441059292206E-5</v>
      </c>
      <c r="BC10" s="322">
        <f t="shared" si="20"/>
        <v>1.5978039222802113E-4</v>
      </c>
      <c r="BE10">
        <v>9.6716802939039352E-10</v>
      </c>
      <c r="BF10">
        <v>1.3484222564776881E-5</v>
      </c>
      <c r="BG10" s="81">
        <f t="shared" si="21"/>
        <v>1.0001035404279262</v>
      </c>
      <c r="BH10" s="81">
        <f t="shared" si="22"/>
        <v>1.0000579603886899</v>
      </c>
    </row>
    <row r="11" spans="1:60">
      <c r="A11" s="43"/>
      <c r="B11" s="44" t="s">
        <v>21</v>
      </c>
      <c r="C11" s="132" t="s">
        <v>207</v>
      </c>
      <c r="D11" s="132">
        <f>VLOOKUP(label,Results,3,FALSE)</f>
        <v>210</v>
      </c>
      <c r="E11" s="133" t="s">
        <v>241</v>
      </c>
      <c r="F11" s="43"/>
      <c r="O11" s="2"/>
      <c r="P11" s="31"/>
      <c r="Q11" s="32"/>
      <c r="R11" s="31"/>
      <c r="S11" s="169" t="s">
        <v>679</v>
      </c>
      <c r="T11">
        <v>0</v>
      </c>
      <c r="U11">
        <f>pyUBreadings!N15*1000000</f>
        <v>10</v>
      </c>
      <c r="V11">
        <v>0</v>
      </c>
      <c r="W11">
        <f>pyUBreadings!K15*1000000</f>
        <v>10</v>
      </c>
      <c r="X11">
        <v>0</v>
      </c>
      <c r="Y11">
        <v>0</v>
      </c>
      <c r="Z11" s="31"/>
      <c r="AA11" s="32"/>
      <c r="AB11" s="86" t="s">
        <v>679</v>
      </c>
      <c r="AC11" s="128">
        <v>1.3367077683390308E-2</v>
      </c>
      <c r="AD11" s="129">
        <v>4.3420077282808167</v>
      </c>
      <c r="AE11" s="128">
        <v>3.0956713767841225E-3</v>
      </c>
      <c r="AF11" s="129">
        <v>2.1889699965869607</v>
      </c>
      <c r="AG11" s="171" t="e">
        <f t="shared" si="6"/>
        <v>#DIV/0!</v>
      </c>
      <c r="AH11" t="str">
        <f t="shared" si="0"/>
        <v>1Z</v>
      </c>
      <c r="AI11">
        <f t="shared" si="7"/>
        <v>0</v>
      </c>
      <c r="AJ11" s="130">
        <f t="shared" si="1"/>
        <v>9.9999999999999995E-7</v>
      </c>
      <c r="AK11" s="130">
        <f t="shared" si="2"/>
        <v>0.2</v>
      </c>
      <c r="AL11">
        <f t="shared" si="8"/>
        <v>0</v>
      </c>
      <c r="AM11" s="130">
        <f t="shared" si="3"/>
        <v>1E-3</v>
      </c>
      <c r="AN11" s="130">
        <f t="shared" si="4"/>
        <v>2E-3</v>
      </c>
      <c r="AO11" t="str">
        <f t="shared" si="5"/>
        <v>65</v>
      </c>
      <c r="AQ11" s="130">
        <f t="shared" si="9"/>
        <v>3.0769230769230769E-3</v>
      </c>
      <c r="AR11" s="81">
        <f t="shared" si="10"/>
        <v>2.3018666830569907E-7</v>
      </c>
      <c r="AS11" s="157" t="e">
        <f t="shared" si="11"/>
        <v>#DIV/0!</v>
      </c>
      <c r="AT11" s="84" t="e">
        <f t="shared" si="12"/>
        <v>#DIV/0!</v>
      </c>
      <c r="AU11" s="131">
        <f t="shared" si="13"/>
        <v>3.0769230769230769E-3</v>
      </c>
      <c r="AV11" s="81">
        <f t="shared" si="14"/>
        <v>2.3018666830569907E-7</v>
      </c>
      <c r="AW11" s="131">
        <f t="shared" si="15"/>
        <v>3.0000000000000002E-2</v>
      </c>
      <c r="AX11" s="84" t="e">
        <f t="shared" si="16"/>
        <v>#DIV/0!</v>
      </c>
      <c r="AZ11">
        <f t="shared" si="17"/>
        <v>3.0769230769230774E-3</v>
      </c>
      <c r="BA11" s="84">
        <f t="shared" si="18"/>
        <v>0.23018666830569909</v>
      </c>
      <c r="BB11">
        <f t="shared" si="19"/>
        <v>3.0769230769230774E-5</v>
      </c>
      <c r="BC11" s="322">
        <f t="shared" si="20"/>
        <v>9.9394370474797569E-3</v>
      </c>
      <c r="BE11">
        <v>3.0721966210946702E-9</v>
      </c>
      <c r="BF11">
        <v>3.0721966208449383E-5</v>
      </c>
      <c r="BG11" s="81">
        <f t="shared" si="21"/>
        <v>0.99846390185576761</v>
      </c>
      <c r="BH11" s="81">
        <f t="shared" si="22"/>
        <v>0.99846390177460476</v>
      </c>
    </row>
    <row r="12" spans="1:60">
      <c r="A12" s="45" t="s">
        <v>22</v>
      </c>
      <c r="B12" s="44" t="s">
        <v>23</v>
      </c>
      <c r="E12" s="46" t="s">
        <v>24</v>
      </c>
      <c r="S12" s="169" t="s">
        <v>653</v>
      </c>
      <c r="T12">
        <v>0</v>
      </c>
      <c r="U12">
        <f>pyUBreadings!N16*1000000</f>
        <v>10</v>
      </c>
      <c r="V12">
        <v>0</v>
      </c>
      <c r="W12">
        <f>pyUBreadings!K16*1000000</f>
        <v>10</v>
      </c>
      <c r="X12">
        <v>0</v>
      </c>
      <c r="Y12">
        <v>0</v>
      </c>
      <c r="AB12" s="169" t="s">
        <v>653</v>
      </c>
      <c r="AC12" s="128">
        <v>1.3366490959157725E-2</v>
      </c>
      <c r="AD12" s="129">
        <v>4.3417558704888028</v>
      </c>
      <c r="AE12" s="128">
        <v>3.1759359822156655E-3</v>
      </c>
      <c r="AF12" s="129">
        <v>2.1514327982622081</v>
      </c>
      <c r="AG12" s="171">
        <f t="shared" si="6"/>
        <v>598.05618652571036</v>
      </c>
      <c r="AH12" t="str">
        <f t="shared" si="0"/>
        <v>1Z</v>
      </c>
      <c r="AI12">
        <f t="shared" si="7"/>
        <v>1.3002789367422062E-2</v>
      </c>
      <c r="AJ12" s="130">
        <f t="shared" si="1"/>
        <v>9.9999999999999995E-7</v>
      </c>
      <c r="AK12" s="130">
        <f t="shared" si="2"/>
        <v>0.2</v>
      </c>
      <c r="AL12">
        <f t="shared" si="8"/>
        <v>10.222611120607764</v>
      </c>
      <c r="AM12" s="130">
        <f t="shared" si="3"/>
        <v>1E-3</v>
      </c>
      <c r="AN12" s="130">
        <f t="shared" si="4"/>
        <v>2E-3</v>
      </c>
      <c r="AO12" t="str">
        <f t="shared" si="5"/>
        <v>65</v>
      </c>
      <c r="AQ12" s="130">
        <f t="shared" ref="AQ12:AQ55" si="23">0.2/AO12+22*AI12*AJ12*1000000</f>
        <v>0.28913828916020845</v>
      </c>
      <c r="AR12" s="81">
        <f t="shared" ref="AR12:AR55" si="24">AQ12*0.000000000001/(AC12*AJ12)</f>
        <v>2.1631577804802417E-5</v>
      </c>
      <c r="AS12" s="157">
        <f t="shared" ref="AS12:AS55" si="25">0.000027+0.00027/(AI12*AJ12*1000000000000)</f>
        <v>2.7020764775339393E-5</v>
      </c>
      <c r="AT12" s="84">
        <f t="shared" ref="AT12:AT55" si="26">AS12*1000/AG12</f>
        <v>4.5180980289345728E-5</v>
      </c>
      <c r="AU12" s="131">
        <f t="shared" ref="AU12:AU55" si="27">AQ12</f>
        <v>0.28913828916020845</v>
      </c>
      <c r="AV12" s="81">
        <f t="shared" ref="AV12:AV55" si="28">AU12*0.000000000001/(AC12*AJ12)</f>
        <v>2.1631577804802417E-5</v>
      </c>
      <c r="AW12" s="131">
        <f t="shared" si="15"/>
        <v>3.0000000000000002E-2</v>
      </c>
      <c r="AX12" s="84">
        <f t="shared" ref="AX12:AX55" si="29">AW12/AG12</f>
        <v>5.0162510941119253E-5</v>
      </c>
      <c r="AZ12">
        <f t="shared" si="17"/>
        <v>3.0769400638000917E-3</v>
      </c>
      <c r="BA12" s="84">
        <f t="shared" si="18"/>
        <v>0.23019804324125931</v>
      </c>
      <c r="BB12">
        <f t="shared" si="19"/>
        <v>3.0769563633067908E-5</v>
      </c>
      <c r="BC12" s="322">
        <f t="shared" si="20"/>
        <v>9.6883450439078991E-3</v>
      </c>
      <c r="BE12">
        <v>3.072213632796722E-9</v>
      </c>
      <c r="BF12">
        <v>3.0722299510620463E-5</v>
      </c>
      <c r="BG12" s="81">
        <f t="shared" si="21"/>
        <v>0.99846391840420434</v>
      </c>
      <c r="BH12" s="81">
        <f t="shared" si="22"/>
        <v>0.99846393263774946</v>
      </c>
    </row>
    <row r="13" spans="1:60" ht="15.75">
      <c r="A13" s="47"/>
      <c r="B13" s="44" t="s">
        <v>208</v>
      </c>
      <c r="C13" s="45" t="s">
        <v>25</v>
      </c>
      <c r="D13" s="45" t="s">
        <v>26</v>
      </c>
      <c r="E13" s="45" t="s">
        <v>27</v>
      </c>
      <c r="F13" s="45" t="s">
        <v>28</v>
      </c>
      <c r="K13" s="134" t="s">
        <v>139</v>
      </c>
      <c r="S13" s="169" t="s">
        <v>654</v>
      </c>
      <c r="T13">
        <v>0</v>
      </c>
      <c r="U13">
        <f>pyUBreadings!N17*1000000</f>
        <v>0</v>
      </c>
      <c r="V13">
        <v>0</v>
      </c>
      <c r="W13">
        <f>pyUBreadings!K17*1000000</f>
        <v>0</v>
      </c>
      <c r="X13">
        <v>0</v>
      </c>
      <c r="Y13">
        <v>0</v>
      </c>
      <c r="AB13" s="169" t="s">
        <v>654</v>
      </c>
      <c r="AC13" s="128">
        <v>1.3310665621753572E-2</v>
      </c>
      <c r="AD13" s="129">
        <v>4.3177795219181645</v>
      </c>
      <c r="AE13" s="128">
        <v>9.2111099507155882E-3</v>
      </c>
      <c r="AF13" s="129">
        <v>2.0931762085478596</v>
      </c>
      <c r="AG13" s="171">
        <f t="shared" si="6"/>
        <v>980.38742075926245</v>
      </c>
      <c r="AH13" t="str">
        <f t="shared" si="0"/>
        <v>1Z</v>
      </c>
      <c r="AI13">
        <f t="shared" si="7"/>
        <v>2.3004935034669799E-2</v>
      </c>
      <c r="AJ13" s="130">
        <f t="shared" si="1"/>
        <v>9.9999999999999995E-7</v>
      </c>
      <c r="AK13" s="130">
        <f t="shared" si="2"/>
        <v>0.2</v>
      </c>
      <c r="AL13">
        <f t="shared" si="8"/>
        <v>100.66101764280714</v>
      </c>
      <c r="AM13" s="130">
        <f t="shared" si="3"/>
        <v>1E-3</v>
      </c>
      <c r="AN13" s="130">
        <f t="shared" si="4"/>
        <v>2E-3</v>
      </c>
      <c r="AO13" t="str">
        <f t="shared" si="5"/>
        <v>65</v>
      </c>
      <c r="AQ13" s="130">
        <f t="shared" si="23"/>
        <v>0.5091854938396585</v>
      </c>
      <c r="AR13" s="81">
        <f t="shared" si="24"/>
        <v>3.8253946745345221E-5</v>
      </c>
      <c r="AS13" s="157">
        <f t="shared" si="25"/>
        <v>2.7011736612148352E-5</v>
      </c>
      <c r="AT13" s="84">
        <f t="shared" si="26"/>
        <v>2.7552104443801484E-5</v>
      </c>
      <c r="AU13" s="131">
        <f t="shared" si="27"/>
        <v>0.5091854938396585</v>
      </c>
      <c r="AV13" s="81">
        <f t="shared" si="28"/>
        <v>3.8253946745345221E-5</v>
      </c>
      <c r="AW13" s="131">
        <f t="shared" si="15"/>
        <v>3.0000000000000002E-2</v>
      </c>
      <c r="AX13" s="84">
        <f t="shared" si="29"/>
        <v>3.0600147823976013E-5</v>
      </c>
      <c r="AZ13">
        <f t="shared" si="17"/>
        <v>3.0785692075220856E-3</v>
      </c>
      <c r="BA13" s="84">
        <f t="shared" si="18"/>
        <v>0.23128589471068911</v>
      </c>
      <c r="BB13">
        <f t="shared" si="19"/>
        <v>3.0801486408209811E-5</v>
      </c>
      <c r="BC13" s="322">
        <f t="shared" si="20"/>
        <v>3.3439494884996918E-3</v>
      </c>
      <c r="BE13">
        <v>3.073845274909974E-9</v>
      </c>
      <c r="BF13">
        <v>3.0754271178926988E-5</v>
      </c>
      <c r="BG13" s="81">
        <f t="shared" si="21"/>
        <v>0.99846554282405953</v>
      </c>
      <c r="BH13" s="81">
        <f t="shared" si="22"/>
        <v>0.99846711198748384</v>
      </c>
    </row>
    <row r="14" spans="1:60">
      <c r="A14" s="48" t="s">
        <v>109</v>
      </c>
      <c r="B14" s="49">
        <f>2.5*0.000001*D11</f>
        <v>5.2499999999999997E-4</v>
      </c>
      <c r="C14" s="50">
        <f t="shared" ref="C14:C22" si="30">B14^2</f>
        <v>2.7562499999999996E-7</v>
      </c>
      <c r="D14" s="51">
        <v>30</v>
      </c>
      <c r="E14" s="53">
        <f t="shared" ref="E14:E22" si="31">0.5*(1/(0.01*D14)^2)</f>
        <v>5.5555555555555554</v>
      </c>
      <c r="F14" s="50">
        <f t="shared" ref="F14:F22" si="32">B14^4/E14</f>
        <v>1.3674445312499996E-14</v>
      </c>
      <c r="G14" t="s">
        <v>110</v>
      </c>
      <c r="K14" s="135"/>
      <c r="S14" s="169" t="s">
        <v>655</v>
      </c>
      <c r="T14">
        <v>0</v>
      </c>
      <c r="U14">
        <f>pyUBreadings!N18*1000000</f>
        <v>0</v>
      </c>
      <c r="V14">
        <v>0</v>
      </c>
      <c r="W14">
        <f>pyUBreadings!K18*1000000</f>
        <v>0</v>
      </c>
      <c r="X14">
        <v>0</v>
      </c>
      <c r="Y14">
        <v>0</v>
      </c>
      <c r="AB14" s="169" t="s">
        <v>655</v>
      </c>
      <c r="AC14" s="128">
        <v>1.3320757028236298E-2</v>
      </c>
      <c r="AD14" s="129">
        <v>4.3221155516226224</v>
      </c>
      <c r="AE14" s="128">
        <v>8.4145251249706683E-3</v>
      </c>
      <c r="AF14" s="129">
        <v>2.0882304083220666</v>
      </c>
      <c r="AG14" s="171">
        <f t="shared" si="6"/>
        <v>6866.287068964717</v>
      </c>
      <c r="AH14" t="str">
        <f t="shared" si="0"/>
        <v>1Z</v>
      </c>
      <c r="AI14">
        <f t="shared" si="7"/>
        <v>3.0006437001743221E-3</v>
      </c>
      <c r="AJ14" s="130">
        <f t="shared" si="1"/>
        <v>9.9999999999999995E-7</v>
      </c>
      <c r="AK14" s="130">
        <f t="shared" si="2"/>
        <v>0.2</v>
      </c>
      <c r="AL14">
        <f t="shared" si="8"/>
        <v>91.145448790079399</v>
      </c>
      <c r="AM14" s="130">
        <f t="shared" si="3"/>
        <v>1E-3</v>
      </c>
      <c r="AN14" s="130">
        <f t="shared" si="4"/>
        <v>2E-3</v>
      </c>
      <c r="AO14" t="str">
        <f t="shared" si="5"/>
        <v>65</v>
      </c>
      <c r="AQ14" s="130">
        <f t="shared" si="23"/>
        <v>6.9091084480758166E-2</v>
      </c>
      <c r="AR14" s="81">
        <f t="shared" si="24"/>
        <v>5.1867235724144128E-6</v>
      </c>
      <c r="AS14" s="157">
        <f t="shared" si="25"/>
        <v>2.7089980693137379E-5</v>
      </c>
      <c r="AT14" s="84">
        <f t="shared" si="26"/>
        <v>3.9453609237491356E-6</v>
      </c>
      <c r="AU14" s="131">
        <f t="shared" si="27"/>
        <v>6.9091084480758166E-2</v>
      </c>
      <c r="AV14" s="81">
        <f t="shared" si="28"/>
        <v>5.1867235724144128E-6</v>
      </c>
      <c r="AW14" s="131">
        <f t="shared" si="15"/>
        <v>3.0000000000000002E-2</v>
      </c>
      <c r="AX14" s="84">
        <f t="shared" si="29"/>
        <v>4.3691735720748615E-6</v>
      </c>
      <c r="AZ14">
        <f t="shared" si="17"/>
        <v>3.0782727487832649E-3</v>
      </c>
      <c r="BA14" s="84">
        <f t="shared" si="18"/>
        <v>0.23108842404813656</v>
      </c>
      <c r="BB14">
        <f t="shared" si="19"/>
        <v>3.079567876855298E-5</v>
      </c>
      <c r="BC14" s="322">
        <f t="shared" si="20"/>
        <v>3.6598237346947525E-3</v>
      </c>
      <c r="BE14">
        <v>3.073548353702979E-9</v>
      </c>
      <c r="BF14">
        <v>3.0748454561756838E-5</v>
      </c>
      <c r="BG14" s="81">
        <f t="shared" si="21"/>
        <v>0.99846524480907251</v>
      </c>
      <c r="BH14" s="81">
        <f t="shared" si="22"/>
        <v>0.99846653138737229</v>
      </c>
    </row>
    <row r="15" spans="1:60">
      <c r="A15" s="48" t="s">
        <v>111</v>
      </c>
      <c r="B15" s="53">
        <v>1</v>
      </c>
      <c r="C15" s="50">
        <f t="shared" si="30"/>
        <v>1</v>
      </c>
      <c r="D15" s="51">
        <v>30</v>
      </c>
      <c r="E15" s="53">
        <f t="shared" si="31"/>
        <v>5.5555555555555554</v>
      </c>
      <c r="F15" s="50">
        <f t="shared" si="32"/>
        <v>0.18</v>
      </c>
      <c r="G15" t="s">
        <v>112</v>
      </c>
      <c r="K15" s="135"/>
      <c r="S15" s="169" t="s">
        <v>656</v>
      </c>
      <c r="T15">
        <v>0</v>
      </c>
      <c r="U15">
        <f>pyUBreadings!N19*1000000</f>
        <v>0</v>
      </c>
      <c r="V15">
        <v>0</v>
      </c>
      <c r="W15">
        <f>pyUBreadings!K19*1000000</f>
        <v>0</v>
      </c>
      <c r="X15">
        <v>0</v>
      </c>
      <c r="Y15">
        <v>0</v>
      </c>
      <c r="AB15" s="169" t="s">
        <v>656</v>
      </c>
      <c r="AC15" s="128">
        <v>1.0564057723535462E-2</v>
      </c>
      <c r="AD15" s="129">
        <v>3.0459980693003432</v>
      </c>
      <c r="AE15" s="128">
        <v>8.7826006992863595E-2</v>
      </c>
      <c r="AF15" s="129">
        <v>2.1239595083866862</v>
      </c>
      <c r="AG15" s="171">
        <f t="shared" si="6"/>
        <v>12647.008675881189</v>
      </c>
      <c r="AH15" t="str">
        <f t="shared" si="0"/>
        <v>1Z</v>
      </c>
      <c r="AI15">
        <f t="shared" si="7"/>
        <v>1.7003647634321158E-2</v>
      </c>
      <c r="AJ15" s="130">
        <f t="shared" si="1"/>
        <v>9.9999999999999995E-7</v>
      </c>
      <c r="AK15" s="130">
        <f t="shared" si="2"/>
        <v>0.2</v>
      </c>
      <c r="AL15">
        <f t="shared" si="8"/>
        <v>998.26067728446412</v>
      </c>
      <c r="AM15" s="130">
        <f t="shared" si="3"/>
        <v>1E-3</v>
      </c>
      <c r="AN15" s="130">
        <f t="shared" si="4"/>
        <v>2E-3</v>
      </c>
      <c r="AO15" t="str">
        <f t="shared" si="5"/>
        <v>65</v>
      </c>
      <c r="AQ15" s="130">
        <f t="shared" si="23"/>
        <v>0.37715717103198859</v>
      </c>
      <c r="AR15" s="81">
        <f t="shared" si="24"/>
        <v>3.5701922585270179E-5</v>
      </c>
      <c r="AS15" s="157">
        <f t="shared" si="25"/>
        <v>2.7015878945847773E-5</v>
      </c>
      <c r="AT15" s="84">
        <f t="shared" si="26"/>
        <v>2.1361477356593514E-6</v>
      </c>
      <c r="AU15" s="131">
        <f t="shared" si="27"/>
        <v>0.37715717103198859</v>
      </c>
      <c r="AV15" s="81">
        <f t="shared" si="28"/>
        <v>3.5701922585270179E-5</v>
      </c>
      <c r="AW15" s="131">
        <f t="shared" si="15"/>
        <v>3.0000000000000002E-2</v>
      </c>
      <c r="AX15" s="84">
        <f t="shared" si="29"/>
        <v>2.3721024290283196E-6</v>
      </c>
      <c r="AZ15">
        <f t="shared" si="17"/>
        <v>3.2348075766237662E-3</v>
      </c>
      <c r="BA15" s="84">
        <f t="shared" si="18"/>
        <v>0.30620881306025055</v>
      </c>
      <c r="BB15">
        <f t="shared" si="19"/>
        <v>3.3794442493768937E-5</v>
      </c>
      <c r="BC15" s="322">
        <f t="shared" si="20"/>
        <v>3.8478855695346534E-4</v>
      </c>
      <c r="BE15">
        <v>3.2303149851478539E-9</v>
      </c>
      <c r="BF15">
        <v>3.37514679570262E-5</v>
      </c>
      <c r="BG15" s="81">
        <f t="shared" si="21"/>
        <v>0.9986111719570655</v>
      </c>
      <c r="BH15" s="81">
        <f t="shared" si="22"/>
        <v>0.99872835491366185</v>
      </c>
    </row>
    <row r="16" spans="1:60">
      <c r="A16" s="48" t="s">
        <v>113</v>
      </c>
      <c r="B16" s="49">
        <f>17*0.000001*D11</f>
        <v>3.5699999999999998E-3</v>
      </c>
      <c r="C16" s="50">
        <f t="shared" si="30"/>
        <v>1.2744899999999999E-5</v>
      </c>
      <c r="D16" s="51">
        <v>30</v>
      </c>
      <c r="E16" s="53">
        <f t="shared" si="31"/>
        <v>5.5555555555555554</v>
      </c>
      <c r="F16" s="50">
        <f t="shared" si="32"/>
        <v>2.9237845681799998E-11</v>
      </c>
      <c r="G16" t="s">
        <v>209</v>
      </c>
      <c r="K16" s="136" t="s">
        <v>210</v>
      </c>
      <c r="S16" s="169" t="s">
        <v>657</v>
      </c>
      <c r="T16">
        <v>0</v>
      </c>
      <c r="U16">
        <f>pyUBreadings!N20*1000000</f>
        <v>0</v>
      </c>
      <c r="V16">
        <v>0</v>
      </c>
      <c r="W16">
        <f>pyUBreadings!K20*1000000</f>
        <v>0</v>
      </c>
      <c r="X16">
        <v>0</v>
      </c>
      <c r="Y16">
        <v>0</v>
      </c>
      <c r="AB16" s="169" t="s">
        <v>657</v>
      </c>
      <c r="AC16" s="128">
        <v>1.0660441766389988E-2</v>
      </c>
      <c r="AD16" s="129">
        <v>3.0992402906772649</v>
      </c>
      <c r="AE16" s="128">
        <v>8.437381280664831E-2</v>
      </c>
      <c r="AF16" s="129">
        <v>2.1239256373807684</v>
      </c>
      <c r="AG16" s="171" t="e">
        <f t="shared" si="6"/>
        <v>#DIV/0!</v>
      </c>
      <c r="AH16" t="str">
        <f t="shared" si="0"/>
        <v>1Z</v>
      </c>
      <c r="AI16">
        <f t="shared" si="7"/>
        <v>0</v>
      </c>
      <c r="AJ16" s="130">
        <f t="shared" si="1"/>
        <v>9.9999999999999995E-7</v>
      </c>
      <c r="AK16" s="130">
        <f t="shared" si="2"/>
        <v>0.2</v>
      </c>
      <c r="AL16">
        <f t="shared" si="8"/>
        <v>958.99032965346953</v>
      </c>
      <c r="AM16" s="130">
        <f t="shared" si="3"/>
        <v>1E-3</v>
      </c>
      <c r="AN16" s="130">
        <f t="shared" si="4"/>
        <v>2E-3</v>
      </c>
      <c r="AO16" t="str">
        <f t="shared" si="5"/>
        <v>65</v>
      </c>
      <c r="AQ16" s="130">
        <f t="shared" si="23"/>
        <v>3.0769230769230769E-3</v>
      </c>
      <c r="AR16" s="81">
        <f t="shared" si="24"/>
        <v>2.886299784145845E-7</v>
      </c>
      <c r="AS16" s="157" t="e">
        <f t="shared" si="25"/>
        <v>#DIV/0!</v>
      </c>
      <c r="AT16" s="84" t="e">
        <f t="shared" si="26"/>
        <v>#DIV/0!</v>
      </c>
      <c r="AU16" s="131">
        <f t="shared" si="27"/>
        <v>3.0769230769230769E-3</v>
      </c>
      <c r="AV16" s="81">
        <f t="shared" si="28"/>
        <v>2.886299784145845E-7</v>
      </c>
      <c r="AW16" s="131">
        <f t="shared" si="15"/>
        <v>3.0000000000000002E-2</v>
      </c>
      <c r="AX16" s="84" t="e">
        <f t="shared" si="29"/>
        <v>#DIV/0!</v>
      </c>
      <c r="AZ16">
        <f t="shared" si="17"/>
        <v>3.2229052225702581E-3</v>
      </c>
      <c r="BA16" s="84">
        <f t="shared" si="18"/>
        <v>0.30232379606737919</v>
      </c>
      <c r="BB16">
        <f t="shared" si="19"/>
        <v>3.3570811768476439E-5</v>
      </c>
      <c r="BC16" s="322">
        <f t="shared" si="20"/>
        <v>3.9788188599948157E-4</v>
      </c>
      <c r="BE16">
        <v>3.2183957747749352E-9</v>
      </c>
      <c r="BF16">
        <v>3.3527546099590129E-5</v>
      </c>
      <c r="BG16" s="81">
        <f t="shared" si="21"/>
        <v>0.99860081278104529</v>
      </c>
      <c r="BH16" s="81">
        <f t="shared" si="22"/>
        <v>0.99871121171615707</v>
      </c>
    </row>
    <row r="17" spans="1:60">
      <c r="A17" s="54" t="s">
        <v>114</v>
      </c>
      <c r="B17" s="137">
        <f>2*0.000001*D11</f>
        <v>4.1999999999999996E-4</v>
      </c>
      <c r="C17" s="50">
        <f t="shared" si="30"/>
        <v>1.7639999999999996E-7</v>
      </c>
      <c r="D17" s="51">
        <v>50</v>
      </c>
      <c r="E17" s="53">
        <f t="shared" si="31"/>
        <v>2</v>
      </c>
      <c r="F17" s="50">
        <f t="shared" si="32"/>
        <v>1.5558479999999995E-14</v>
      </c>
      <c r="G17" t="s">
        <v>115</v>
      </c>
      <c r="K17" s="135"/>
      <c r="S17" s="169" t="s">
        <v>680</v>
      </c>
      <c r="T17">
        <v>0</v>
      </c>
      <c r="U17">
        <f>pyUBreadings!N21*1000000</f>
        <v>0</v>
      </c>
      <c r="V17">
        <v>0</v>
      </c>
      <c r="W17">
        <f>pyUBreadings!K21*1000000</f>
        <v>0</v>
      </c>
      <c r="X17">
        <v>0</v>
      </c>
      <c r="Y17">
        <v>0</v>
      </c>
      <c r="AB17" s="169" t="s">
        <v>680</v>
      </c>
      <c r="AC17" s="128">
        <v>2.0558740606384288E-3</v>
      </c>
      <c r="AD17" s="129">
        <v>4.0319007466655581</v>
      </c>
      <c r="AE17" s="128">
        <v>3.0956712247915993E-3</v>
      </c>
      <c r="AF17" s="129">
        <v>2.1889700867364237</v>
      </c>
      <c r="AG17" s="171" t="e">
        <f t="shared" si="6"/>
        <v>#DIV/0!</v>
      </c>
      <c r="AH17" t="str">
        <f t="shared" si="0"/>
        <v>1Z</v>
      </c>
      <c r="AI17">
        <f t="shared" si="7"/>
        <v>0</v>
      </c>
      <c r="AJ17" s="130">
        <f t="shared" si="1"/>
        <v>9.9999999999999995E-7</v>
      </c>
      <c r="AK17" s="130">
        <f t="shared" si="2"/>
        <v>0.2</v>
      </c>
      <c r="AL17">
        <f t="shared" si="8"/>
        <v>0</v>
      </c>
      <c r="AM17" s="130">
        <f t="shared" si="3"/>
        <v>1E-3</v>
      </c>
      <c r="AN17" s="130">
        <f t="shared" si="4"/>
        <v>2E-3</v>
      </c>
      <c r="AO17" t="str">
        <f t="shared" si="5"/>
        <v>400</v>
      </c>
      <c r="AQ17" s="130">
        <f t="shared" si="23"/>
        <v>5.0000000000000001E-4</v>
      </c>
      <c r="AR17" s="81">
        <f t="shared" si="24"/>
        <v>2.4320555892646976E-7</v>
      </c>
      <c r="AS17" s="157" t="e">
        <f t="shared" si="25"/>
        <v>#DIV/0!</v>
      </c>
      <c r="AT17" s="84" t="e">
        <f t="shared" si="26"/>
        <v>#DIV/0!</v>
      </c>
      <c r="AU17" s="131">
        <f t="shared" si="27"/>
        <v>5.0000000000000001E-4</v>
      </c>
      <c r="AV17" s="81">
        <f t="shared" si="28"/>
        <v>2.4320555892646976E-7</v>
      </c>
      <c r="AW17" s="131">
        <f t="shared" si="15"/>
        <v>3.0000000000000002E-2</v>
      </c>
      <c r="AX17" s="84" t="e">
        <f t="shared" si="29"/>
        <v>#DIV/0!</v>
      </c>
      <c r="AZ17">
        <f t="shared" si="17"/>
        <v>5.0000000000000001E-4</v>
      </c>
      <c r="BA17" s="84">
        <f t="shared" si="18"/>
        <v>0.24320555892646972</v>
      </c>
      <c r="BB17">
        <f t="shared" si="19"/>
        <v>5.0000000000000004E-6</v>
      </c>
      <c r="BC17" s="322">
        <f t="shared" si="20"/>
        <v>1.6151585995171694E-3</v>
      </c>
      <c r="BE17">
        <v>4.9981257062293062E-10</v>
      </c>
      <c r="BF17">
        <v>4.9981257046564672E-6</v>
      </c>
      <c r="BG17" s="81">
        <f t="shared" si="21"/>
        <v>0.99962514124586122</v>
      </c>
      <c r="BH17" s="81">
        <f t="shared" si="22"/>
        <v>0.9996251409312934</v>
      </c>
    </row>
    <row r="18" spans="1:60">
      <c r="A18" s="54" t="s">
        <v>116</v>
      </c>
      <c r="B18" s="137">
        <f>2*0.5*0.000001*D11</f>
        <v>2.0999999999999998E-4</v>
      </c>
      <c r="C18" s="50">
        <f t="shared" si="30"/>
        <v>4.4099999999999991E-8</v>
      </c>
      <c r="D18" s="51">
        <v>30</v>
      </c>
      <c r="E18" s="53">
        <f t="shared" si="31"/>
        <v>5.5555555555555554</v>
      </c>
      <c r="F18" s="50">
        <f t="shared" si="32"/>
        <v>3.500657999999999E-16</v>
      </c>
      <c r="G18" t="s">
        <v>117</v>
      </c>
      <c r="K18" s="135"/>
      <c r="S18" s="169" t="s">
        <v>658</v>
      </c>
      <c r="T18">
        <v>0</v>
      </c>
      <c r="U18">
        <f>pyUBreadings!N22*1000000</f>
        <v>0</v>
      </c>
      <c r="V18">
        <v>0</v>
      </c>
      <c r="W18">
        <f>pyUBreadings!K22*1000000</f>
        <v>0</v>
      </c>
      <c r="X18">
        <v>0</v>
      </c>
      <c r="Y18">
        <v>0</v>
      </c>
      <c r="AB18" s="169" t="s">
        <v>658</v>
      </c>
      <c r="AC18" s="128">
        <v>2.0530327158536587E-3</v>
      </c>
      <c r="AD18" s="129">
        <v>4.0242770479838992</v>
      </c>
      <c r="AE18" s="128">
        <v>3.1751553859075384E-3</v>
      </c>
      <c r="AF18" s="129">
        <v>2.1517256613235594</v>
      </c>
      <c r="AG18" s="171">
        <f t="shared" si="6"/>
        <v>95.688119034918458</v>
      </c>
      <c r="AH18" t="str">
        <f t="shared" si="0"/>
        <v>1Z</v>
      </c>
      <c r="AI18">
        <f t="shared" si="7"/>
        <v>1.3202832280767015E-2</v>
      </c>
      <c r="AJ18" s="130">
        <f t="shared" si="1"/>
        <v>9.9999999999999995E-7</v>
      </c>
      <c r="AK18" s="130">
        <f t="shared" si="2"/>
        <v>0.2</v>
      </c>
      <c r="AL18">
        <f t="shared" si="8"/>
        <v>10.174308233000119</v>
      </c>
      <c r="AM18" s="130">
        <f t="shared" si="3"/>
        <v>1E-3</v>
      </c>
      <c r="AN18" s="130">
        <f t="shared" si="4"/>
        <v>2E-3</v>
      </c>
      <c r="AO18">
        <f t="shared" si="5"/>
        <v>400</v>
      </c>
      <c r="AQ18" s="130">
        <f t="shared" si="23"/>
        <v>0.29096231017687435</v>
      </c>
      <c r="AR18" s="81">
        <f t="shared" si="24"/>
        <v>1.4172317271422103E-4</v>
      </c>
      <c r="AS18" s="157">
        <f t="shared" si="25"/>
        <v>2.7020450157531221E-5</v>
      </c>
      <c r="AT18" s="84">
        <f t="shared" si="26"/>
        <v>2.8238040866568749E-4</v>
      </c>
      <c r="AU18" s="131">
        <f t="shared" si="27"/>
        <v>0.29096231017687435</v>
      </c>
      <c r="AV18" s="81">
        <f t="shared" si="28"/>
        <v>1.4172317271422103E-4</v>
      </c>
      <c r="AW18" s="131">
        <f t="shared" si="15"/>
        <v>3.0000000000000002E-2</v>
      </c>
      <c r="AX18" s="84">
        <f t="shared" si="29"/>
        <v>3.1351854652981965E-4</v>
      </c>
      <c r="AZ18">
        <f t="shared" si="17"/>
        <v>5.0010353999318678E-4</v>
      </c>
      <c r="BA18" s="84">
        <f t="shared" si="18"/>
        <v>0.2435925819064417</v>
      </c>
      <c r="BB18">
        <f t="shared" si="19"/>
        <v>5.0020286870988404E-6</v>
      </c>
      <c r="BC18" s="322">
        <f t="shared" si="20"/>
        <v>1.5753650071110255E-3</v>
      </c>
      <c r="BE18">
        <v>4.9994116906727773E-10</v>
      </c>
      <c r="BF18">
        <v>5.0004058023596181E-6</v>
      </c>
      <c r="BG18" s="81">
        <f t="shared" si="21"/>
        <v>0.99967532538179749</v>
      </c>
      <c r="BH18" s="81">
        <f t="shared" si="22"/>
        <v>0.99967555469175773</v>
      </c>
    </row>
    <row r="19" spans="1:60">
      <c r="A19" s="54" t="s">
        <v>118</v>
      </c>
      <c r="B19" s="137">
        <f>5*0.000001*D11</f>
        <v>1.0499999999999999E-3</v>
      </c>
      <c r="C19" s="50">
        <f t="shared" si="30"/>
        <v>1.1024999999999998E-6</v>
      </c>
      <c r="D19" s="51">
        <v>50</v>
      </c>
      <c r="E19" s="53">
        <f t="shared" si="31"/>
        <v>2</v>
      </c>
      <c r="F19" s="50">
        <f t="shared" si="32"/>
        <v>6.0775312499999979E-13</v>
      </c>
      <c r="G19" t="s">
        <v>211</v>
      </c>
      <c r="K19" s="136" t="s">
        <v>140</v>
      </c>
      <c r="S19" s="169" t="s">
        <v>659</v>
      </c>
      <c r="T19">
        <v>0</v>
      </c>
      <c r="U19">
        <f>pyUBreadings!N23*1000000</f>
        <v>0</v>
      </c>
      <c r="V19">
        <v>0</v>
      </c>
      <c r="W19">
        <f>pyUBreadings!K23*1000000</f>
        <v>0</v>
      </c>
      <c r="X19">
        <v>0</v>
      </c>
      <c r="Y19">
        <v>0</v>
      </c>
      <c r="AB19" s="86" t="s">
        <v>659</v>
      </c>
      <c r="AC19" s="128">
        <v>1.8471855039595302E-3</v>
      </c>
      <c r="AD19" s="129">
        <v>3.4544107059878399</v>
      </c>
      <c r="AE19" s="128">
        <v>9.2115963707126991E-3</v>
      </c>
      <c r="AF19" s="129">
        <v>2.0931790844021179</v>
      </c>
      <c r="AG19" s="171">
        <f t="shared" si="6"/>
        <v>178.75080409447443</v>
      </c>
      <c r="AH19" t="str">
        <f t="shared" si="0"/>
        <v>1Z</v>
      </c>
      <c r="AI19">
        <f t="shared" si="7"/>
        <v>2.0504398617857866E-2</v>
      </c>
      <c r="AJ19" s="130">
        <f t="shared" si="1"/>
        <v>9.9999999999999995E-7</v>
      </c>
      <c r="AK19" s="130">
        <f t="shared" si="2"/>
        <v>0.2</v>
      </c>
      <c r="AL19">
        <f t="shared" si="8"/>
        <v>100.66301776237681</v>
      </c>
      <c r="AM19" s="130">
        <f t="shared" si="3"/>
        <v>1E-3</v>
      </c>
      <c r="AN19" s="130">
        <f t="shared" si="4"/>
        <v>2E-3</v>
      </c>
      <c r="AO19" t="str">
        <f t="shared" si="5"/>
        <v>400</v>
      </c>
      <c r="AQ19" s="130">
        <f t="shared" si="23"/>
        <v>0.45159676959287304</v>
      </c>
      <c r="AR19" s="81">
        <f t="shared" si="24"/>
        <v>2.4447829880910925E-4</v>
      </c>
      <c r="AS19" s="157">
        <f t="shared" si="25"/>
        <v>2.7013167906312786E-5</v>
      </c>
      <c r="AT19" s="84">
        <f t="shared" si="26"/>
        <v>1.5112193784614042E-4</v>
      </c>
      <c r="AU19" s="131">
        <f t="shared" si="27"/>
        <v>0.45159676959287304</v>
      </c>
      <c r="AV19" s="81">
        <f t="shared" si="28"/>
        <v>2.4447829880910925E-4</v>
      </c>
      <c r="AW19" s="131">
        <f t="shared" si="15"/>
        <v>3.0000000000000002E-2</v>
      </c>
      <c r="AX19" s="84">
        <f t="shared" si="29"/>
        <v>1.6783141285420022E-4</v>
      </c>
      <c r="AZ19">
        <f t="shared" si="17"/>
        <v>5.1003247499485725E-4</v>
      </c>
      <c r="BA19" s="84">
        <f t="shared" si="18"/>
        <v>0.27611329446965577</v>
      </c>
      <c r="BB19">
        <f t="shared" si="19"/>
        <v>5.1948128609921291E-6</v>
      </c>
      <c r="BC19" s="322">
        <f t="shared" si="20"/>
        <v>5.6394273608301919E-4</v>
      </c>
      <c r="BE19">
        <v>5.0994736850399925E-10</v>
      </c>
      <c r="BF19">
        <v>5.1939836128306996E-6</v>
      </c>
      <c r="BG19" s="81">
        <f t="shared" si="21"/>
        <v>0.99983313515309225</v>
      </c>
      <c r="BH19" s="81">
        <f t="shared" si="22"/>
        <v>0.99984036996449743</v>
      </c>
    </row>
    <row r="20" spans="1:60">
      <c r="A20" s="54" t="s">
        <v>243</v>
      </c>
      <c r="B20" s="137">
        <f>16*D34/10000000</f>
        <v>15.971192</v>
      </c>
      <c r="C20" s="50">
        <f t="shared" si="30"/>
        <v>255.07897390086401</v>
      </c>
      <c r="D20" s="51" t="s">
        <v>124</v>
      </c>
      <c r="E20" s="52">
        <v>13</v>
      </c>
      <c r="F20" s="50">
        <f t="shared" si="32"/>
        <v>5005.0217635628978</v>
      </c>
      <c r="G20" t="s">
        <v>212</v>
      </c>
      <c r="K20" s="136" t="s">
        <v>213</v>
      </c>
      <c r="S20" s="169" t="s">
        <v>660</v>
      </c>
      <c r="T20">
        <v>0</v>
      </c>
      <c r="U20">
        <f>pyUBreadings!N24*1000000</f>
        <v>0</v>
      </c>
      <c r="V20">
        <v>0</v>
      </c>
      <c r="W20">
        <f>pyUBreadings!K24*1000000</f>
        <v>0</v>
      </c>
      <c r="X20">
        <v>0</v>
      </c>
      <c r="Y20">
        <v>0</v>
      </c>
      <c r="AB20" s="86" t="s">
        <v>660</v>
      </c>
      <c r="AC20" s="128">
        <v>1.8761663232103613E-3</v>
      </c>
      <c r="AD20" s="129">
        <v>3.537651937210101</v>
      </c>
      <c r="AE20" s="128">
        <v>8.4143417405906414E-3</v>
      </c>
      <c r="AF20" s="129">
        <v>2.0882291762847771</v>
      </c>
      <c r="AG20" s="171">
        <f t="shared" si="6"/>
        <v>6694.4839908933409</v>
      </c>
      <c r="AH20" t="str">
        <f t="shared" si="0"/>
        <v>1Z</v>
      </c>
      <c r="AI20">
        <f t="shared" si="7"/>
        <v>5.001072833623869E-4</v>
      </c>
      <c r="AJ20" s="130">
        <f t="shared" si="1"/>
        <v>9.9999999999999995E-7</v>
      </c>
      <c r="AK20" s="130">
        <f t="shared" si="2"/>
        <v>0.2</v>
      </c>
      <c r="AL20">
        <f t="shared" si="8"/>
        <v>91.139448431370383</v>
      </c>
      <c r="AM20" s="130">
        <f t="shared" si="3"/>
        <v>1E-3</v>
      </c>
      <c r="AN20" s="130">
        <f t="shared" si="4"/>
        <v>2E-3</v>
      </c>
      <c r="AO20" t="str">
        <f t="shared" si="5"/>
        <v>400</v>
      </c>
      <c r="AQ20" s="130">
        <f t="shared" si="23"/>
        <v>1.1502360233972513E-2</v>
      </c>
      <c r="AR20" s="81">
        <f t="shared" si="24"/>
        <v>6.1307785411532704E-6</v>
      </c>
      <c r="AS20" s="157">
        <f t="shared" si="25"/>
        <v>2.7539884158824282E-5</v>
      </c>
      <c r="AT20" s="84">
        <f t="shared" si="26"/>
        <v>4.1138173153132359E-6</v>
      </c>
      <c r="AU20" s="131">
        <f t="shared" si="27"/>
        <v>1.1502360233972513E-2</v>
      </c>
      <c r="AV20" s="81">
        <f t="shared" si="28"/>
        <v>6.1307785411532704E-6</v>
      </c>
      <c r="AW20" s="131">
        <f t="shared" si="15"/>
        <v>3.0000000000000002E-2</v>
      </c>
      <c r="AX20" s="84">
        <f t="shared" si="29"/>
        <v>4.481301328199408E-6</v>
      </c>
      <c r="AZ20">
        <f t="shared" si="17"/>
        <v>5.0823852580200517E-4</v>
      </c>
      <c r="BA20" s="84">
        <f t="shared" si="18"/>
        <v>0.27089204166736341</v>
      </c>
      <c r="BB20">
        <f t="shared" si="19"/>
        <v>5.1602378063742813E-6</v>
      </c>
      <c r="BC20" s="322">
        <f t="shared" si="20"/>
        <v>6.1326696317566727E-4</v>
      </c>
      <c r="BE20">
        <v>5.0807930056763879E-10</v>
      </c>
      <c r="BF20">
        <v>5.1586751410124418E-6</v>
      </c>
      <c r="BG20" s="81">
        <f t="shared" si="21"/>
        <v>0.99968671160039446</v>
      </c>
      <c r="BH20" s="81">
        <f t="shared" si="22"/>
        <v>0.99969717183190487</v>
      </c>
    </row>
    <row r="21" spans="1:60">
      <c r="A21" s="54" t="s">
        <v>119</v>
      </c>
      <c r="B21" s="138">
        <f>2000/(VLOOKUP(label,Results,9,FALSE))</f>
        <v>30.76923076923077</v>
      </c>
      <c r="C21" s="50">
        <f t="shared" si="30"/>
        <v>946.74556213017752</v>
      </c>
      <c r="D21" s="55">
        <v>50</v>
      </c>
      <c r="E21" s="53">
        <f t="shared" si="31"/>
        <v>2</v>
      </c>
      <c r="F21" s="50">
        <f t="shared" si="32"/>
        <v>448163.57970659289</v>
      </c>
      <c r="G21" t="s">
        <v>120</v>
      </c>
      <c r="K21" s="136" t="s">
        <v>214</v>
      </c>
      <c r="S21" s="169" t="s">
        <v>661</v>
      </c>
      <c r="T21">
        <v>0</v>
      </c>
      <c r="U21">
        <f>pyUBreadings!N25*1000000</f>
        <v>0</v>
      </c>
      <c r="V21">
        <v>0</v>
      </c>
      <c r="W21">
        <f>pyUBreadings!K25*1000000</f>
        <v>0</v>
      </c>
      <c r="X21">
        <v>0</v>
      </c>
      <c r="Y21">
        <v>0</v>
      </c>
      <c r="AB21" s="86" t="s">
        <v>661</v>
      </c>
      <c r="AC21" s="128">
        <v>3.5669468727523431E-3</v>
      </c>
      <c r="AD21" s="129">
        <v>2.1275886529920673</v>
      </c>
      <c r="AE21" s="128">
        <v>8.7824846450925489E-2</v>
      </c>
      <c r="AF21" s="129">
        <v>2.1239594984013834</v>
      </c>
      <c r="AG21" s="171">
        <f t="shared" si="6"/>
        <v>1878.3279463018619</v>
      </c>
      <c r="AH21" t="str">
        <f t="shared" si="0"/>
        <v>1Z</v>
      </c>
      <c r="AI21">
        <f t="shared" si="7"/>
        <v>1.8603990941080797E-2</v>
      </c>
      <c r="AJ21" s="130">
        <f t="shared" si="1"/>
        <v>9.9999999999999995E-7</v>
      </c>
      <c r="AK21" s="130">
        <f t="shared" si="2"/>
        <v>0.2</v>
      </c>
      <c r="AL21">
        <f t="shared" si="8"/>
        <v>998.24367626812182</v>
      </c>
      <c r="AM21" s="130">
        <f t="shared" si="3"/>
        <v>1E-3</v>
      </c>
      <c r="AN21" s="130">
        <f t="shared" si="4"/>
        <v>2E-3</v>
      </c>
      <c r="AO21" t="str">
        <f t="shared" si="5"/>
        <v>400</v>
      </c>
      <c r="AQ21" s="130">
        <f t="shared" si="23"/>
        <v>0.40978780070377752</v>
      </c>
      <c r="AR21" s="81">
        <f t="shared" si="24"/>
        <v>1.1488475027035525E-4</v>
      </c>
      <c r="AS21" s="157">
        <f t="shared" si="25"/>
        <v>2.7014513015022156E-5</v>
      </c>
      <c r="AT21" s="84">
        <f t="shared" si="26"/>
        <v>1.438221321692496E-5</v>
      </c>
      <c r="AU21" s="131">
        <f t="shared" si="27"/>
        <v>0.40978780070377752</v>
      </c>
      <c r="AV21" s="81">
        <f t="shared" si="28"/>
        <v>1.1488475027035525E-4</v>
      </c>
      <c r="AW21" s="131">
        <f t="shared" si="15"/>
        <v>3.0000000000000002E-2</v>
      </c>
      <c r="AX21" s="84">
        <f t="shared" si="29"/>
        <v>1.5971651840172733E-5</v>
      </c>
      <c r="AZ21">
        <f t="shared" si="17"/>
        <v>1.116463391718043E-3</v>
      </c>
      <c r="BA21" s="84">
        <f t="shared" si="18"/>
        <v>0.31300252892652497</v>
      </c>
      <c r="BB21">
        <f t="shared" si="19"/>
        <v>1.4842915116448877E-5</v>
      </c>
      <c r="BC21" s="322">
        <f t="shared" si="20"/>
        <v>1.6900587608476787E-4</v>
      </c>
      <c r="BE21">
        <v>1.116407860695734E-9</v>
      </c>
      <c r="BF21">
        <v>1.484258135411617E-5</v>
      </c>
      <c r="BG21" s="81">
        <f t="shared" si="21"/>
        <v>0.99995026167206114</v>
      </c>
      <c r="BH21" s="81">
        <f t="shared" si="22"/>
        <v>0.99997751369390109</v>
      </c>
    </row>
    <row r="22" spans="1:60">
      <c r="A22" s="54"/>
      <c r="B22" s="53">
        <v>0</v>
      </c>
      <c r="C22" s="50">
        <f t="shared" si="30"/>
        <v>0</v>
      </c>
      <c r="D22" s="51">
        <v>1</v>
      </c>
      <c r="E22" s="52">
        <f t="shared" si="31"/>
        <v>5000</v>
      </c>
      <c r="F22" s="50">
        <f t="shared" si="32"/>
        <v>0</v>
      </c>
      <c r="S22" s="169" t="s">
        <v>662</v>
      </c>
      <c r="T22">
        <v>0</v>
      </c>
      <c r="U22">
        <f>pyUBreadings!N26*1000000</f>
        <v>0</v>
      </c>
      <c r="V22">
        <v>0</v>
      </c>
      <c r="W22">
        <f>pyUBreadings!K26*1000000</f>
        <v>0</v>
      </c>
      <c r="X22">
        <v>0</v>
      </c>
      <c r="Y22">
        <v>0</v>
      </c>
      <c r="AB22" s="86" t="s">
        <v>662</v>
      </c>
      <c r="AC22" s="128">
        <v>3.4384043894944696E-3</v>
      </c>
      <c r="AD22" s="129">
        <v>2.126665137236611</v>
      </c>
      <c r="AE22" s="128">
        <v>8.437405896005816E-2</v>
      </c>
      <c r="AF22" s="129">
        <v>2.1239256399536366</v>
      </c>
      <c r="AG22" s="171">
        <f t="shared" si="6"/>
        <v>-13425.667850641663</v>
      </c>
      <c r="AH22" t="str">
        <f t="shared" si="0"/>
        <v>1Z</v>
      </c>
      <c r="AI22">
        <f t="shared" si="7"/>
        <v>-2.500536416811935E-3</v>
      </c>
      <c r="AJ22" s="130">
        <f t="shared" si="1"/>
        <v>9.9999999999999995E-7</v>
      </c>
      <c r="AK22" s="130">
        <f t="shared" si="2"/>
        <v>0.2</v>
      </c>
      <c r="AL22">
        <f t="shared" si="8"/>
        <v>958.98932959368472</v>
      </c>
      <c r="AM22" s="130">
        <f t="shared" si="3"/>
        <v>1E-3</v>
      </c>
      <c r="AN22" s="130">
        <f t="shared" si="4"/>
        <v>2E-3</v>
      </c>
      <c r="AO22" t="str">
        <f t="shared" si="5"/>
        <v>400</v>
      </c>
      <c r="AQ22" s="130">
        <f t="shared" si="23"/>
        <v>-5.4511801169862567E-2</v>
      </c>
      <c r="AR22" s="81">
        <f t="shared" si="24"/>
        <v>-1.5853807462675193E-5</v>
      </c>
      <c r="AS22" s="157">
        <f t="shared" si="25"/>
        <v>2.6892023168235142E-5</v>
      </c>
      <c r="AT22" s="84">
        <f t="shared" si="26"/>
        <v>-2.0030305730340164E-6</v>
      </c>
      <c r="AU22" s="131">
        <f t="shared" si="27"/>
        <v>-5.4511801169862567E-2</v>
      </c>
      <c r="AV22" s="81">
        <f t="shared" si="28"/>
        <v>-1.5853807462675193E-5</v>
      </c>
      <c r="AW22" s="131">
        <f t="shared" si="15"/>
        <v>3.0000000000000002E-2</v>
      </c>
      <c r="AX22" s="84">
        <f t="shared" si="29"/>
        <v>-2.2345257110294286E-6</v>
      </c>
      <c r="AZ22">
        <f t="shared" si="17"/>
        <v>1.0815084537349076E-3</v>
      </c>
      <c r="BA22" s="84">
        <f t="shared" si="18"/>
        <v>0.31453788770142771</v>
      </c>
      <c r="BB22">
        <f t="shared" si="19"/>
        <v>1.4326669703051637E-5</v>
      </c>
      <c r="BC22" s="322">
        <f t="shared" si="20"/>
        <v>1.6979946063556975E-4</v>
      </c>
      <c r="BE22">
        <v>1.081461837004935E-9</v>
      </c>
      <c r="BF22">
        <v>1.4326398614133131E-5</v>
      </c>
      <c r="BG22" s="81">
        <f t="shared" si="21"/>
        <v>0.99995689656441267</v>
      </c>
      <c r="BH22" s="81">
        <f t="shared" si="22"/>
        <v>0.99998107802272784</v>
      </c>
    </row>
    <row r="23" spans="1:60" ht="13.5" thickBot="1">
      <c r="B23" s="56" t="s">
        <v>29</v>
      </c>
      <c r="C23" s="50">
        <f>SUM(C14:C22)</f>
        <v>1202.8245503745666</v>
      </c>
      <c r="E23" s="26" t="s">
        <v>30</v>
      </c>
      <c r="F23" s="50">
        <f>SUM(F14:F22)</f>
        <v>453168.78147015581</v>
      </c>
      <c r="S23" s="169" t="s">
        <v>681</v>
      </c>
      <c r="T23">
        <v>0</v>
      </c>
      <c r="U23">
        <f>pyUBreadings!N27*1000000</f>
        <v>0</v>
      </c>
      <c r="V23">
        <v>0</v>
      </c>
      <c r="W23">
        <f>pyUBreadings!K27*1000000</f>
        <v>0</v>
      </c>
      <c r="X23">
        <v>0</v>
      </c>
      <c r="Y23">
        <v>0</v>
      </c>
      <c r="AB23" s="86" t="s">
        <v>681</v>
      </c>
      <c r="AC23" s="128">
        <v>6.978902844397227E-4</v>
      </c>
      <c r="AD23" s="129">
        <v>3.1210602136115471</v>
      </c>
      <c r="AE23" s="128">
        <v>3.0956712255077062E-3</v>
      </c>
      <c r="AF23" s="129">
        <v>2.1889700863116879</v>
      </c>
      <c r="AG23" s="171" t="e">
        <f t="shared" si="6"/>
        <v>#DIV/0!</v>
      </c>
      <c r="AH23" t="str">
        <f t="shared" si="0"/>
        <v>1Z</v>
      </c>
      <c r="AI23">
        <f t="shared" si="7"/>
        <v>0</v>
      </c>
      <c r="AJ23" s="130">
        <f t="shared" si="1"/>
        <v>9.9999999999999995E-7</v>
      </c>
      <c r="AK23" s="130">
        <f t="shared" si="2"/>
        <v>0.2</v>
      </c>
      <c r="AL23">
        <f t="shared" si="8"/>
        <v>0</v>
      </c>
      <c r="AM23" s="130">
        <f t="shared" si="3"/>
        <v>1E-3</v>
      </c>
      <c r="AN23" s="130">
        <f t="shared" si="4"/>
        <v>2E-3</v>
      </c>
      <c r="AO23">
        <f t="shared" si="5"/>
        <v>1000</v>
      </c>
      <c r="AQ23" s="130">
        <f t="shared" si="23"/>
        <v>2.0000000000000001E-4</v>
      </c>
      <c r="AR23" s="81">
        <f t="shared" si="24"/>
        <v>2.8657799722855173E-7</v>
      </c>
      <c r="AS23" s="157" t="e">
        <f t="shared" si="25"/>
        <v>#DIV/0!</v>
      </c>
      <c r="AT23" s="84" t="e">
        <f t="shared" si="26"/>
        <v>#DIV/0!</v>
      </c>
      <c r="AU23" s="131">
        <f t="shared" si="27"/>
        <v>2.0000000000000001E-4</v>
      </c>
      <c r="AV23" s="81">
        <f t="shared" si="28"/>
        <v>2.8657799722855173E-7</v>
      </c>
      <c r="AW23" s="131">
        <f t="shared" si="15"/>
        <v>3.0000000000000002E-2</v>
      </c>
      <c r="AX23" s="84" t="e">
        <f t="shared" si="29"/>
        <v>#DIV/0!</v>
      </c>
      <c r="AZ23">
        <f t="shared" si="17"/>
        <v>2.0000000000000001E-4</v>
      </c>
      <c r="BA23" s="84">
        <f t="shared" si="18"/>
        <v>0.28657799722855171</v>
      </c>
      <c r="BB23">
        <f t="shared" si="19"/>
        <v>1.9999999999999999E-6</v>
      </c>
      <c r="BC23" s="322">
        <f t="shared" si="20"/>
        <v>6.4606343965741692E-4</v>
      </c>
      <c r="BE23">
        <v>1.9994001896129689E-10</v>
      </c>
      <c r="BF23">
        <v>1.9994001849597219E-6</v>
      </c>
      <c r="BG23" s="81">
        <f t="shared" si="21"/>
        <v>0.99970009480648447</v>
      </c>
      <c r="BH23" s="81">
        <f t="shared" si="22"/>
        <v>0.99970009247986102</v>
      </c>
    </row>
    <row r="24" spans="1:60">
      <c r="B24" s="56" t="s">
        <v>215</v>
      </c>
      <c r="C24" s="139">
        <f>SQRT(C23)</f>
        <v>34.681761062186084</v>
      </c>
      <c r="E24" s="57" t="s">
        <v>31</v>
      </c>
      <c r="F24" s="140">
        <f>L_standard_uncertainty^4/F23</f>
        <v>3.1926005456292872</v>
      </c>
      <c r="S24" s="169" t="s">
        <v>671</v>
      </c>
      <c r="T24">
        <v>0</v>
      </c>
      <c r="U24">
        <f>pyUBreadings!N28*1000000</f>
        <v>0</v>
      </c>
      <c r="V24">
        <v>0</v>
      </c>
      <c r="W24">
        <f>pyUBreadings!K28*1000000</f>
        <v>0</v>
      </c>
      <c r="X24">
        <v>0</v>
      </c>
      <c r="Y24">
        <v>0</v>
      </c>
      <c r="AB24" s="86" t="s">
        <v>671</v>
      </c>
      <c r="AC24" s="128">
        <v>6.9551128041734711E-4</v>
      </c>
      <c r="AD24" s="129">
        <v>3.1021431432423423</v>
      </c>
      <c r="AE24" s="128">
        <v>3.1758048104172155E-3</v>
      </c>
      <c r="AF24" s="129">
        <v>2.1514837997140162</v>
      </c>
      <c r="AG24" s="171">
        <f t="shared" si="6"/>
        <v>37.711686974073068</v>
      </c>
      <c r="AH24" t="str">
        <f t="shared" si="0"/>
        <v>1Z</v>
      </c>
      <c r="AI24">
        <f t="shared" si="7"/>
        <v>1.3402875194111971E-2</v>
      </c>
      <c r="AJ24" s="130">
        <f t="shared" si="1"/>
        <v>9.9999999999999995E-7</v>
      </c>
      <c r="AK24" s="130">
        <f t="shared" si="2"/>
        <v>0.2</v>
      </c>
      <c r="AL24">
        <f t="shared" si="8"/>
        <v>10.214610642329065</v>
      </c>
      <c r="AM24" s="130">
        <f t="shared" si="3"/>
        <v>1E-3</v>
      </c>
      <c r="AN24" s="130">
        <f t="shared" si="4"/>
        <v>2E-3</v>
      </c>
      <c r="AO24">
        <f t="shared" si="5"/>
        <v>1000</v>
      </c>
      <c r="AQ24" s="130">
        <f t="shared" si="23"/>
        <v>0.29506325427046332</v>
      </c>
      <c r="AR24" s="81">
        <f t="shared" si="24"/>
        <v>4.242393510762446E-4</v>
      </c>
      <c r="AS24" s="157">
        <f t="shared" si="25"/>
        <v>2.7020144931299413E-5</v>
      </c>
      <c r="AT24" s="84">
        <f t="shared" si="26"/>
        <v>7.1649260744754983E-4</v>
      </c>
      <c r="AU24" s="131">
        <f t="shared" si="27"/>
        <v>0.29506325427046332</v>
      </c>
      <c r="AV24" s="81">
        <f t="shared" si="28"/>
        <v>4.242393510762446E-4</v>
      </c>
      <c r="AW24" s="131">
        <f t="shared" si="15"/>
        <v>3.0000000000000002E-2</v>
      </c>
      <c r="AX24" s="84">
        <f t="shared" si="29"/>
        <v>7.95509360814994E-4</v>
      </c>
      <c r="AZ24">
        <f t="shared" si="17"/>
        <v>2.0026076370432334E-4</v>
      </c>
      <c r="BA24" s="84">
        <f t="shared" si="18"/>
        <v>0.28793316419563358</v>
      </c>
      <c r="BB24">
        <f t="shared" si="19"/>
        <v>2.0051065052518316E-6</v>
      </c>
      <c r="BC24" s="322">
        <f t="shared" si="20"/>
        <v>6.3136956612532317E-4</v>
      </c>
      <c r="BE24">
        <v>2.0022088849341339E-10</v>
      </c>
      <c r="BF24">
        <v>2.0047091227565939E-6</v>
      </c>
      <c r="BG24" s="81">
        <f t="shared" si="21"/>
        <v>0.99980088355715635</v>
      </c>
      <c r="BH24" s="81">
        <f t="shared" si="22"/>
        <v>0.99980181476934171</v>
      </c>
    </row>
    <row r="25" spans="1:60">
      <c r="B25" s="33"/>
      <c r="E25" s="58" t="s">
        <v>17</v>
      </c>
      <c r="F25" s="141">
        <f>$G$3+$G$4/F24+$G$5/F24^2+$G$6/F24^3</f>
        <v>3.0459980693003432</v>
      </c>
      <c r="S25" s="86" t="s">
        <v>669</v>
      </c>
      <c r="T25">
        <v>0</v>
      </c>
      <c r="U25">
        <f>pyUBreadings!N29*1000000</f>
        <v>0</v>
      </c>
      <c r="V25">
        <v>0</v>
      </c>
      <c r="W25">
        <f>pyUBreadings!K29*1000000</f>
        <v>0</v>
      </c>
      <c r="X25">
        <v>0</v>
      </c>
      <c r="Y25">
        <v>0</v>
      </c>
      <c r="AB25" s="86" t="s">
        <v>669</v>
      </c>
      <c r="AC25" s="128">
        <v>6.5339545738644542E-4</v>
      </c>
      <c r="AD25" s="129">
        <v>2.3710838629986242</v>
      </c>
      <c r="AE25" s="128">
        <v>9.2114449126451444E-3</v>
      </c>
      <c r="AF25" s="129">
        <v>2.0931782330748288</v>
      </c>
      <c r="AG25" s="171">
        <f t="shared" si="6"/>
        <v>71.152062788623951</v>
      </c>
      <c r="AH25" t="str">
        <f t="shared" si="0"/>
        <v>1Z</v>
      </c>
      <c r="AI25">
        <f t="shared" si="7"/>
        <v>2.0604420074530345E-2</v>
      </c>
      <c r="AJ25" s="130">
        <f t="shared" si="1"/>
        <v>9.9999999999999995E-7</v>
      </c>
      <c r="AK25" s="130">
        <f t="shared" si="2"/>
        <v>0.2</v>
      </c>
      <c r="AL25">
        <f t="shared" si="8"/>
        <v>100.66201770259197</v>
      </c>
      <c r="AM25" s="130">
        <f t="shared" si="3"/>
        <v>1E-3</v>
      </c>
      <c r="AN25" s="130">
        <f t="shared" si="4"/>
        <v>2E-3</v>
      </c>
      <c r="AO25">
        <f t="shared" si="5"/>
        <v>1000</v>
      </c>
      <c r="AQ25" s="130">
        <f t="shared" si="23"/>
        <v>0.45349724163966759</v>
      </c>
      <c r="AR25" s="81">
        <f t="shared" si="24"/>
        <v>6.9406243418593336E-4</v>
      </c>
      <c r="AS25" s="157">
        <f t="shared" si="25"/>
        <v>2.7013103984437482E-5</v>
      </c>
      <c r="AT25" s="84">
        <f t="shared" si="26"/>
        <v>3.7965313900578066E-4</v>
      </c>
      <c r="AU25" s="131">
        <f t="shared" si="27"/>
        <v>0.45349724163966759</v>
      </c>
      <c r="AV25" s="81">
        <f t="shared" si="28"/>
        <v>6.9406243418593336E-4</v>
      </c>
      <c r="AW25" s="131">
        <f t="shared" si="15"/>
        <v>3.0000000000000002E-2</v>
      </c>
      <c r="AX25" s="84">
        <f t="shared" si="29"/>
        <v>4.2163218920473111E-4</v>
      </c>
      <c r="AZ25">
        <f t="shared" si="17"/>
        <v>2.2390382984266652E-4</v>
      </c>
      <c r="BA25" s="84">
        <f t="shared" ref="BA25:BA31" si="33">AZ25/AC25</f>
        <v>0.34267735918806735</v>
      </c>
      <c r="BB25">
        <f t="shared" si="19"/>
        <v>2.4466387636471439E-6</v>
      </c>
      <c r="BC25" s="322">
        <f t="shared" ref="BC25:BC31" si="34">BB25/AE25</f>
        <v>2.656085757282753E-4</v>
      </c>
      <c r="BE25">
        <v>2.2386924321609151E-10</v>
      </c>
      <c r="BF25">
        <v>2.4463325447094719E-6</v>
      </c>
      <c r="BG25" s="81">
        <f t="shared" si="21"/>
        <v>0.99984552909791979</v>
      </c>
      <c r="BH25" s="81">
        <f t="shared" si="22"/>
        <v>0.99987484096867019</v>
      </c>
    </row>
    <row r="26" spans="1:60" ht="13.5" thickBot="1">
      <c r="A26" s="26" t="s">
        <v>32</v>
      </c>
      <c r="B26" s="33"/>
      <c r="E26" s="59" t="s">
        <v>121</v>
      </c>
      <c r="F26" s="142">
        <f>F25*L_standard_uncertainty</f>
        <v>105.64057723535463</v>
      </c>
      <c r="S26" s="86" t="s">
        <v>672</v>
      </c>
      <c r="T26">
        <v>0</v>
      </c>
      <c r="U26">
        <f>pyUBreadings!N30*1000000</f>
        <v>0</v>
      </c>
      <c r="V26">
        <v>0</v>
      </c>
      <c r="W26">
        <f>pyUBreadings!K30*1000000</f>
        <v>0</v>
      </c>
      <c r="X26">
        <v>0</v>
      </c>
      <c r="Y26">
        <v>0</v>
      </c>
      <c r="AB26" s="86" t="s">
        <v>672</v>
      </c>
      <c r="AC26" s="128">
        <v>6.4811214015888402E-4</v>
      </c>
      <c r="AD26" s="129">
        <v>2.4278210081522618</v>
      </c>
      <c r="AE26" s="128">
        <v>8.4144416421551987E-3</v>
      </c>
      <c r="AF26" s="129">
        <v>2.088229859096451</v>
      </c>
      <c r="AG26" s="171">
        <f t="shared" si="6"/>
        <v>6694.5634729782378</v>
      </c>
      <c r="AH26" t="str">
        <f t="shared" si="0"/>
        <v>1Z</v>
      </c>
      <c r="AI26">
        <f t="shared" si="7"/>
        <v>2.0004291334495481E-4</v>
      </c>
      <c r="AJ26" s="130">
        <f t="shared" si="1"/>
        <v>9.9999999999999995E-7</v>
      </c>
      <c r="AK26" s="130">
        <f t="shared" si="2"/>
        <v>0.2</v>
      </c>
      <c r="AL26">
        <f t="shared" si="8"/>
        <v>91.141448550940055</v>
      </c>
      <c r="AM26" s="130">
        <f t="shared" si="3"/>
        <v>1E-3</v>
      </c>
      <c r="AN26" s="130">
        <f t="shared" si="4"/>
        <v>2E-3</v>
      </c>
      <c r="AO26">
        <f t="shared" si="5"/>
        <v>1000</v>
      </c>
      <c r="AQ26" s="130">
        <f t="shared" si="23"/>
        <v>4.6009440935890055E-3</v>
      </c>
      <c r="AR26" s="81">
        <f t="shared" si="24"/>
        <v>7.0989938445854279E-6</v>
      </c>
      <c r="AS26" s="157">
        <f t="shared" si="25"/>
        <v>2.8349710397060709E-5</v>
      </c>
      <c r="AT26" s="84">
        <f t="shared" si="26"/>
        <v>4.2347362171545232E-6</v>
      </c>
      <c r="AU26" s="131">
        <f t="shared" si="27"/>
        <v>4.6009440935890055E-3</v>
      </c>
      <c r="AV26" s="81">
        <f t="shared" si="28"/>
        <v>7.0989938445854279E-6</v>
      </c>
      <c r="AW26" s="131">
        <f t="shared" si="15"/>
        <v>3.0000000000000002E-2</v>
      </c>
      <c r="AX26" s="84">
        <f t="shared" si="29"/>
        <v>4.4812481233602793E-6</v>
      </c>
      <c r="AZ26">
        <f t="shared" si="17"/>
        <v>2.1978799706036503E-4</v>
      </c>
      <c r="BA26" s="84">
        <f t="shared" si="33"/>
        <v>0.33912032107049289</v>
      </c>
      <c r="BB26">
        <f t="shared" si="19"/>
        <v>2.3723671036787387E-6</v>
      </c>
      <c r="BC26" s="322">
        <f t="shared" si="34"/>
        <v>2.8193993191342667E-4</v>
      </c>
      <c r="BE26">
        <v>2.1975263410446239E-10</v>
      </c>
      <c r="BF26">
        <v>2.3720486202382489E-6</v>
      </c>
      <c r="BG26" s="81">
        <f t="shared" si="21"/>
        <v>0.99983910424420075</v>
      </c>
      <c r="BH26" s="81">
        <f t="shared" si="22"/>
        <v>0.99986575288453627</v>
      </c>
    </row>
    <row r="27" spans="1:60">
      <c r="A27" s="28" t="s">
        <v>216</v>
      </c>
      <c r="B27" s="33"/>
      <c r="S27" s="86" t="s">
        <v>666</v>
      </c>
      <c r="T27">
        <v>0</v>
      </c>
      <c r="U27">
        <f>pyUBreadings!N31*1000000</f>
        <v>0</v>
      </c>
      <c r="V27">
        <v>0</v>
      </c>
      <c r="W27">
        <f>pyUBreadings!K31*1000000</f>
        <v>0</v>
      </c>
      <c r="X27">
        <v>0</v>
      </c>
      <c r="Y27">
        <v>0</v>
      </c>
      <c r="AB27" s="86" t="s">
        <v>666</v>
      </c>
      <c r="AC27" s="128">
        <v>3.4602779011465813E-3</v>
      </c>
      <c r="AD27" s="129">
        <v>2.1456853195973378</v>
      </c>
      <c r="AE27" s="128">
        <v>8.7824424467831383E-2</v>
      </c>
      <c r="AF27" s="129">
        <v>2.1239594943926696</v>
      </c>
      <c r="AG27" s="171">
        <f t="shared" si="6"/>
        <v>724.07734581336194</v>
      </c>
      <c r="AH27" t="str">
        <f t="shared" si="0"/>
        <v>1Z</v>
      </c>
      <c r="AI27">
        <f t="shared" si="7"/>
        <v>1.9304141137788135E-2</v>
      </c>
      <c r="AJ27" s="130">
        <f t="shared" si="1"/>
        <v>9.9999999999999995E-7</v>
      </c>
      <c r="AK27" s="130">
        <f t="shared" si="2"/>
        <v>0.2</v>
      </c>
      <c r="AL27">
        <f t="shared" si="8"/>
        <v>998.23967602898244</v>
      </c>
      <c r="AM27" s="130">
        <f t="shared" si="3"/>
        <v>1E-3</v>
      </c>
      <c r="AN27" s="130">
        <f t="shared" si="4"/>
        <v>2E-3</v>
      </c>
      <c r="AO27">
        <f t="shared" si="5"/>
        <v>1000</v>
      </c>
      <c r="AQ27" s="130">
        <f t="shared" si="23"/>
        <v>0.42489110503133892</v>
      </c>
      <c r="AR27" s="81">
        <f t="shared" si="24"/>
        <v>1.2279103504679465E-4</v>
      </c>
      <c r="AS27" s="157">
        <f t="shared" si="25"/>
        <v>2.701398663623897E-5</v>
      </c>
      <c r="AT27" s="84">
        <f t="shared" si="26"/>
        <v>3.7308150562139107E-5</v>
      </c>
      <c r="AU27" s="131">
        <f t="shared" si="27"/>
        <v>0.42489110503133892</v>
      </c>
      <c r="AV27" s="81">
        <f t="shared" si="28"/>
        <v>1.2279103504679465E-4</v>
      </c>
      <c r="AW27" s="131">
        <f t="shared" si="15"/>
        <v>3.0000000000000002E-2</v>
      </c>
      <c r="AX27" s="84">
        <f t="shared" si="29"/>
        <v>4.1432037852669952E-5</v>
      </c>
      <c r="AZ27">
        <f t="shared" si="17"/>
        <v>1.0180778574538499E-3</v>
      </c>
      <c r="BA27" s="84">
        <f t="shared" si="33"/>
        <v>0.29421852421636552</v>
      </c>
      <c r="BB27">
        <f t="shared" si="19"/>
        <v>1.4117739340382879E-5</v>
      </c>
      <c r="BC27" s="322">
        <f t="shared" si="34"/>
        <v>1.6074957992527432E-4</v>
      </c>
      <c r="BE27">
        <v>1.018070181350351E-9</v>
      </c>
      <c r="BF27">
        <v>1.411776679464135E-5</v>
      </c>
      <c r="BG27" s="81">
        <f t="shared" si="21"/>
        <v>0.99999246019993193</v>
      </c>
      <c r="BH27" s="81">
        <f t="shared" si="22"/>
        <v>1.0000019446639301</v>
      </c>
    </row>
    <row r="28" spans="1:60">
      <c r="A28" t="s">
        <v>122</v>
      </c>
      <c r="B28" s="33"/>
      <c r="E28" s="28"/>
      <c r="F28" s="60"/>
      <c r="S28" s="86" t="s">
        <v>674</v>
      </c>
      <c r="T28">
        <v>0</v>
      </c>
      <c r="U28">
        <f>pyUBreadings!N32*1000000</f>
        <v>0</v>
      </c>
      <c r="V28">
        <v>0</v>
      </c>
      <c r="W28">
        <f>pyUBreadings!K32*1000000</f>
        <v>0</v>
      </c>
      <c r="X28">
        <v>0</v>
      </c>
      <c r="Y28">
        <v>0</v>
      </c>
      <c r="AB28" s="86" t="s">
        <v>674</v>
      </c>
      <c r="AC28" s="128">
        <v>3.3259003828294141E-3</v>
      </c>
      <c r="AD28" s="129">
        <v>2.1451053311565604</v>
      </c>
      <c r="AE28" s="128">
        <v>8.4371658955395917E-2</v>
      </c>
      <c r="AF28" s="129">
        <v>2.1239256149764891</v>
      </c>
      <c r="AG28" s="171">
        <f t="shared" si="6"/>
        <v>-7458.4921999873641</v>
      </c>
      <c r="AH28" t="str">
        <f t="shared" si="0"/>
        <v>1Z</v>
      </c>
      <c r="AI28">
        <f t="shared" si="7"/>
        <v>-1.8003862201045931E-3</v>
      </c>
      <c r="AJ28" s="130">
        <f t="shared" si="1"/>
        <v>9.9999999999999995E-7</v>
      </c>
      <c r="AK28" s="130">
        <f t="shared" si="2"/>
        <v>0.2</v>
      </c>
      <c r="AL28">
        <f t="shared" si="8"/>
        <v>958.96282800938661</v>
      </c>
      <c r="AM28" s="130">
        <f t="shared" si="3"/>
        <v>1E-3</v>
      </c>
      <c r="AN28" s="130">
        <f t="shared" si="4"/>
        <v>2E-3</v>
      </c>
      <c r="AO28">
        <f t="shared" si="5"/>
        <v>1000</v>
      </c>
      <c r="AQ28" s="130">
        <f t="shared" si="23"/>
        <v>-3.940849684230105E-2</v>
      </c>
      <c r="AR28" s="81">
        <f t="shared" si="24"/>
        <v>-1.184897089695014E-5</v>
      </c>
      <c r="AS28" s="157">
        <f t="shared" si="25"/>
        <v>2.6850032178104364E-5</v>
      </c>
      <c r="AT28" s="84">
        <f t="shared" si="26"/>
        <v>-3.5999276339190716E-6</v>
      </c>
      <c r="AU28" s="131">
        <f t="shared" si="27"/>
        <v>-3.940849684230105E-2</v>
      </c>
      <c r="AV28" s="81">
        <f t="shared" si="28"/>
        <v>-1.184897089695014E-5</v>
      </c>
      <c r="AW28" s="131">
        <f t="shared" si="15"/>
        <v>3.0000000000000002E-2</v>
      </c>
      <c r="AX28" s="84">
        <f t="shared" si="29"/>
        <v>-4.0222606923220789E-6</v>
      </c>
      <c r="AZ28">
        <f t="shared" si="17"/>
        <v>9.7959670586373086E-4</v>
      </c>
      <c r="BA28" s="84">
        <f t="shared" si="33"/>
        <v>0.29453579274986197</v>
      </c>
      <c r="BB28">
        <f t="shared" si="19"/>
        <v>1.357363261294304E-5</v>
      </c>
      <c r="BC28" s="322">
        <f t="shared" si="34"/>
        <v>1.608790532389425E-4</v>
      </c>
      <c r="BE28">
        <v>9.7959191092758478E-10</v>
      </c>
      <c r="BF28">
        <v>1.357367787336285E-5</v>
      </c>
      <c r="BG28" s="81">
        <f t="shared" si="21"/>
        <v>0.99999510519368096</v>
      </c>
      <c r="BH28" s="81">
        <f t="shared" si="22"/>
        <v>1.0000033344367791</v>
      </c>
    </row>
    <row r="29" spans="1:60">
      <c r="A29" t="s">
        <v>123</v>
      </c>
      <c r="B29" s="33"/>
      <c r="S29" s="86" t="s">
        <v>677</v>
      </c>
      <c r="T29">
        <v>0</v>
      </c>
      <c r="U29">
        <f>pyUBreadings!N33*1000000</f>
        <v>0</v>
      </c>
      <c r="V29">
        <v>0</v>
      </c>
      <c r="W29">
        <f>pyUBreadings!K33*1000000</f>
        <v>0</v>
      </c>
      <c r="X29">
        <v>0</v>
      </c>
      <c r="Y29">
        <v>0</v>
      </c>
      <c r="AB29" s="86" t="s">
        <v>677</v>
      </c>
      <c r="AC29" s="128">
        <v>3.3122507795782185E-3</v>
      </c>
      <c r="AD29" s="129">
        <v>2.1497883579061599</v>
      </c>
      <c r="AE29" s="128">
        <v>8.4370454558154645E-2</v>
      </c>
      <c r="AF29" s="129">
        <v>2.1239256024330486</v>
      </c>
      <c r="AG29" s="171">
        <f t="shared" si="6"/>
        <v>-3948.5571515657125</v>
      </c>
      <c r="AH29" t="str">
        <f t="shared" si="0"/>
        <v>1Z</v>
      </c>
      <c r="AI29">
        <f t="shared" si="7"/>
        <v>-1.7003647634321159E-3</v>
      </c>
      <c r="AJ29" s="130">
        <f t="shared" si="1"/>
        <v>9.9999999999999995E-7</v>
      </c>
      <c r="AK29" s="130">
        <f t="shared" si="2"/>
        <v>0.2</v>
      </c>
      <c r="AL29">
        <f t="shared" si="8"/>
        <v>958.95062728001142</v>
      </c>
      <c r="AM29" s="130">
        <f t="shared" si="3"/>
        <v>1E-3</v>
      </c>
      <c r="AN29" s="130">
        <f t="shared" si="4"/>
        <v>2E-3</v>
      </c>
      <c r="AO29">
        <f t="shared" si="5"/>
        <v>2000</v>
      </c>
      <c r="AQ29" s="130">
        <f t="shared" si="23"/>
        <v>-3.7308024795506545E-2</v>
      </c>
      <c r="AR29" s="81">
        <f t="shared" si="24"/>
        <v>-1.1263647374024422E-5</v>
      </c>
      <c r="AS29" s="157">
        <f t="shared" si="25"/>
        <v>2.6841210541522268E-5</v>
      </c>
      <c r="AT29" s="84">
        <f t="shared" si="26"/>
        <v>-6.7977262354880652E-6</v>
      </c>
      <c r="AU29" s="131">
        <f t="shared" si="27"/>
        <v>-3.7308024795506545E-2</v>
      </c>
      <c r="AV29" s="81">
        <f t="shared" si="28"/>
        <v>-1.1263647374024422E-5</v>
      </c>
      <c r="AW29" s="131">
        <f t="shared" si="15"/>
        <v>3.0000000000000002E-2</v>
      </c>
      <c r="AX29" s="84">
        <f t="shared" si="29"/>
        <v>-7.597711986542773E-6</v>
      </c>
      <c r="AZ29">
        <f t="shared" si="17"/>
        <v>9.6415056195980648E-4</v>
      </c>
      <c r="BA29" s="84">
        <f t="shared" si="33"/>
        <v>0.2910862208575225</v>
      </c>
      <c r="BB29">
        <f t="shared" si="19"/>
        <v>1.3462500359101758E-5</v>
      </c>
      <c r="BC29" s="322">
        <f t="shared" si="34"/>
        <v>1.5956415583635812E-4</v>
      </c>
      <c r="BE29">
        <v>9.6415974577479641E-10</v>
      </c>
      <c r="BF29">
        <v>1.3462636395261971E-5</v>
      </c>
      <c r="BG29" s="81">
        <f t="shared" si="21"/>
        <v>1.0000095252913315</v>
      </c>
      <c r="BH29" s="81">
        <f t="shared" si="22"/>
        <v>1.0000101048212875</v>
      </c>
    </row>
    <row r="30" spans="1:60">
      <c r="A30" t="s">
        <v>217</v>
      </c>
      <c r="S30" s="86" t="s">
        <v>668</v>
      </c>
      <c r="T30">
        <v>0</v>
      </c>
      <c r="U30">
        <f>pyUBreadings!N34*1000000</f>
        <v>0</v>
      </c>
      <c r="V30">
        <v>0</v>
      </c>
      <c r="W30">
        <f>pyUBreadings!K34*1000000</f>
        <v>0</v>
      </c>
      <c r="X30">
        <v>0</v>
      </c>
      <c r="Y30">
        <v>0</v>
      </c>
      <c r="AB30" s="86" t="s">
        <v>668</v>
      </c>
      <c r="AC30" s="128">
        <v>3.4472943030117629E-3</v>
      </c>
      <c r="AD30" s="129">
        <v>2.1500481315044584</v>
      </c>
      <c r="AE30" s="128">
        <v>8.7825373949246513E-2</v>
      </c>
      <c r="AF30" s="129">
        <v>2.1239595031837717</v>
      </c>
      <c r="AG30" s="171">
        <f t="shared" si="6"/>
        <v>363.9282254281577</v>
      </c>
      <c r="AH30" t="str">
        <f t="shared" si="0"/>
        <v>1Z</v>
      </c>
      <c r="AI30">
        <f t="shared" si="7"/>
        <v>1.9204119681115659E-2</v>
      </c>
      <c r="AJ30" s="130">
        <f t="shared" si="1"/>
        <v>9.9999999999999995E-7</v>
      </c>
      <c r="AK30" s="130">
        <f t="shared" si="2"/>
        <v>0.2</v>
      </c>
      <c r="AL30">
        <f t="shared" si="8"/>
        <v>998.25197676433595</v>
      </c>
      <c r="AM30" s="130">
        <f t="shared" si="3"/>
        <v>1E-3</v>
      </c>
      <c r="AN30" s="130">
        <f t="shared" si="4"/>
        <v>2E-3</v>
      </c>
      <c r="AO30">
        <f t="shared" si="5"/>
        <v>2000</v>
      </c>
      <c r="AQ30" s="130">
        <f t="shared" si="23"/>
        <v>0.42259063298454441</v>
      </c>
      <c r="AR30" s="81">
        <f t="shared" si="24"/>
        <v>1.2258617798177078E-4</v>
      </c>
      <c r="AS30" s="157">
        <f t="shared" si="25"/>
        <v>2.7014059483302716E-5</v>
      </c>
      <c r="AT30" s="84">
        <f t="shared" si="26"/>
        <v>7.422908583559564E-5</v>
      </c>
      <c r="AU30" s="131">
        <f t="shared" si="27"/>
        <v>0.42259063298454441</v>
      </c>
      <c r="AV30" s="81">
        <f t="shared" si="28"/>
        <v>1.2258617798177078E-4</v>
      </c>
      <c r="AW30" s="131">
        <f t="shared" si="15"/>
        <v>3.0000000000000002E-2</v>
      </c>
      <c r="AX30" s="84">
        <f t="shared" si="29"/>
        <v>8.2433836959761278E-5</v>
      </c>
      <c r="AZ30">
        <f t="shared" si="17"/>
        <v>1.003248265086142E-3</v>
      </c>
      <c r="BA30" s="84">
        <f t="shared" si="33"/>
        <v>0.29102483771392662</v>
      </c>
      <c r="BB30">
        <f t="shared" si="19"/>
        <v>1.4011258953937984E-5</v>
      </c>
      <c r="BC30" s="322">
        <f t="shared" si="34"/>
        <v>1.5953543177664082E-4</v>
      </c>
      <c r="BE30">
        <v>1.003257906847463E-9</v>
      </c>
      <c r="BF30">
        <v>1.4011401171335519E-5</v>
      </c>
      <c r="BG30" s="81">
        <f t="shared" si="21"/>
        <v>1.0000096105437273</v>
      </c>
      <c r="BH30" s="81">
        <f t="shared" si="22"/>
        <v>1.0000101502226175</v>
      </c>
    </row>
    <row r="31" spans="1:60">
      <c r="S31" s="86" t="s">
        <v>682</v>
      </c>
      <c r="T31">
        <v>0</v>
      </c>
      <c r="U31">
        <f>pyUBreadings!N35*1000000</f>
        <v>0</v>
      </c>
      <c r="V31">
        <v>0</v>
      </c>
      <c r="W31">
        <f>pyUBreadings!K35*1000000</f>
        <v>0</v>
      </c>
      <c r="X31">
        <v>0</v>
      </c>
      <c r="Y31">
        <v>0</v>
      </c>
      <c r="AB31" s="86" t="s">
        <v>682</v>
      </c>
      <c r="AC31" s="128">
        <v>3.4434877830658923E-4</v>
      </c>
      <c r="AD31" s="129">
        <v>2.4349135235330985</v>
      </c>
      <c r="AE31" s="128">
        <v>3.0956712238845714E-3</v>
      </c>
      <c r="AF31" s="129">
        <v>2.1889700872743987</v>
      </c>
      <c r="AG31" s="171" t="e">
        <f t="shared" si="6"/>
        <v>#DIV/0!</v>
      </c>
      <c r="AH31" t="str">
        <f t="shared" si="0"/>
        <v>1Z</v>
      </c>
      <c r="AI31">
        <f t="shared" si="7"/>
        <v>0</v>
      </c>
      <c r="AJ31" s="130">
        <f t="shared" si="1"/>
        <v>9.9999999999999995E-7</v>
      </c>
      <c r="AK31" s="130">
        <f t="shared" si="2"/>
        <v>0.2</v>
      </c>
      <c r="AL31">
        <f t="shared" si="8"/>
        <v>0</v>
      </c>
      <c r="AM31" s="130">
        <f t="shared" si="3"/>
        <v>1E-3</v>
      </c>
      <c r="AN31" s="130">
        <f t="shared" si="4"/>
        <v>2E-3</v>
      </c>
      <c r="AO31">
        <f t="shared" si="5"/>
        <v>2000</v>
      </c>
      <c r="AQ31" s="130">
        <f t="shared" si="23"/>
        <v>1E-4</v>
      </c>
      <c r="AR31" s="81">
        <f t="shared" si="24"/>
        <v>2.9040323735653125E-7</v>
      </c>
      <c r="AS31" s="157" t="e">
        <f t="shared" si="25"/>
        <v>#DIV/0!</v>
      </c>
      <c r="AT31" s="84" t="e">
        <f t="shared" si="26"/>
        <v>#DIV/0!</v>
      </c>
      <c r="AU31" s="131">
        <f t="shared" si="27"/>
        <v>1E-4</v>
      </c>
      <c r="AV31" s="81">
        <f t="shared" si="28"/>
        <v>2.9040323735653125E-7</v>
      </c>
      <c r="AW31" s="131">
        <f t="shared" si="15"/>
        <v>3.0000000000000002E-2</v>
      </c>
      <c r="AX31" s="84" t="e">
        <f t="shared" si="29"/>
        <v>#DIV/0!</v>
      </c>
      <c r="AZ31">
        <f t="shared" si="17"/>
        <v>1E-4</v>
      </c>
      <c r="BA31" s="84">
        <f t="shared" si="33"/>
        <v>0.29040323735653129</v>
      </c>
      <c r="BB31">
        <f t="shared" si="19"/>
        <v>9.9999999999999995E-7</v>
      </c>
      <c r="BC31" s="322">
        <f t="shared" si="34"/>
        <v>3.2303171999808176E-4</v>
      </c>
      <c r="BE31">
        <v>9.9995002171642782E-11</v>
      </c>
      <c r="BF31">
        <v>9.9995001230423866E-7</v>
      </c>
      <c r="BG31" s="81">
        <f t="shared" si="21"/>
        <v>0.99995002171642766</v>
      </c>
      <c r="BH31" s="81">
        <f t="shared" si="22"/>
        <v>0.99995001230423874</v>
      </c>
    </row>
    <row r="32" spans="1:60">
      <c r="S32" s="86"/>
      <c r="X32">
        <v>0</v>
      </c>
      <c r="Y32">
        <v>0</v>
      </c>
      <c r="AB32" s="86"/>
      <c r="AC32" s="128" t="e">
        <v>#N/A</v>
      </c>
      <c r="AD32" s="129" t="e">
        <v>#N/A</v>
      </c>
      <c r="AE32" s="128" t="e">
        <v>#N/A</v>
      </c>
      <c r="AF32" s="129" t="e">
        <v>#N/A</v>
      </c>
      <c r="AG32" s="171" t="e">
        <f t="shared" si="6"/>
        <v>#N/A</v>
      </c>
      <c r="AH32" t="e">
        <f t="shared" si="0"/>
        <v>#N/A</v>
      </c>
      <c r="AI32" t="e">
        <f t="shared" si="7"/>
        <v>#N/A</v>
      </c>
      <c r="AJ32" s="130" t="e">
        <f t="shared" si="1"/>
        <v>#N/A</v>
      </c>
      <c r="AK32" s="130" t="e">
        <f t="shared" si="2"/>
        <v>#N/A</v>
      </c>
      <c r="AL32" t="e">
        <f t="shared" si="8"/>
        <v>#N/A</v>
      </c>
      <c r="AM32" s="130" t="e">
        <f t="shared" si="3"/>
        <v>#N/A</v>
      </c>
      <c r="AN32" s="130" t="e">
        <f t="shared" si="4"/>
        <v>#N/A</v>
      </c>
      <c r="AO32" t="e">
        <f t="shared" si="5"/>
        <v>#N/A</v>
      </c>
      <c r="AQ32" s="130" t="e">
        <f t="shared" si="23"/>
        <v>#N/A</v>
      </c>
      <c r="AR32" s="81" t="e">
        <f t="shared" si="24"/>
        <v>#N/A</v>
      </c>
      <c r="AS32" s="157" t="e">
        <f t="shared" si="25"/>
        <v>#N/A</v>
      </c>
      <c r="AT32" s="84" t="e">
        <f t="shared" si="26"/>
        <v>#N/A</v>
      </c>
      <c r="AU32" s="131" t="e">
        <f t="shared" si="27"/>
        <v>#N/A</v>
      </c>
      <c r="AV32" s="81" t="e">
        <f t="shared" si="28"/>
        <v>#N/A</v>
      </c>
      <c r="AW32" s="131">
        <f t="shared" si="15"/>
        <v>3.0000000000000002E-2</v>
      </c>
      <c r="AX32" s="84" t="e">
        <f t="shared" si="29"/>
        <v>#N/A</v>
      </c>
    </row>
    <row r="33" spans="1:50" ht="15.75">
      <c r="A33" s="39" t="s">
        <v>218</v>
      </c>
      <c r="B33" s="40"/>
      <c r="C33" s="41"/>
      <c r="D33" s="42"/>
      <c r="F33" s="28" t="s">
        <v>20</v>
      </c>
      <c r="S33" s="86"/>
      <c r="X33">
        <v>0</v>
      </c>
      <c r="Y33">
        <v>0</v>
      </c>
      <c r="AB33" s="86"/>
      <c r="AC33" s="128" t="e">
        <v>#N/A</v>
      </c>
      <c r="AD33" s="129" t="e">
        <v>#N/A</v>
      </c>
      <c r="AE33" s="128" t="e">
        <v>#N/A</v>
      </c>
      <c r="AF33" s="129" t="e">
        <v>#N/A</v>
      </c>
      <c r="AG33" s="171" t="e">
        <f t="shared" si="6"/>
        <v>#N/A</v>
      </c>
      <c r="AH33" t="e">
        <f t="shared" si="0"/>
        <v>#N/A</v>
      </c>
      <c r="AI33" t="e">
        <f t="shared" si="7"/>
        <v>#N/A</v>
      </c>
      <c r="AJ33" s="130" t="e">
        <f t="shared" si="1"/>
        <v>#N/A</v>
      </c>
      <c r="AK33" s="130" t="e">
        <f t="shared" si="2"/>
        <v>#N/A</v>
      </c>
      <c r="AL33" t="e">
        <f t="shared" si="8"/>
        <v>#N/A</v>
      </c>
      <c r="AM33" s="130" t="e">
        <f t="shared" si="3"/>
        <v>#N/A</v>
      </c>
      <c r="AN33" s="130" t="e">
        <f t="shared" si="4"/>
        <v>#N/A</v>
      </c>
      <c r="AO33" t="e">
        <f t="shared" si="5"/>
        <v>#N/A</v>
      </c>
      <c r="AQ33" s="130" t="e">
        <f t="shared" si="23"/>
        <v>#N/A</v>
      </c>
      <c r="AR33" s="81" t="e">
        <f t="shared" si="24"/>
        <v>#N/A</v>
      </c>
      <c r="AS33" s="157" t="e">
        <f t="shared" si="25"/>
        <v>#N/A</v>
      </c>
      <c r="AT33" s="84" t="e">
        <f t="shared" si="26"/>
        <v>#N/A</v>
      </c>
      <c r="AU33" s="131" t="e">
        <f t="shared" si="27"/>
        <v>#N/A</v>
      </c>
      <c r="AV33" s="81" t="e">
        <f t="shared" si="28"/>
        <v>#N/A</v>
      </c>
      <c r="AW33" s="131">
        <f t="shared" si="15"/>
        <v>3.0000000000000002E-2</v>
      </c>
      <c r="AX33" s="84" t="e">
        <f t="shared" si="29"/>
        <v>#N/A</v>
      </c>
    </row>
    <row r="34" spans="1:50">
      <c r="A34" s="43"/>
      <c r="B34" s="44" t="s">
        <v>21</v>
      </c>
      <c r="C34" s="143" t="s">
        <v>207</v>
      </c>
      <c r="D34" s="143">
        <f>VLOOKUP(label,Results,4,FALSE)</f>
        <v>9981995</v>
      </c>
      <c r="E34" s="144" t="s">
        <v>219</v>
      </c>
      <c r="F34" s="145"/>
      <c r="G34" s="136" t="s">
        <v>220</v>
      </c>
      <c r="S34" s="86"/>
      <c r="X34">
        <v>0</v>
      </c>
      <c r="Y34">
        <v>0</v>
      </c>
      <c r="AB34" s="86"/>
      <c r="AC34" s="128" t="e">
        <v>#N/A</v>
      </c>
      <c r="AD34" s="129" t="e">
        <v>#N/A</v>
      </c>
      <c r="AE34" s="128" t="e">
        <v>#N/A</v>
      </c>
      <c r="AF34" s="129" t="e">
        <v>#N/A</v>
      </c>
      <c r="AG34" s="171" t="e">
        <f t="shared" si="6"/>
        <v>#N/A</v>
      </c>
      <c r="AH34" t="e">
        <f t="shared" si="0"/>
        <v>#N/A</v>
      </c>
      <c r="AI34" t="e">
        <f t="shared" si="7"/>
        <v>#N/A</v>
      </c>
      <c r="AJ34" s="130" t="e">
        <f t="shared" si="1"/>
        <v>#N/A</v>
      </c>
      <c r="AK34" s="130" t="e">
        <f t="shared" si="2"/>
        <v>#N/A</v>
      </c>
      <c r="AL34" t="e">
        <f t="shared" si="8"/>
        <v>#N/A</v>
      </c>
      <c r="AM34" s="130" t="e">
        <f t="shared" si="3"/>
        <v>#N/A</v>
      </c>
      <c r="AN34" s="130" t="e">
        <f t="shared" si="4"/>
        <v>#N/A</v>
      </c>
      <c r="AO34" t="e">
        <f t="shared" si="5"/>
        <v>#N/A</v>
      </c>
      <c r="AQ34" s="130" t="e">
        <f t="shared" si="23"/>
        <v>#N/A</v>
      </c>
      <c r="AR34" s="81" t="e">
        <f t="shared" si="24"/>
        <v>#N/A</v>
      </c>
      <c r="AS34" s="157" t="e">
        <f t="shared" si="25"/>
        <v>#N/A</v>
      </c>
      <c r="AT34" s="84" t="e">
        <f t="shared" si="26"/>
        <v>#N/A</v>
      </c>
      <c r="AU34" s="131" t="e">
        <f t="shared" si="27"/>
        <v>#N/A</v>
      </c>
      <c r="AV34" s="81" t="e">
        <f t="shared" si="28"/>
        <v>#N/A</v>
      </c>
      <c r="AW34" s="131">
        <f t="shared" si="15"/>
        <v>3.0000000000000002E-2</v>
      </c>
      <c r="AX34" s="84" t="e">
        <f t="shared" si="29"/>
        <v>#N/A</v>
      </c>
    </row>
    <row r="35" spans="1:50">
      <c r="A35" s="45" t="s">
        <v>22</v>
      </c>
      <c r="B35" s="44" t="s">
        <v>23</v>
      </c>
      <c r="E35" s="45" t="s">
        <v>24</v>
      </c>
      <c r="S35" s="86"/>
      <c r="X35">
        <v>0</v>
      </c>
      <c r="Y35">
        <v>0</v>
      </c>
      <c r="AB35" s="86"/>
      <c r="AC35" s="128" t="e">
        <v>#N/A</v>
      </c>
      <c r="AD35" s="129" t="e">
        <v>#N/A</v>
      </c>
      <c r="AE35" s="128" t="e">
        <v>#N/A</v>
      </c>
      <c r="AF35" s="129" t="e">
        <v>#N/A</v>
      </c>
      <c r="AG35" s="171" t="e">
        <f t="shared" si="6"/>
        <v>#N/A</v>
      </c>
      <c r="AH35" t="e">
        <f t="shared" si="0"/>
        <v>#N/A</v>
      </c>
      <c r="AI35" t="e">
        <f t="shared" si="7"/>
        <v>#N/A</v>
      </c>
      <c r="AJ35" s="130" t="e">
        <f t="shared" si="1"/>
        <v>#N/A</v>
      </c>
      <c r="AK35" s="130" t="e">
        <f t="shared" si="2"/>
        <v>#N/A</v>
      </c>
      <c r="AL35" t="e">
        <f t="shared" si="8"/>
        <v>#N/A</v>
      </c>
      <c r="AM35" s="130" t="e">
        <f t="shared" si="3"/>
        <v>#N/A</v>
      </c>
      <c r="AN35" s="130" t="e">
        <f t="shared" si="4"/>
        <v>#N/A</v>
      </c>
      <c r="AO35" t="e">
        <f t="shared" si="5"/>
        <v>#N/A</v>
      </c>
      <c r="AQ35" s="130" t="e">
        <f t="shared" si="23"/>
        <v>#N/A</v>
      </c>
      <c r="AR35" s="81" t="e">
        <f t="shared" si="24"/>
        <v>#N/A</v>
      </c>
      <c r="AS35" s="157" t="e">
        <f t="shared" si="25"/>
        <v>#N/A</v>
      </c>
      <c r="AT35" s="84" t="e">
        <f t="shared" si="26"/>
        <v>#N/A</v>
      </c>
      <c r="AU35" s="131" t="e">
        <f t="shared" si="27"/>
        <v>#N/A</v>
      </c>
      <c r="AV35" s="81" t="e">
        <f t="shared" si="28"/>
        <v>#N/A</v>
      </c>
      <c r="AW35" s="131">
        <f t="shared" si="15"/>
        <v>3.0000000000000002E-2</v>
      </c>
      <c r="AX35" s="84" t="e">
        <f t="shared" si="29"/>
        <v>#N/A</v>
      </c>
    </row>
    <row r="36" spans="1:50" ht="15.75">
      <c r="A36" s="47"/>
      <c r="B36" s="44" t="s">
        <v>208</v>
      </c>
      <c r="C36" s="45" t="s">
        <v>25</v>
      </c>
      <c r="D36" s="45" t="s">
        <v>26</v>
      </c>
      <c r="E36" s="45" t="s">
        <v>27</v>
      </c>
      <c r="F36" s="45" t="s">
        <v>28</v>
      </c>
      <c r="K36" s="134" t="s">
        <v>139</v>
      </c>
      <c r="S36" s="86"/>
      <c r="X36">
        <v>0</v>
      </c>
      <c r="Y36">
        <v>0</v>
      </c>
      <c r="AB36" s="86"/>
      <c r="AC36" s="128" t="e">
        <v>#N/A</v>
      </c>
      <c r="AD36" s="129" t="e">
        <v>#N/A</v>
      </c>
      <c r="AE36" s="128" t="e">
        <v>#N/A</v>
      </c>
      <c r="AF36" s="129" t="e">
        <v>#N/A</v>
      </c>
      <c r="AG36" s="171" t="e">
        <f t="shared" si="6"/>
        <v>#N/A</v>
      </c>
      <c r="AH36" t="e">
        <f t="shared" si="0"/>
        <v>#N/A</v>
      </c>
      <c r="AI36" t="e">
        <f t="shared" si="7"/>
        <v>#N/A</v>
      </c>
      <c r="AJ36" s="130" t="e">
        <f t="shared" si="1"/>
        <v>#N/A</v>
      </c>
      <c r="AK36" s="130" t="e">
        <f t="shared" si="2"/>
        <v>#N/A</v>
      </c>
      <c r="AL36" t="e">
        <f t="shared" si="8"/>
        <v>#N/A</v>
      </c>
      <c r="AM36" s="130" t="e">
        <f t="shared" si="3"/>
        <v>#N/A</v>
      </c>
      <c r="AN36" s="130" t="e">
        <f t="shared" si="4"/>
        <v>#N/A</v>
      </c>
      <c r="AO36" t="e">
        <f t="shared" si="5"/>
        <v>#N/A</v>
      </c>
      <c r="AQ36" s="130" t="e">
        <f t="shared" si="23"/>
        <v>#N/A</v>
      </c>
      <c r="AR36" s="81" t="e">
        <f t="shared" si="24"/>
        <v>#N/A</v>
      </c>
      <c r="AS36" s="157" t="e">
        <f t="shared" si="25"/>
        <v>#N/A</v>
      </c>
      <c r="AT36" s="84" t="e">
        <f t="shared" si="26"/>
        <v>#N/A</v>
      </c>
      <c r="AU36" s="131" t="e">
        <f t="shared" si="27"/>
        <v>#N/A</v>
      </c>
      <c r="AV36" s="81" t="e">
        <f t="shared" si="28"/>
        <v>#N/A</v>
      </c>
      <c r="AW36" s="131">
        <f t="shared" si="15"/>
        <v>3.0000000000000002E-2</v>
      </c>
      <c r="AX36" s="84" t="e">
        <f t="shared" si="29"/>
        <v>#N/A</v>
      </c>
    </row>
    <row r="37" spans="1:50">
      <c r="A37" s="48" t="s">
        <v>242</v>
      </c>
      <c r="B37" s="49">
        <f>10*0.000016*D11</f>
        <v>3.3599999999999998E-2</v>
      </c>
      <c r="C37" s="50">
        <f t="shared" ref="C37:C45" si="35">B37^2</f>
        <v>1.1289599999999998E-3</v>
      </c>
      <c r="D37" s="61" t="s">
        <v>124</v>
      </c>
      <c r="E37" s="52">
        <v>13</v>
      </c>
      <c r="F37" s="50">
        <f t="shared" ref="F37:F45" si="36">B37^4/E37</f>
        <v>9.8042360123076886E-8</v>
      </c>
      <c r="G37" t="s">
        <v>125</v>
      </c>
      <c r="K37" s="136" t="s">
        <v>221</v>
      </c>
      <c r="L37" t="s">
        <v>249</v>
      </c>
      <c r="S37" s="86"/>
      <c r="X37">
        <v>0</v>
      </c>
      <c r="Y37">
        <v>0</v>
      </c>
      <c r="AB37" s="86"/>
      <c r="AC37" s="128" t="e">
        <v>#N/A</v>
      </c>
      <c r="AD37" s="129" t="e">
        <v>#N/A</v>
      </c>
      <c r="AE37" s="128" t="e">
        <v>#N/A</v>
      </c>
      <c r="AF37" s="129" t="e">
        <v>#N/A</v>
      </c>
      <c r="AG37" s="171" t="e">
        <f t="shared" si="6"/>
        <v>#N/A</v>
      </c>
      <c r="AH37" t="e">
        <f t="shared" ref="AH37:AH59" si="37">VLOOKUP(AB37, Results,2,FALSE)</f>
        <v>#N/A</v>
      </c>
      <c r="AI37" t="e">
        <f t="shared" si="7"/>
        <v>#N/A</v>
      </c>
      <c r="AJ37" s="130" t="e">
        <f t="shared" ref="AJ37:AJ59" si="38">VLOOKUP(AH37,multiplier,4,FALSE)</f>
        <v>#N/A</v>
      </c>
      <c r="AK37" s="130" t="e">
        <f t="shared" ref="AK37:AK59" si="39">VLOOKUP(AH37,multiplier,8,FALSE)</f>
        <v>#N/A</v>
      </c>
      <c r="AL37" t="e">
        <f t="shared" si="8"/>
        <v>#N/A</v>
      </c>
      <c r="AM37" s="130" t="e">
        <f t="shared" ref="AM37:AM59" si="40">VLOOKUP(AH37,multiplier,7,FALSE)</f>
        <v>#N/A</v>
      </c>
      <c r="AN37" s="130" t="e">
        <f t="shared" ref="AN37:AN59" si="41">VLOOKUP(AH37,multiplier,9,FALSE)</f>
        <v>#N/A</v>
      </c>
      <c r="AO37" t="e">
        <f t="shared" ref="AO37:AO59" si="42">VLOOKUP(AB37,Results,9,FALSE)</f>
        <v>#N/A</v>
      </c>
      <c r="AQ37" s="130" t="e">
        <f t="shared" si="23"/>
        <v>#N/A</v>
      </c>
      <c r="AR37" s="81" t="e">
        <f t="shared" si="24"/>
        <v>#N/A</v>
      </c>
      <c r="AS37" s="157" t="e">
        <f t="shared" si="25"/>
        <v>#N/A</v>
      </c>
      <c r="AT37" s="84" t="e">
        <f t="shared" si="26"/>
        <v>#N/A</v>
      </c>
      <c r="AU37" s="131" t="e">
        <f t="shared" si="27"/>
        <v>#N/A</v>
      </c>
      <c r="AV37" s="81" t="e">
        <f t="shared" si="28"/>
        <v>#N/A</v>
      </c>
      <c r="AW37" s="131">
        <f t="shared" si="15"/>
        <v>3.0000000000000002E-2</v>
      </c>
      <c r="AX37" s="84" t="e">
        <f t="shared" si="29"/>
        <v>#N/A</v>
      </c>
    </row>
    <row r="38" spans="1:50">
      <c r="A38" s="48" t="s">
        <v>111</v>
      </c>
      <c r="B38" s="53">
        <v>10</v>
      </c>
      <c r="C38" s="50">
        <f t="shared" si="35"/>
        <v>100</v>
      </c>
      <c r="D38" s="51">
        <v>30</v>
      </c>
      <c r="E38" s="52">
        <f t="shared" ref="E38:E44" si="43">0.5*(1/(0.01*D38)^2)</f>
        <v>5.5555555555555554</v>
      </c>
      <c r="F38" s="50">
        <f t="shared" si="36"/>
        <v>1800</v>
      </c>
      <c r="K38" s="136" t="s">
        <v>222</v>
      </c>
      <c r="S38" s="86"/>
      <c r="X38">
        <v>0</v>
      </c>
      <c r="Y38">
        <v>0</v>
      </c>
      <c r="AB38" s="86"/>
      <c r="AC38" s="128" t="e">
        <v>#N/A</v>
      </c>
      <c r="AD38" s="129" t="e">
        <v>#N/A</v>
      </c>
      <c r="AE38" s="128" t="e">
        <v>#N/A</v>
      </c>
      <c r="AF38" s="129" t="e">
        <v>#N/A</v>
      </c>
      <c r="AG38" s="171" t="e">
        <f t="shared" si="6"/>
        <v>#N/A</v>
      </c>
      <c r="AH38" t="e">
        <f t="shared" si="37"/>
        <v>#N/A</v>
      </c>
      <c r="AI38" t="e">
        <f t="shared" si="7"/>
        <v>#N/A</v>
      </c>
      <c r="AJ38" s="130" t="e">
        <f t="shared" si="38"/>
        <v>#N/A</v>
      </c>
      <c r="AK38" s="130" t="e">
        <f t="shared" si="39"/>
        <v>#N/A</v>
      </c>
      <c r="AL38" t="e">
        <f t="shared" si="8"/>
        <v>#N/A</v>
      </c>
      <c r="AM38" s="130" t="e">
        <f t="shared" si="40"/>
        <v>#N/A</v>
      </c>
      <c r="AN38" s="130" t="e">
        <f t="shared" si="41"/>
        <v>#N/A</v>
      </c>
      <c r="AO38" t="e">
        <f t="shared" si="42"/>
        <v>#N/A</v>
      </c>
      <c r="AQ38" s="130" t="e">
        <f t="shared" si="23"/>
        <v>#N/A</v>
      </c>
      <c r="AR38" s="81" t="e">
        <f t="shared" si="24"/>
        <v>#N/A</v>
      </c>
      <c r="AS38" s="157" t="e">
        <f t="shared" si="25"/>
        <v>#N/A</v>
      </c>
      <c r="AT38" s="84" t="e">
        <f t="shared" si="26"/>
        <v>#N/A</v>
      </c>
      <c r="AU38" s="131" t="e">
        <f t="shared" si="27"/>
        <v>#N/A</v>
      </c>
      <c r="AV38" s="81" t="e">
        <f t="shared" si="28"/>
        <v>#N/A</v>
      </c>
      <c r="AW38" s="131">
        <f t="shared" si="15"/>
        <v>3.0000000000000002E-2</v>
      </c>
      <c r="AX38" s="84" t="e">
        <f t="shared" si="29"/>
        <v>#N/A</v>
      </c>
    </row>
    <row r="39" spans="1:50">
      <c r="A39" s="48" t="s">
        <v>109</v>
      </c>
      <c r="B39" s="49">
        <f>2.5*0.000001*D34*10</f>
        <v>249.54987499999999</v>
      </c>
      <c r="C39" s="50">
        <f t="shared" si="35"/>
        <v>62275.140112515619</v>
      </c>
      <c r="D39" s="51">
        <v>30</v>
      </c>
      <c r="E39" s="52">
        <f t="shared" si="43"/>
        <v>5.5555555555555554</v>
      </c>
      <c r="F39" s="50">
        <f t="shared" si="36"/>
        <v>698074753.68602145</v>
      </c>
      <c r="G39" t="s">
        <v>110</v>
      </c>
      <c r="K39" s="135"/>
      <c r="S39" s="86"/>
      <c r="X39">
        <v>0</v>
      </c>
      <c r="Y39">
        <v>0</v>
      </c>
      <c r="AB39" s="86"/>
      <c r="AC39" s="128" t="e">
        <v>#N/A</v>
      </c>
      <c r="AD39" s="129" t="e">
        <v>#N/A</v>
      </c>
      <c r="AE39" s="128" t="e">
        <v>#N/A</v>
      </c>
      <c r="AF39" s="129" t="e">
        <v>#N/A</v>
      </c>
      <c r="AG39" s="171" t="e">
        <f t="shared" si="6"/>
        <v>#N/A</v>
      </c>
      <c r="AH39" t="e">
        <f t="shared" si="37"/>
        <v>#N/A</v>
      </c>
      <c r="AI39" t="e">
        <f t="shared" si="7"/>
        <v>#N/A</v>
      </c>
      <c r="AJ39" s="130" t="e">
        <f t="shared" si="38"/>
        <v>#N/A</v>
      </c>
      <c r="AK39" s="130" t="e">
        <f t="shared" si="39"/>
        <v>#N/A</v>
      </c>
      <c r="AL39" t="e">
        <f t="shared" si="8"/>
        <v>#N/A</v>
      </c>
      <c r="AM39" s="130" t="e">
        <f t="shared" si="40"/>
        <v>#N/A</v>
      </c>
      <c r="AN39" s="130" t="e">
        <f t="shared" si="41"/>
        <v>#N/A</v>
      </c>
      <c r="AO39" t="e">
        <f t="shared" si="42"/>
        <v>#N/A</v>
      </c>
      <c r="AQ39" s="130" t="e">
        <f t="shared" si="23"/>
        <v>#N/A</v>
      </c>
      <c r="AR39" s="81" t="e">
        <f t="shared" si="24"/>
        <v>#N/A</v>
      </c>
      <c r="AS39" s="157" t="e">
        <f t="shared" si="25"/>
        <v>#N/A</v>
      </c>
      <c r="AT39" s="84" t="e">
        <f t="shared" si="26"/>
        <v>#N/A</v>
      </c>
      <c r="AU39" s="131" t="e">
        <f t="shared" si="27"/>
        <v>#N/A</v>
      </c>
      <c r="AV39" s="81" t="e">
        <f t="shared" si="28"/>
        <v>#N/A</v>
      </c>
      <c r="AW39" s="131">
        <f t="shared" si="15"/>
        <v>3.0000000000000002E-2</v>
      </c>
      <c r="AX39" s="84" t="e">
        <f t="shared" si="29"/>
        <v>#N/A</v>
      </c>
    </row>
    <row r="40" spans="1:50">
      <c r="A40" s="54" t="s">
        <v>119</v>
      </c>
      <c r="B40" s="138">
        <v>10</v>
      </c>
      <c r="C40" s="50">
        <f t="shared" si="35"/>
        <v>100</v>
      </c>
      <c r="D40" s="51">
        <v>30</v>
      </c>
      <c r="E40" s="52">
        <f t="shared" si="43"/>
        <v>5.5555555555555554</v>
      </c>
      <c r="F40" s="50">
        <f t="shared" si="36"/>
        <v>1800</v>
      </c>
      <c r="G40" t="s">
        <v>223</v>
      </c>
      <c r="L40" s="135" t="s">
        <v>250</v>
      </c>
      <c r="S40" s="86"/>
      <c r="X40">
        <v>0</v>
      </c>
      <c r="Y40">
        <v>0</v>
      </c>
      <c r="AB40" s="86"/>
      <c r="AC40" s="128" t="e">
        <v>#N/A</v>
      </c>
      <c r="AD40" s="129" t="e">
        <v>#N/A</v>
      </c>
      <c r="AE40" s="128" t="e">
        <v>#N/A</v>
      </c>
      <c r="AF40" s="129" t="e">
        <v>#N/A</v>
      </c>
      <c r="AG40" s="171" t="e">
        <f t="shared" si="6"/>
        <v>#N/A</v>
      </c>
      <c r="AH40" t="e">
        <f t="shared" si="37"/>
        <v>#N/A</v>
      </c>
      <c r="AI40" t="e">
        <f t="shared" si="7"/>
        <v>#N/A</v>
      </c>
      <c r="AJ40" s="130" t="e">
        <f t="shared" si="38"/>
        <v>#N/A</v>
      </c>
      <c r="AK40" s="130" t="e">
        <f t="shared" si="39"/>
        <v>#N/A</v>
      </c>
      <c r="AL40" t="e">
        <f t="shared" si="8"/>
        <v>#N/A</v>
      </c>
      <c r="AM40" s="130" t="e">
        <f t="shared" si="40"/>
        <v>#N/A</v>
      </c>
      <c r="AN40" s="130" t="e">
        <f t="shared" si="41"/>
        <v>#N/A</v>
      </c>
      <c r="AO40" t="e">
        <f t="shared" si="42"/>
        <v>#N/A</v>
      </c>
      <c r="AQ40" s="130" t="e">
        <f t="shared" si="23"/>
        <v>#N/A</v>
      </c>
      <c r="AR40" s="81" t="e">
        <f t="shared" si="24"/>
        <v>#N/A</v>
      </c>
      <c r="AS40" s="157" t="e">
        <f t="shared" si="25"/>
        <v>#N/A</v>
      </c>
      <c r="AT40" s="84" t="e">
        <f t="shared" si="26"/>
        <v>#N/A</v>
      </c>
      <c r="AU40" s="131" t="e">
        <f t="shared" si="27"/>
        <v>#N/A</v>
      </c>
      <c r="AV40" s="81" t="e">
        <f t="shared" si="28"/>
        <v>#N/A</v>
      </c>
      <c r="AW40" s="131">
        <f t="shared" si="15"/>
        <v>3.0000000000000002E-2</v>
      </c>
      <c r="AX40" s="84" t="e">
        <f t="shared" si="29"/>
        <v>#N/A</v>
      </c>
    </row>
    <row r="41" spans="1:50">
      <c r="A41" s="48" t="s">
        <v>113</v>
      </c>
      <c r="B41" s="49">
        <f>17*0.000001*D34</f>
        <v>169.693915</v>
      </c>
      <c r="C41" s="50">
        <f t="shared" si="35"/>
        <v>28796.024788027225</v>
      </c>
      <c r="D41" s="51">
        <v>30</v>
      </c>
      <c r="E41" s="52">
        <f t="shared" si="43"/>
        <v>5.5555555555555554</v>
      </c>
      <c r="F41" s="50">
        <f t="shared" si="36"/>
        <v>149257987.84668213</v>
      </c>
      <c r="G41" t="s">
        <v>224</v>
      </c>
      <c r="K41" s="136" t="s">
        <v>210</v>
      </c>
      <c r="S41" s="86"/>
      <c r="X41">
        <v>0</v>
      </c>
      <c r="Y41">
        <v>0</v>
      </c>
      <c r="AB41" s="86"/>
      <c r="AC41" s="128" t="e">
        <v>#N/A</v>
      </c>
      <c r="AD41" s="129" t="e">
        <v>#N/A</v>
      </c>
      <c r="AE41" s="128" t="e">
        <v>#N/A</v>
      </c>
      <c r="AF41" s="129" t="e">
        <v>#N/A</v>
      </c>
      <c r="AG41" s="171" t="e">
        <f t="shared" si="6"/>
        <v>#N/A</v>
      </c>
      <c r="AH41" t="e">
        <f t="shared" si="37"/>
        <v>#N/A</v>
      </c>
      <c r="AI41" t="e">
        <f t="shared" si="7"/>
        <v>#N/A</v>
      </c>
      <c r="AJ41" s="130" t="e">
        <f t="shared" si="38"/>
        <v>#N/A</v>
      </c>
      <c r="AK41" s="130" t="e">
        <f t="shared" si="39"/>
        <v>#N/A</v>
      </c>
      <c r="AL41" t="e">
        <f t="shared" si="8"/>
        <v>#N/A</v>
      </c>
      <c r="AM41" s="130" t="e">
        <f t="shared" si="40"/>
        <v>#N/A</v>
      </c>
      <c r="AN41" s="130" t="e">
        <f t="shared" si="41"/>
        <v>#N/A</v>
      </c>
      <c r="AO41" t="e">
        <f t="shared" si="42"/>
        <v>#N/A</v>
      </c>
      <c r="AQ41" s="130" t="e">
        <f t="shared" si="23"/>
        <v>#N/A</v>
      </c>
      <c r="AR41" s="81" t="e">
        <f t="shared" si="24"/>
        <v>#N/A</v>
      </c>
      <c r="AS41" s="157" t="e">
        <f t="shared" si="25"/>
        <v>#N/A</v>
      </c>
      <c r="AT41" s="84" t="e">
        <f t="shared" si="26"/>
        <v>#N/A</v>
      </c>
      <c r="AU41" s="131" t="e">
        <f t="shared" si="27"/>
        <v>#N/A</v>
      </c>
      <c r="AV41" s="81" t="e">
        <f t="shared" si="28"/>
        <v>#N/A</v>
      </c>
      <c r="AW41" s="131">
        <f t="shared" si="15"/>
        <v>3.0000000000000002E-2</v>
      </c>
      <c r="AX41" s="84" t="e">
        <f t="shared" si="29"/>
        <v>#N/A</v>
      </c>
    </row>
    <row r="42" spans="1:50">
      <c r="A42" s="54" t="s">
        <v>114</v>
      </c>
      <c r="B42" s="137">
        <f>2*0.000001*D34*10</f>
        <v>199.63989999999998</v>
      </c>
      <c r="C42" s="50">
        <f t="shared" si="35"/>
        <v>39856.089672009992</v>
      </c>
      <c r="D42" s="51">
        <v>50</v>
      </c>
      <c r="E42" s="52">
        <f t="shared" si="43"/>
        <v>2</v>
      </c>
      <c r="F42" s="50">
        <f t="shared" si="36"/>
        <v>794253941.97165072</v>
      </c>
      <c r="G42" t="s">
        <v>115</v>
      </c>
      <c r="K42" s="135"/>
      <c r="S42" s="86"/>
      <c r="X42">
        <v>0</v>
      </c>
      <c r="Y42">
        <v>0</v>
      </c>
      <c r="AB42" s="86"/>
      <c r="AC42" s="128" t="e">
        <v>#N/A</v>
      </c>
      <c r="AD42" s="129" t="e">
        <v>#N/A</v>
      </c>
      <c r="AE42" s="128" t="e">
        <v>#N/A</v>
      </c>
      <c r="AF42" s="129" t="e">
        <v>#N/A</v>
      </c>
      <c r="AG42" s="171" t="e">
        <f t="shared" si="6"/>
        <v>#N/A</v>
      </c>
      <c r="AH42" t="e">
        <f t="shared" si="37"/>
        <v>#N/A</v>
      </c>
      <c r="AI42" t="e">
        <f t="shared" si="7"/>
        <v>#N/A</v>
      </c>
      <c r="AJ42" s="130" t="e">
        <f t="shared" si="38"/>
        <v>#N/A</v>
      </c>
      <c r="AK42" s="130" t="e">
        <f t="shared" si="39"/>
        <v>#N/A</v>
      </c>
      <c r="AL42" t="e">
        <f t="shared" si="8"/>
        <v>#N/A</v>
      </c>
      <c r="AM42" s="130" t="e">
        <f t="shared" si="40"/>
        <v>#N/A</v>
      </c>
      <c r="AN42" s="130" t="e">
        <f t="shared" si="41"/>
        <v>#N/A</v>
      </c>
      <c r="AO42" t="e">
        <f t="shared" si="42"/>
        <v>#N/A</v>
      </c>
      <c r="AQ42" s="130" t="e">
        <f t="shared" si="23"/>
        <v>#N/A</v>
      </c>
      <c r="AR42" s="81" t="e">
        <f t="shared" si="24"/>
        <v>#N/A</v>
      </c>
      <c r="AS42" s="157" t="e">
        <f t="shared" si="25"/>
        <v>#N/A</v>
      </c>
      <c r="AT42" s="84" t="e">
        <f t="shared" si="26"/>
        <v>#N/A</v>
      </c>
      <c r="AU42" s="131" t="e">
        <f t="shared" si="27"/>
        <v>#N/A</v>
      </c>
      <c r="AV42" s="81" t="e">
        <f t="shared" si="28"/>
        <v>#N/A</v>
      </c>
      <c r="AW42" s="131">
        <f t="shared" si="15"/>
        <v>3.0000000000000002E-2</v>
      </c>
      <c r="AX42" s="84" t="e">
        <f t="shared" si="29"/>
        <v>#N/A</v>
      </c>
    </row>
    <row r="43" spans="1:50">
      <c r="A43" s="54" t="s">
        <v>118</v>
      </c>
      <c r="B43" s="137">
        <f>2*0.000001*D34*10</f>
        <v>199.63989999999998</v>
      </c>
      <c r="C43" s="50">
        <f t="shared" si="35"/>
        <v>39856.089672009992</v>
      </c>
      <c r="D43" s="51">
        <v>30</v>
      </c>
      <c r="E43" s="52">
        <f t="shared" si="43"/>
        <v>5.5555555555555554</v>
      </c>
      <c r="F43" s="50">
        <f t="shared" si="36"/>
        <v>285931419.10979426</v>
      </c>
      <c r="G43" t="s">
        <v>126</v>
      </c>
      <c r="K43" s="135"/>
      <c r="S43" s="86"/>
      <c r="X43">
        <v>0</v>
      </c>
      <c r="Y43">
        <v>0</v>
      </c>
      <c r="AB43" s="86"/>
      <c r="AC43" s="128" t="e">
        <v>#N/A</v>
      </c>
      <c r="AD43" s="129" t="e">
        <v>#N/A</v>
      </c>
      <c r="AE43" s="128" t="e">
        <v>#N/A</v>
      </c>
      <c r="AF43" s="129" t="e">
        <v>#N/A</v>
      </c>
      <c r="AG43" s="171" t="e">
        <f t="shared" si="6"/>
        <v>#N/A</v>
      </c>
      <c r="AH43" t="e">
        <f t="shared" si="37"/>
        <v>#N/A</v>
      </c>
      <c r="AI43" t="e">
        <f t="shared" si="7"/>
        <v>#N/A</v>
      </c>
      <c r="AJ43" s="130" t="e">
        <f t="shared" si="38"/>
        <v>#N/A</v>
      </c>
      <c r="AK43" s="130" t="e">
        <f t="shared" si="39"/>
        <v>#N/A</v>
      </c>
      <c r="AL43" t="e">
        <f t="shared" si="8"/>
        <v>#N/A</v>
      </c>
      <c r="AM43" s="130" t="e">
        <f t="shared" si="40"/>
        <v>#N/A</v>
      </c>
      <c r="AN43" s="130" t="e">
        <f t="shared" si="41"/>
        <v>#N/A</v>
      </c>
      <c r="AO43" t="e">
        <f t="shared" si="42"/>
        <v>#N/A</v>
      </c>
      <c r="AQ43" s="130" t="e">
        <f t="shared" si="23"/>
        <v>#N/A</v>
      </c>
      <c r="AR43" s="81" t="e">
        <f t="shared" si="24"/>
        <v>#N/A</v>
      </c>
      <c r="AS43" s="157" t="e">
        <f t="shared" si="25"/>
        <v>#N/A</v>
      </c>
      <c r="AT43" s="84" t="e">
        <f t="shared" si="26"/>
        <v>#N/A</v>
      </c>
      <c r="AU43" s="131" t="e">
        <f t="shared" si="27"/>
        <v>#N/A</v>
      </c>
      <c r="AV43" s="81" t="e">
        <f t="shared" si="28"/>
        <v>#N/A</v>
      </c>
      <c r="AW43" s="131">
        <f t="shared" si="15"/>
        <v>3.0000000000000002E-2</v>
      </c>
      <c r="AX43" s="84" t="e">
        <f t="shared" si="29"/>
        <v>#N/A</v>
      </c>
    </row>
    <row r="44" spans="1:50">
      <c r="B44" s="53">
        <v>0</v>
      </c>
      <c r="C44" s="50">
        <f t="shared" si="35"/>
        <v>0</v>
      </c>
      <c r="D44" s="51">
        <v>50</v>
      </c>
      <c r="E44" s="52">
        <f t="shared" si="43"/>
        <v>2</v>
      </c>
      <c r="F44" s="50">
        <f t="shared" si="36"/>
        <v>0</v>
      </c>
      <c r="K44" s="136" t="s">
        <v>225</v>
      </c>
      <c r="S44" s="86"/>
      <c r="X44">
        <v>0</v>
      </c>
      <c r="Y44">
        <v>0</v>
      </c>
      <c r="AB44" s="86"/>
      <c r="AC44" s="128" t="e">
        <v>#N/A</v>
      </c>
      <c r="AD44" s="129" t="e">
        <v>#N/A</v>
      </c>
      <c r="AE44" s="128" t="e">
        <v>#N/A</v>
      </c>
      <c r="AF44" s="129" t="e">
        <v>#N/A</v>
      </c>
      <c r="AG44" s="171" t="e">
        <f t="shared" si="6"/>
        <v>#N/A</v>
      </c>
      <c r="AH44" t="e">
        <f t="shared" si="37"/>
        <v>#N/A</v>
      </c>
      <c r="AI44" t="e">
        <f t="shared" si="7"/>
        <v>#N/A</v>
      </c>
      <c r="AJ44" s="130" t="e">
        <f t="shared" si="38"/>
        <v>#N/A</v>
      </c>
      <c r="AK44" s="130" t="e">
        <f t="shared" si="39"/>
        <v>#N/A</v>
      </c>
      <c r="AL44" t="e">
        <f t="shared" si="8"/>
        <v>#N/A</v>
      </c>
      <c r="AM44" s="130" t="e">
        <f t="shared" si="40"/>
        <v>#N/A</v>
      </c>
      <c r="AN44" s="130" t="e">
        <f t="shared" si="41"/>
        <v>#N/A</v>
      </c>
      <c r="AO44" t="e">
        <f t="shared" si="42"/>
        <v>#N/A</v>
      </c>
      <c r="AQ44" s="130" t="e">
        <f t="shared" si="23"/>
        <v>#N/A</v>
      </c>
      <c r="AR44" s="81" t="e">
        <f t="shared" si="24"/>
        <v>#N/A</v>
      </c>
      <c r="AS44" s="157" t="e">
        <f t="shared" si="25"/>
        <v>#N/A</v>
      </c>
      <c r="AT44" s="84" t="e">
        <f t="shared" si="26"/>
        <v>#N/A</v>
      </c>
      <c r="AU44" s="131" t="e">
        <f t="shared" si="27"/>
        <v>#N/A</v>
      </c>
      <c r="AV44" s="81" t="e">
        <f t="shared" si="28"/>
        <v>#N/A</v>
      </c>
      <c r="AW44" s="131">
        <f t="shared" si="15"/>
        <v>3.0000000000000002E-2</v>
      </c>
      <c r="AX44" s="84" t="e">
        <f t="shared" si="29"/>
        <v>#N/A</v>
      </c>
    </row>
    <row r="45" spans="1:50">
      <c r="A45" s="54"/>
      <c r="B45" s="53">
        <v>0</v>
      </c>
      <c r="C45" s="50">
        <f t="shared" si="35"/>
        <v>0</v>
      </c>
      <c r="D45" s="51">
        <v>1</v>
      </c>
      <c r="E45" s="52">
        <f>0.5*(1/(0.01*D45)^2)</f>
        <v>5000</v>
      </c>
      <c r="F45" s="50">
        <f t="shared" si="36"/>
        <v>0</v>
      </c>
      <c r="S45" s="86"/>
      <c r="X45">
        <v>0</v>
      </c>
      <c r="Y45">
        <v>0</v>
      </c>
      <c r="AB45" s="86"/>
      <c r="AC45" s="128" t="e">
        <v>#N/A</v>
      </c>
      <c r="AD45" s="129" t="e">
        <v>#N/A</v>
      </c>
      <c r="AE45" s="128" t="e">
        <v>#N/A</v>
      </c>
      <c r="AF45" s="129" t="e">
        <v>#N/A</v>
      </c>
      <c r="AG45" s="171" t="e">
        <f t="shared" si="6"/>
        <v>#N/A</v>
      </c>
      <c r="AH45" t="e">
        <f t="shared" si="37"/>
        <v>#N/A</v>
      </c>
      <c r="AI45" t="e">
        <f t="shared" si="7"/>
        <v>#N/A</v>
      </c>
      <c r="AJ45" s="130" t="e">
        <f t="shared" si="38"/>
        <v>#N/A</v>
      </c>
      <c r="AK45" s="130" t="e">
        <f t="shared" si="39"/>
        <v>#N/A</v>
      </c>
      <c r="AL45" t="e">
        <f t="shared" si="8"/>
        <v>#N/A</v>
      </c>
      <c r="AM45" s="130" t="e">
        <f t="shared" si="40"/>
        <v>#N/A</v>
      </c>
      <c r="AN45" s="130" t="e">
        <f t="shared" si="41"/>
        <v>#N/A</v>
      </c>
      <c r="AO45" t="e">
        <f t="shared" si="42"/>
        <v>#N/A</v>
      </c>
      <c r="AQ45" s="130" t="e">
        <f t="shared" si="23"/>
        <v>#N/A</v>
      </c>
      <c r="AR45" s="81" t="e">
        <f t="shared" si="24"/>
        <v>#N/A</v>
      </c>
      <c r="AS45" s="157" t="e">
        <f t="shared" si="25"/>
        <v>#N/A</v>
      </c>
      <c r="AT45" s="84" t="e">
        <f t="shared" si="26"/>
        <v>#N/A</v>
      </c>
      <c r="AU45" s="131" t="e">
        <f t="shared" si="27"/>
        <v>#N/A</v>
      </c>
      <c r="AV45" s="81" t="e">
        <f t="shared" si="28"/>
        <v>#N/A</v>
      </c>
      <c r="AW45" s="131">
        <f t="shared" si="15"/>
        <v>3.0000000000000002E-2</v>
      </c>
      <c r="AX45" s="84" t="e">
        <f t="shared" si="29"/>
        <v>#N/A</v>
      </c>
    </row>
    <row r="46" spans="1:50" ht="13.5" thickBot="1">
      <c r="B46" s="56" t="s">
        <v>29</v>
      </c>
      <c r="C46" s="62">
        <f>SUM(C37:C45)</f>
        <v>170983.34537352281</v>
      </c>
      <c r="E46" s="26" t="s">
        <v>30</v>
      </c>
      <c r="F46" s="50">
        <f>SUM(F37:F45)</f>
        <v>1927521702.6141486</v>
      </c>
      <c r="S46" s="86"/>
      <c r="X46">
        <v>0</v>
      </c>
      <c r="Y46">
        <v>0</v>
      </c>
      <c r="AB46" s="86"/>
      <c r="AC46" s="128" t="e">
        <v>#N/A</v>
      </c>
      <c r="AD46" s="129" t="e">
        <v>#N/A</v>
      </c>
      <c r="AE46" s="128" t="e">
        <v>#N/A</v>
      </c>
      <c r="AF46" s="129" t="e">
        <v>#N/A</v>
      </c>
      <c r="AG46" s="171" t="e">
        <f t="shared" si="6"/>
        <v>#N/A</v>
      </c>
      <c r="AH46" t="e">
        <f t="shared" si="37"/>
        <v>#N/A</v>
      </c>
      <c r="AI46" t="e">
        <f t="shared" si="7"/>
        <v>#N/A</v>
      </c>
      <c r="AJ46" s="130" t="e">
        <f t="shared" si="38"/>
        <v>#N/A</v>
      </c>
      <c r="AK46" s="130" t="e">
        <f t="shared" si="39"/>
        <v>#N/A</v>
      </c>
      <c r="AL46" t="e">
        <f t="shared" si="8"/>
        <v>#N/A</v>
      </c>
      <c r="AM46" s="130" t="e">
        <f t="shared" si="40"/>
        <v>#N/A</v>
      </c>
      <c r="AN46" s="130" t="e">
        <f t="shared" si="41"/>
        <v>#N/A</v>
      </c>
      <c r="AO46" t="e">
        <f t="shared" si="42"/>
        <v>#N/A</v>
      </c>
      <c r="AQ46" s="130" t="e">
        <f t="shared" si="23"/>
        <v>#N/A</v>
      </c>
      <c r="AR46" s="81" t="e">
        <f t="shared" si="24"/>
        <v>#N/A</v>
      </c>
      <c r="AS46" s="157" t="e">
        <f t="shared" si="25"/>
        <v>#N/A</v>
      </c>
      <c r="AT46" s="84" t="e">
        <f t="shared" si="26"/>
        <v>#N/A</v>
      </c>
      <c r="AU46" s="131" t="e">
        <f t="shared" si="27"/>
        <v>#N/A</v>
      </c>
      <c r="AV46" s="81" t="e">
        <f t="shared" si="28"/>
        <v>#N/A</v>
      </c>
      <c r="AW46" s="131">
        <f t="shared" si="15"/>
        <v>3.0000000000000002E-2</v>
      </c>
      <c r="AX46" s="84" t="e">
        <f t="shared" si="29"/>
        <v>#N/A</v>
      </c>
    </row>
    <row r="47" spans="1:50">
      <c r="B47" s="56" t="s">
        <v>215</v>
      </c>
      <c r="C47" s="146">
        <f>SQRT(C46)</f>
        <v>413.50132451241655</v>
      </c>
      <c r="E47" s="57" t="s">
        <v>31</v>
      </c>
      <c r="F47" s="140">
        <f>R_standard_uncertainty^4/F46</f>
        <v>15.167302321666106</v>
      </c>
      <c r="S47" s="86"/>
      <c r="X47">
        <v>0</v>
      </c>
      <c r="Y47">
        <v>0</v>
      </c>
      <c r="AB47" s="86"/>
      <c r="AC47" s="128" t="e">
        <v>#N/A</v>
      </c>
      <c r="AD47" s="129" t="e">
        <v>#N/A</v>
      </c>
      <c r="AE47" s="128" t="e">
        <v>#N/A</v>
      </c>
      <c r="AF47" s="129" t="e">
        <v>#N/A</v>
      </c>
      <c r="AG47" s="171" t="e">
        <f t="shared" si="6"/>
        <v>#N/A</v>
      </c>
      <c r="AH47" t="e">
        <f t="shared" si="37"/>
        <v>#N/A</v>
      </c>
      <c r="AI47" t="e">
        <f t="shared" si="7"/>
        <v>#N/A</v>
      </c>
      <c r="AJ47" s="130" t="e">
        <f t="shared" si="38"/>
        <v>#N/A</v>
      </c>
      <c r="AK47" s="130" t="e">
        <f t="shared" si="39"/>
        <v>#N/A</v>
      </c>
      <c r="AL47" t="e">
        <f t="shared" si="8"/>
        <v>#N/A</v>
      </c>
      <c r="AM47" s="130" t="e">
        <f t="shared" si="40"/>
        <v>#N/A</v>
      </c>
      <c r="AN47" s="130" t="e">
        <f t="shared" si="41"/>
        <v>#N/A</v>
      </c>
      <c r="AO47" t="e">
        <f t="shared" si="42"/>
        <v>#N/A</v>
      </c>
      <c r="AQ47" s="130" t="e">
        <f t="shared" si="23"/>
        <v>#N/A</v>
      </c>
      <c r="AR47" s="81" t="e">
        <f t="shared" si="24"/>
        <v>#N/A</v>
      </c>
      <c r="AS47" s="157" t="e">
        <f t="shared" si="25"/>
        <v>#N/A</v>
      </c>
      <c r="AT47" s="84" t="e">
        <f t="shared" si="26"/>
        <v>#N/A</v>
      </c>
      <c r="AU47" s="131" t="e">
        <f t="shared" si="27"/>
        <v>#N/A</v>
      </c>
      <c r="AV47" s="81" t="e">
        <f t="shared" si="28"/>
        <v>#N/A</v>
      </c>
      <c r="AW47" s="131">
        <f t="shared" si="15"/>
        <v>3.0000000000000002E-2</v>
      </c>
      <c r="AX47" s="84" t="e">
        <f t="shared" si="29"/>
        <v>#N/A</v>
      </c>
    </row>
    <row r="48" spans="1:50">
      <c r="B48" s="33"/>
      <c r="E48" s="58" t="s">
        <v>17</v>
      </c>
      <c r="F48" s="141">
        <f>$G$3+$G$4/F47+$G$5/F47^2+$G$6/F47^3</f>
        <v>2.1239595083866862</v>
      </c>
      <c r="S48" s="86"/>
      <c r="X48">
        <v>0</v>
      </c>
      <c r="Y48">
        <v>0</v>
      </c>
      <c r="AB48" s="86"/>
      <c r="AC48" s="128" t="e">
        <v>#N/A</v>
      </c>
      <c r="AD48" s="129" t="e">
        <v>#N/A</v>
      </c>
      <c r="AE48" s="128" t="e">
        <v>#N/A</v>
      </c>
      <c r="AF48" s="129" t="e">
        <v>#N/A</v>
      </c>
      <c r="AG48" s="171" t="e">
        <f t="shared" si="6"/>
        <v>#N/A</v>
      </c>
      <c r="AH48" t="e">
        <f t="shared" si="37"/>
        <v>#N/A</v>
      </c>
      <c r="AI48" t="e">
        <f t="shared" si="7"/>
        <v>#N/A</v>
      </c>
      <c r="AJ48" s="130" t="e">
        <f t="shared" si="38"/>
        <v>#N/A</v>
      </c>
      <c r="AK48" s="130" t="e">
        <f t="shared" si="39"/>
        <v>#N/A</v>
      </c>
      <c r="AL48" t="e">
        <f t="shared" si="8"/>
        <v>#N/A</v>
      </c>
      <c r="AM48" s="130" t="e">
        <f t="shared" si="40"/>
        <v>#N/A</v>
      </c>
      <c r="AN48" s="130" t="e">
        <f t="shared" si="41"/>
        <v>#N/A</v>
      </c>
      <c r="AO48" t="e">
        <f t="shared" si="42"/>
        <v>#N/A</v>
      </c>
      <c r="AQ48" s="130" t="e">
        <f t="shared" si="23"/>
        <v>#N/A</v>
      </c>
      <c r="AR48" s="81" t="e">
        <f t="shared" si="24"/>
        <v>#N/A</v>
      </c>
      <c r="AS48" s="157" t="e">
        <f t="shared" si="25"/>
        <v>#N/A</v>
      </c>
      <c r="AT48" s="84" t="e">
        <f t="shared" si="26"/>
        <v>#N/A</v>
      </c>
      <c r="AU48" s="131" t="e">
        <f t="shared" si="27"/>
        <v>#N/A</v>
      </c>
      <c r="AV48" s="81" t="e">
        <f t="shared" si="28"/>
        <v>#N/A</v>
      </c>
      <c r="AW48" s="131">
        <f t="shared" si="15"/>
        <v>3.0000000000000002E-2</v>
      </c>
      <c r="AX48" s="84" t="e">
        <f t="shared" si="29"/>
        <v>#N/A</v>
      </c>
    </row>
    <row r="49" spans="1:50" ht="13.5" thickBot="1">
      <c r="A49" s="26" t="s">
        <v>32</v>
      </c>
      <c r="B49" s="33"/>
      <c r="E49" s="59" t="s">
        <v>121</v>
      </c>
      <c r="F49" s="142">
        <f>F48*R_standard_uncertainty</f>
        <v>878.26006992863586</v>
      </c>
      <c r="S49" s="86"/>
      <c r="X49">
        <v>0</v>
      </c>
      <c r="Y49">
        <v>0</v>
      </c>
      <c r="AB49" s="86"/>
      <c r="AC49" s="128" t="e">
        <v>#N/A</v>
      </c>
      <c r="AD49" s="129" t="e">
        <v>#N/A</v>
      </c>
      <c r="AE49" s="128" t="e">
        <v>#N/A</v>
      </c>
      <c r="AF49" s="129" t="e">
        <v>#N/A</v>
      </c>
      <c r="AG49" s="171" t="e">
        <f t="shared" si="6"/>
        <v>#N/A</v>
      </c>
      <c r="AH49" t="e">
        <f t="shared" si="37"/>
        <v>#N/A</v>
      </c>
      <c r="AI49" t="e">
        <f t="shared" si="7"/>
        <v>#N/A</v>
      </c>
      <c r="AJ49" s="130" t="e">
        <f t="shared" si="38"/>
        <v>#N/A</v>
      </c>
      <c r="AK49" s="130" t="e">
        <f t="shared" si="39"/>
        <v>#N/A</v>
      </c>
      <c r="AL49" t="e">
        <f t="shared" si="8"/>
        <v>#N/A</v>
      </c>
      <c r="AM49" s="130" t="e">
        <f t="shared" si="40"/>
        <v>#N/A</v>
      </c>
      <c r="AN49" s="130" t="e">
        <f t="shared" si="41"/>
        <v>#N/A</v>
      </c>
      <c r="AO49" t="e">
        <f t="shared" si="42"/>
        <v>#N/A</v>
      </c>
      <c r="AQ49" s="130" t="e">
        <f t="shared" si="23"/>
        <v>#N/A</v>
      </c>
      <c r="AR49" s="81" t="e">
        <f t="shared" si="24"/>
        <v>#N/A</v>
      </c>
      <c r="AS49" s="157" t="e">
        <f t="shared" si="25"/>
        <v>#N/A</v>
      </c>
      <c r="AT49" s="84" t="e">
        <f t="shared" si="26"/>
        <v>#N/A</v>
      </c>
      <c r="AU49" s="131" t="e">
        <f t="shared" si="27"/>
        <v>#N/A</v>
      </c>
      <c r="AV49" s="81" t="e">
        <f t="shared" si="28"/>
        <v>#N/A</v>
      </c>
      <c r="AW49" s="131">
        <f t="shared" si="15"/>
        <v>3.0000000000000002E-2</v>
      </c>
      <c r="AX49" s="84" t="e">
        <f t="shared" si="29"/>
        <v>#N/A</v>
      </c>
    </row>
    <row r="50" spans="1:50">
      <c r="A50" s="28" t="s">
        <v>226</v>
      </c>
      <c r="B50" s="33"/>
      <c r="S50" s="86"/>
      <c r="X50">
        <v>0</v>
      </c>
      <c r="Y50">
        <v>0</v>
      </c>
      <c r="AB50" s="86"/>
      <c r="AC50" s="128" t="e">
        <v>#N/A</v>
      </c>
      <c r="AD50" s="129" t="e">
        <v>#N/A</v>
      </c>
      <c r="AE50" s="128" t="e">
        <v>#N/A</v>
      </c>
      <c r="AF50" s="129" t="e">
        <v>#N/A</v>
      </c>
      <c r="AG50" s="171" t="e">
        <f t="shared" si="6"/>
        <v>#N/A</v>
      </c>
      <c r="AH50" t="e">
        <f t="shared" si="37"/>
        <v>#N/A</v>
      </c>
      <c r="AI50" t="e">
        <f t="shared" si="7"/>
        <v>#N/A</v>
      </c>
      <c r="AJ50" s="130" t="e">
        <f t="shared" si="38"/>
        <v>#N/A</v>
      </c>
      <c r="AK50" s="130" t="e">
        <f t="shared" si="39"/>
        <v>#N/A</v>
      </c>
      <c r="AL50" t="e">
        <f t="shared" si="8"/>
        <v>#N/A</v>
      </c>
      <c r="AM50" s="130" t="e">
        <f t="shared" si="40"/>
        <v>#N/A</v>
      </c>
      <c r="AN50" s="130" t="e">
        <f t="shared" si="41"/>
        <v>#N/A</v>
      </c>
      <c r="AO50" t="e">
        <f t="shared" si="42"/>
        <v>#N/A</v>
      </c>
      <c r="AQ50" s="130" t="e">
        <f t="shared" si="23"/>
        <v>#N/A</v>
      </c>
      <c r="AR50" s="81" t="e">
        <f t="shared" si="24"/>
        <v>#N/A</v>
      </c>
      <c r="AS50" s="157" t="e">
        <f t="shared" si="25"/>
        <v>#N/A</v>
      </c>
      <c r="AT50" s="84" t="e">
        <f t="shared" si="26"/>
        <v>#N/A</v>
      </c>
      <c r="AU50" s="131" t="e">
        <f t="shared" si="27"/>
        <v>#N/A</v>
      </c>
      <c r="AV50" s="81" t="e">
        <f t="shared" si="28"/>
        <v>#N/A</v>
      </c>
      <c r="AW50" s="131">
        <f t="shared" si="15"/>
        <v>3.0000000000000002E-2</v>
      </c>
      <c r="AX50" s="84" t="e">
        <f t="shared" si="29"/>
        <v>#N/A</v>
      </c>
    </row>
    <row r="51" spans="1:50">
      <c r="A51" t="s">
        <v>227</v>
      </c>
      <c r="B51" s="33"/>
      <c r="E51" s="28"/>
      <c r="F51" s="60"/>
      <c r="S51" s="86"/>
      <c r="X51">
        <v>0</v>
      </c>
      <c r="Y51">
        <v>0</v>
      </c>
      <c r="AB51" s="86"/>
      <c r="AC51" s="128" t="e">
        <v>#N/A</v>
      </c>
      <c r="AD51" s="129" t="e">
        <v>#N/A</v>
      </c>
      <c r="AE51" s="128" t="e">
        <v>#N/A</v>
      </c>
      <c r="AF51" s="129" t="e">
        <v>#N/A</v>
      </c>
      <c r="AG51" s="171" t="e">
        <f t="shared" si="6"/>
        <v>#N/A</v>
      </c>
      <c r="AH51" t="e">
        <f t="shared" si="37"/>
        <v>#N/A</v>
      </c>
      <c r="AI51" t="e">
        <f t="shared" si="7"/>
        <v>#N/A</v>
      </c>
      <c r="AJ51" s="130" t="e">
        <f t="shared" si="38"/>
        <v>#N/A</v>
      </c>
      <c r="AK51" s="130" t="e">
        <f t="shared" si="39"/>
        <v>#N/A</v>
      </c>
      <c r="AL51" t="e">
        <f t="shared" si="8"/>
        <v>#N/A</v>
      </c>
      <c r="AM51" s="130" t="e">
        <f t="shared" si="40"/>
        <v>#N/A</v>
      </c>
      <c r="AN51" s="130" t="e">
        <f t="shared" si="41"/>
        <v>#N/A</v>
      </c>
      <c r="AO51" t="e">
        <f t="shared" si="42"/>
        <v>#N/A</v>
      </c>
      <c r="AQ51" s="130" t="e">
        <f t="shared" si="23"/>
        <v>#N/A</v>
      </c>
      <c r="AR51" s="81" t="e">
        <f t="shared" si="24"/>
        <v>#N/A</v>
      </c>
      <c r="AS51" s="157" t="e">
        <f t="shared" si="25"/>
        <v>#N/A</v>
      </c>
      <c r="AT51" s="84" t="e">
        <f t="shared" si="26"/>
        <v>#N/A</v>
      </c>
      <c r="AU51" s="131" t="e">
        <f t="shared" si="27"/>
        <v>#N/A</v>
      </c>
      <c r="AV51" s="81" t="e">
        <f t="shared" si="28"/>
        <v>#N/A</v>
      </c>
      <c r="AW51" s="131">
        <f t="shared" si="15"/>
        <v>3.0000000000000002E-2</v>
      </c>
      <c r="AX51" s="84" t="e">
        <f t="shared" si="29"/>
        <v>#N/A</v>
      </c>
    </row>
    <row r="52" spans="1:50">
      <c r="B52" s="33"/>
      <c r="S52" s="86"/>
      <c r="X52">
        <v>0</v>
      </c>
      <c r="Y52">
        <v>0</v>
      </c>
      <c r="AB52" s="86"/>
      <c r="AC52" s="128" t="e">
        <v>#N/A</v>
      </c>
      <c r="AD52" s="129" t="e">
        <v>#N/A</v>
      </c>
      <c r="AE52" s="128" t="e">
        <v>#N/A</v>
      </c>
      <c r="AF52" s="129" t="e">
        <v>#N/A</v>
      </c>
      <c r="AG52" s="171" t="e">
        <f t="shared" si="6"/>
        <v>#N/A</v>
      </c>
      <c r="AH52" t="e">
        <f t="shared" si="37"/>
        <v>#N/A</v>
      </c>
      <c r="AI52" t="e">
        <f t="shared" si="7"/>
        <v>#N/A</v>
      </c>
      <c r="AJ52" s="130" t="e">
        <f t="shared" si="38"/>
        <v>#N/A</v>
      </c>
      <c r="AK52" s="130" t="e">
        <f t="shared" si="39"/>
        <v>#N/A</v>
      </c>
      <c r="AL52" t="e">
        <f t="shared" si="8"/>
        <v>#N/A</v>
      </c>
      <c r="AM52" s="130" t="e">
        <f t="shared" si="40"/>
        <v>#N/A</v>
      </c>
      <c r="AN52" s="130" t="e">
        <f t="shared" si="41"/>
        <v>#N/A</v>
      </c>
      <c r="AO52" t="e">
        <f t="shared" si="42"/>
        <v>#N/A</v>
      </c>
      <c r="AQ52" s="130" t="e">
        <f t="shared" si="23"/>
        <v>#N/A</v>
      </c>
      <c r="AR52" s="81" t="e">
        <f t="shared" si="24"/>
        <v>#N/A</v>
      </c>
      <c r="AS52" s="157" t="e">
        <f t="shared" si="25"/>
        <v>#N/A</v>
      </c>
      <c r="AT52" s="84" t="e">
        <f t="shared" si="26"/>
        <v>#N/A</v>
      </c>
      <c r="AU52" s="131" t="e">
        <f t="shared" si="27"/>
        <v>#N/A</v>
      </c>
      <c r="AV52" s="81" t="e">
        <f t="shared" si="28"/>
        <v>#N/A</v>
      </c>
      <c r="AW52" s="131">
        <f t="shared" si="15"/>
        <v>3.0000000000000002E-2</v>
      </c>
      <c r="AX52" s="84" t="e">
        <f t="shared" si="29"/>
        <v>#N/A</v>
      </c>
    </row>
    <row r="53" spans="1:50">
      <c r="S53" s="86"/>
      <c r="X53">
        <v>0</v>
      </c>
      <c r="Y53">
        <v>0</v>
      </c>
      <c r="AB53" s="86"/>
      <c r="AC53" s="128" t="e">
        <v>#N/A</v>
      </c>
      <c r="AD53" s="129" t="e">
        <v>#N/A</v>
      </c>
      <c r="AE53" s="128" t="e">
        <v>#N/A</v>
      </c>
      <c r="AF53" s="129" t="e">
        <v>#N/A</v>
      </c>
      <c r="AG53" s="171" t="e">
        <f t="shared" si="6"/>
        <v>#N/A</v>
      </c>
      <c r="AH53" t="e">
        <f t="shared" si="37"/>
        <v>#N/A</v>
      </c>
      <c r="AI53" t="e">
        <f t="shared" si="7"/>
        <v>#N/A</v>
      </c>
      <c r="AJ53" s="130" t="e">
        <f t="shared" si="38"/>
        <v>#N/A</v>
      </c>
      <c r="AK53" s="130" t="e">
        <f t="shared" si="39"/>
        <v>#N/A</v>
      </c>
      <c r="AL53" t="e">
        <f t="shared" si="8"/>
        <v>#N/A</v>
      </c>
      <c r="AM53" s="130" t="e">
        <f t="shared" si="40"/>
        <v>#N/A</v>
      </c>
      <c r="AN53" s="130" t="e">
        <f t="shared" si="41"/>
        <v>#N/A</v>
      </c>
      <c r="AO53" t="e">
        <f t="shared" si="42"/>
        <v>#N/A</v>
      </c>
      <c r="AQ53" s="130" t="e">
        <f t="shared" si="23"/>
        <v>#N/A</v>
      </c>
      <c r="AR53" s="81" t="e">
        <f t="shared" si="24"/>
        <v>#N/A</v>
      </c>
      <c r="AS53" s="157" t="e">
        <f t="shared" si="25"/>
        <v>#N/A</v>
      </c>
      <c r="AT53" s="84" t="e">
        <f t="shared" si="26"/>
        <v>#N/A</v>
      </c>
      <c r="AU53" s="131" t="e">
        <f t="shared" si="27"/>
        <v>#N/A</v>
      </c>
      <c r="AV53" s="81" t="e">
        <f t="shared" si="28"/>
        <v>#N/A</v>
      </c>
      <c r="AW53" s="131">
        <f t="shared" si="15"/>
        <v>3.0000000000000002E-2</v>
      </c>
      <c r="AX53" s="84" t="e">
        <f t="shared" si="29"/>
        <v>#N/A</v>
      </c>
    </row>
    <row r="54" spans="1:50" ht="15.75">
      <c r="A54" s="39" t="s">
        <v>571</v>
      </c>
      <c r="B54" s="40"/>
      <c r="C54" s="41"/>
      <c r="D54" s="42"/>
      <c r="F54" s="28" t="s">
        <v>20</v>
      </c>
      <c r="S54" s="86"/>
      <c r="X54">
        <v>0</v>
      </c>
      <c r="Y54">
        <v>0</v>
      </c>
      <c r="AB54" s="86"/>
      <c r="AC54" s="128" t="e">
        <v>#N/A</v>
      </c>
      <c r="AD54" s="129" t="e">
        <v>#N/A</v>
      </c>
      <c r="AE54" s="128" t="e">
        <v>#N/A</v>
      </c>
      <c r="AF54" s="129" t="e">
        <v>#N/A</v>
      </c>
      <c r="AG54" s="171" t="e">
        <f t="shared" si="6"/>
        <v>#N/A</v>
      </c>
      <c r="AH54" t="e">
        <f t="shared" si="37"/>
        <v>#N/A</v>
      </c>
      <c r="AI54" t="e">
        <f t="shared" si="7"/>
        <v>#N/A</v>
      </c>
      <c r="AJ54" s="130" t="e">
        <f t="shared" si="38"/>
        <v>#N/A</v>
      </c>
      <c r="AK54" s="130" t="e">
        <f t="shared" si="39"/>
        <v>#N/A</v>
      </c>
      <c r="AL54" t="e">
        <f t="shared" si="8"/>
        <v>#N/A</v>
      </c>
      <c r="AM54" s="130" t="e">
        <f t="shared" si="40"/>
        <v>#N/A</v>
      </c>
      <c r="AN54" s="130" t="e">
        <f t="shared" si="41"/>
        <v>#N/A</v>
      </c>
      <c r="AO54" t="e">
        <f t="shared" si="42"/>
        <v>#N/A</v>
      </c>
      <c r="AQ54" s="130" t="e">
        <f t="shared" si="23"/>
        <v>#N/A</v>
      </c>
      <c r="AR54" s="81" t="e">
        <f t="shared" si="24"/>
        <v>#N/A</v>
      </c>
      <c r="AS54" s="157" t="e">
        <f t="shared" si="25"/>
        <v>#N/A</v>
      </c>
      <c r="AT54" s="84" t="e">
        <f t="shared" si="26"/>
        <v>#N/A</v>
      </c>
      <c r="AU54" s="131" t="e">
        <f t="shared" si="27"/>
        <v>#N/A</v>
      </c>
      <c r="AV54" s="81" t="e">
        <f t="shared" si="28"/>
        <v>#N/A</v>
      </c>
      <c r="AW54" s="131">
        <f t="shared" si="15"/>
        <v>3.0000000000000002E-2</v>
      </c>
      <c r="AX54" s="84" t="e">
        <f t="shared" si="29"/>
        <v>#N/A</v>
      </c>
    </row>
    <row r="55" spans="1:50">
      <c r="A55" s="43"/>
      <c r="B55" s="44" t="s">
        <v>21</v>
      </c>
      <c r="C55" s="51"/>
      <c r="D55" s="62"/>
      <c r="E55" s="43"/>
      <c r="F55" s="43"/>
      <c r="S55" s="86"/>
      <c r="X55">
        <v>0</v>
      </c>
      <c r="Y55">
        <v>0</v>
      </c>
      <c r="AB55" s="86"/>
      <c r="AC55" s="128" t="e">
        <v>#N/A</v>
      </c>
      <c r="AD55" s="129" t="e">
        <v>#N/A</v>
      </c>
      <c r="AE55" s="128" t="e">
        <v>#N/A</v>
      </c>
      <c r="AF55" s="129" t="e">
        <v>#N/A</v>
      </c>
      <c r="AG55" s="171" t="e">
        <f t="shared" si="6"/>
        <v>#N/A</v>
      </c>
      <c r="AH55" t="e">
        <f t="shared" si="37"/>
        <v>#N/A</v>
      </c>
      <c r="AI55" t="e">
        <f t="shared" si="7"/>
        <v>#N/A</v>
      </c>
      <c r="AJ55" s="130" t="e">
        <f t="shared" si="38"/>
        <v>#N/A</v>
      </c>
      <c r="AK55" s="130" t="e">
        <f t="shared" si="39"/>
        <v>#N/A</v>
      </c>
      <c r="AL55" t="e">
        <f t="shared" si="8"/>
        <v>#N/A</v>
      </c>
      <c r="AM55" s="130" t="e">
        <f t="shared" si="40"/>
        <v>#N/A</v>
      </c>
      <c r="AN55" s="130" t="e">
        <f t="shared" si="41"/>
        <v>#N/A</v>
      </c>
      <c r="AO55" t="e">
        <f t="shared" si="42"/>
        <v>#N/A</v>
      </c>
      <c r="AQ55" s="130" t="e">
        <f t="shared" si="23"/>
        <v>#N/A</v>
      </c>
      <c r="AR55" s="81" t="e">
        <f t="shared" si="24"/>
        <v>#N/A</v>
      </c>
      <c r="AS55" s="157" t="e">
        <f t="shared" si="25"/>
        <v>#N/A</v>
      </c>
      <c r="AT55" s="84" t="e">
        <f t="shared" si="26"/>
        <v>#N/A</v>
      </c>
      <c r="AU55" s="131" t="e">
        <f t="shared" si="27"/>
        <v>#N/A</v>
      </c>
      <c r="AV55" s="81" t="e">
        <f t="shared" si="28"/>
        <v>#N/A</v>
      </c>
      <c r="AW55" s="131">
        <f t="shared" si="15"/>
        <v>3.0000000000000002E-2</v>
      </c>
      <c r="AX55" s="84" t="e">
        <f t="shared" si="29"/>
        <v>#N/A</v>
      </c>
    </row>
    <row r="56" spans="1:50">
      <c r="A56" s="45" t="s">
        <v>22</v>
      </c>
      <c r="B56" s="44" t="s">
        <v>23</v>
      </c>
      <c r="E56" s="45" t="s">
        <v>24</v>
      </c>
      <c r="AB56" s="86"/>
      <c r="AC56" s="128"/>
      <c r="AD56" s="129"/>
      <c r="AE56" s="128"/>
      <c r="AF56" s="129"/>
      <c r="AG56" s="170"/>
      <c r="AH56" t="e">
        <f t="shared" si="37"/>
        <v>#N/A</v>
      </c>
      <c r="AI56" t="e">
        <f t="shared" si="7"/>
        <v>#N/A</v>
      </c>
      <c r="AJ56" s="130" t="e">
        <f t="shared" si="38"/>
        <v>#N/A</v>
      </c>
      <c r="AK56" s="130" t="e">
        <f t="shared" si="39"/>
        <v>#N/A</v>
      </c>
      <c r="AL56" t="e">
        <f t="shared" si="8"/>
        <v>#N/A</v>
      </c>
      <c r="AM56" s="130" t="e">
        <f t="shared" si="40"/>
        <v>#N/A</v>
      </c>
      <c r="AN56" s="130" t="e">
        <f t="shared" si="41"/>
        <v>#N/A</v>
      </c>
      <c r="AO56" t="e">
        <f t="shared" si="42"/>
        <v>#N/A</v>
      </c>
      <c r="AQ56" s="147"/>
      <c r="AR56" s="148"/>
      <c r="AT56" s="84"/>
    </row>
    <row r="57" spans="1:50" ht="15.75">
      <c r="A57" s="47"/>
      <c r="B57" s="44" t="s">
        <v>208</v>
      </c>
      <c r="C57" s="45" t="s">
        <v>25</v>
      </c>
      <c r="D57" s="45" t="s">
        <v>26</v>
      </c>
      <c r="E57" s="45" t="s">
        <v>27</v>
      </c>
      <c r="F57" s="45" t="s">
        <v>28</v>
      </c>
      <c r="AB57" s="86"/>
      <c r="AC57" s="128"/>
      <c r="AD57" s="129"/>
      <c r="AE57" s="128"/>
      <c r="AF57" s="129"/>
      <c r="AG57" s="170"/>
      <c r="AH57" t="e">
        <f t="shared" si="37"/>
        <v>#N/A</v>
      </c>
      <c r="AI57" t="e">
        <f t="shared" si="7"/>
        <v>#N/A</v>
      </c>
      <c r="AJ57" s="130" t="e">
        <f t="shared" si="38"/>
        <v>#N/A</v>
      </c>
      <c r="AK57" s="130" t="e">
        <f t="shared" si="39"/>
        <v>#N/A</v>
      </c>
      <c r="AL57" t="e">
        <f t="shared" si="8"/>
        <v>#N/A</v>
      </c>
      <c r="AM57" s="130" t="e">
        <f t="shared" si="40"/>
        <v>#N/A</v>
      </c>
      <c r="AN57" s="130" t="e">
        <f t="shared" si="41"/>
        <v>#N/A</v>
      </c>
      <c r="AO57" t="e">
        <f t="shared" si="42"/>
        <v>#N/A</v>
      </c>
      <c r="AQ57" s="147"/>
      <c r="AR57" s="148"/>
      <c r="AT57" s="84"/>
    </row>
    <row r="58" spans="1:50">
      <c r="A58" s="48" t="s">
        <v>127</v>
      </c>
      <c r="B58" s="138">
        <f>R_standard_uncertainty</f>
        <v>413.50132451241655</v>
      </c>
      <c r="C58" s="50">
        <f>B58^2</f>
        <v>170983.34537352281</v>
      </c>
      <c r="D58" s="61" t="s">
        <v>124</v>
      </c>
      <c r="E58" s="52">
        <f>R_v</f>
        <v>15.167302321666106</v>
      </c>
      <c r="F58" s="50">
        <f>B58^4/E58</f>
        <v>1927521702.6141486</v>
      </c>
      <c r="G58" t="s">
        <v>228</v>
      </c>
      <c r="AB58" s="86"/>
      <c r="AC58" s="128"/>
      <c r="AD58" s="129"/>
      <c r="AE58" s="128"/>
      <c r="AF58" s="129"/>
      <c r="AG58" s="170"/>
      <c r="AH58" t="e">
        <f t="shared" si="37"/>
        <v>#N/A</v>
      </c>
      <c r="AI58" t="e">
        <f t="shared" si="7"/>
        <v>#N/A</v>
      </c>
      <c r="AJ58" s="130" t="e">
        <f t="shared" si="38"/>
        <v>#N/A</v>
      </c>
      <c r="AK58" s="130" t="e">
        <f t="shared" si="39"/>
        <v>#N/A</v>
      </c>
      <c r="AL58" t="e">
        <f t="shared" si="8"/>
        <v>#N/A</v>
      </c>
      <c r="AM58" s="130" t="e">
        <f t="shared" si="40"/>
        <v>#N/A</v>
      </c>
      <c r="AN58" s="130" t="e">
        <f t="shared" si="41"/>
        <v>#N/A</v>
      </c>
      <c r="AO58" t="e">
        <f t="shared" si="42"/>
        <v>#N/A</v>
      </c>
      <c r="AQ58" s="147"/>
      <c r="AR58" s="148"/>
      <c r="AT58" s="84"/>
    </row>
    <row r="59" spans="1:50">
      <c r="A59" s="48" t="s">
        <v>229</v>
      </c>
      <c r="B59" s="149">
        <v>0</v>
      </c>
      <c r="C59" s="50">
        <f>B59^2</f>
        <v>0</v>
      </c>
      <c r="D59" s="51">
        <v>30</v>
      </c>
      <c r="E59" s="52">
        <f>0.5*(1/(0.01*D59)^2)</f>
        <v>5.5555555555555554</v>
      </c>
      <c r="F59" s="50">
        <f>B59^4/E59</f>
        <v>0</v>
      </c>
      <c r="AB59" s="86"/>
      <c r="AC59" s="128"/>
      <c r="AD59" s="129"/>
      <c r="AE59" s="128"/>
      <c r="AF59" s="129"/>
      <c r="AG59" s="170"/>
      <c r="AH59" t="e">
        <f t="shared" si="37"/>
        <v>#N/A</v>
      </c>
      <c r="AI59" t="e">
        <f t="shared" si="7"/>
        <v>#N/A</v>
      </c>
      <c r="AJ59" s="130" t="e">
        <f t="shared" si="38"/>
        <v>#N/A</v>
      </c>
      <c r="AK59" s="130" t="e">
        <f t="shared" si="39"/>
        <v>#N/A</v>
      </c>
      <c r="AL59" t="e">
        <f t="shared" si="8"/>
        <v>#N/A</v>
      </c>
      <c r="AM59" s="130" t="e">
        <f t="shared" si="40"/>
        <v>#N/A</v>
      </c>
      <c r="AN59" s="130" t="e">
        <f t="shared" si="41"/>
        <v>#N/A</v>
      </c>
      <c r="AO59" t="e">
        <f t="shared" si="42"/>
        <v>#N/A</v>
      </c>
      <c r="AQ59" s="147"/>
      <c r="AR59" s="148"/>
      <c r="AT59" s="84"/>
    </row>
    <row r="60" spans="1:50">
      <c r="A60" s="48" t="s">
        <v>128</v>
      </c>
      <c r="B60" s="234">
        <f>SQRT((VLOOKUP(label, Params,2,FALSE)*0.5)^2+(0.5*0.2*VLOOKUP(label, Params,3,FALSE))^2)*0.000001*D34</f>
        <v>0</v>
      </c>
      <c r="C60" s="50">
        <f>B60^2</f>
        <v>0</v>
      </c>
      <c r="D60" s="51">
        <v>20</v>
      </c>
      <c r="E60" s="52">
        <f>0.5*(1/(0.01*D60)^2)</f>
        <v>12.499999999999998</v>
      </c>
      <c r="F60" s="50">
        <f>B60^4/E60</f>
        <v>0</v>
      </c>
      <c r="G60" t="s">
        <v>230</v>
      </c>
    </row>
    <row r="61" spans="1:50">
      <c r="A61" s="48" t="s">
        <v>576</v>
      </c>
      <c r="B61" s="49"/>
      <c r="C61" s="50">
        <f>B61^2</f>
        <v>0</v>
      </c>
      <c r="D61" s="51">
        <v>1</v>
      </c>
      <c r="E61" s="52">
        <f>0.5*(1/(0.01*D61)^2)</f>
        <v>5000</v>
      </c>
      <c r="F61" s="50">
        <f>B61^4/E61</f>
        <v>0</v>
      </c>
      <c r="G61" s="165" t="s">
        <v>575</v>
      </c>
      <c r="AQ61" s="28" t="s">
        <v>231</v>
      </c>
    </row>
    <row r="62" spans="1:50" ht="13.5" thickBot="1">
      <c r="B62" s="56" t="s">
        <v>29</v>
      </c>
      <c r="C62" s="62">
        <f>SUM(C58:C61)</f>
        <v>170983.34537352281</v>
      </c>
      <c r="E62" s="26" t="s">
        <v>30</v>
      </c>
      <c r="F62" s="50">
        <f>SUM(F58:F61)</f>
        <v>1927521702.6141486</v>
      </c>
    </row>
    <row r="63" spans="1:50">
      <c r="B63" s="56" t="s">
        <v>215</v>
      </c>
      <c r="C63" s="53">
        <f>SQRT(C62)</f>
        <v>413.50132451241655</v>
      </c>
      <c r="E63" s="57" t="s">
        <v>31</v>
      </c>
      <c r="F63" s="140">
        <f>C63^4/F62</f>
        <v>15.167302321666106</v>
      </c>
    </row>
    <row r="64" spans="1:50">
      <c r="B64" s="33"/>
      <c r="E64" s="58" t="s">
        <v>17</v>
      </c>
      <c r="F64" s="150">
        <f>$G$3+$G$4/F63+$G$5/F63^2+$G$6/F63^3</f>
        <v>2.1239595083866862</v>
      </c>
      <c r="H64" s="91" t="s">
        <v>418</v>
      </c>
      <c r="I64" s="91" t="s">
        <v>419</v>
      </c>
      <c r="J64" s="91" t="s">
        <v>420</v>
      </c>
      <c r="K64" s="91" t="s">
        <v>142</v>
      </c>
      <c r="L64" s="91" t="s">
        <v>421</v>
      </c>
      <c r="M64" s="91" t="s">
        <v>422</v>
      </c>
    </row>
    <row r="65" spans="1:13" ht="13.5" thickBot="1">
      <c r="A65" s="26" t="s">
        <v>32</v>
      </c>
      <c r="B65" s="33"/>
      <c r="E65" s="59" t="s">
        <v>121</v>
      </c>
      <c r="F65" s="151">
        <f>F64*C63</f>
        <v>878.26006992863586</v>
      </c>
      <c r="H65" s="91" t="str">
        <f>VLOOKUP(label,Results,2,FALSE)</f>
        <v>1Z</v>
      </c>
      <c r="I65" s="91">
        <f>VLOOKUP(label,Results,5,FALSE)</f>
        <v>1.7003647634321158E-2</v>
      </c>
      <c r="J65" s="91">
        <f>VLOOKUP(H65,multiplier,4,FALSE)</f>
        <v>9.9999999999999995E-7</v>
      </c>
      <c r="K65" s="91">
        <f>VLOOKUP(label,Results,7,FALSE)</f>
        <v>998.26067728446412</v>
      </c>
      <c r="L65" s="91">
        <f>VLOOKUP(H65,multiplier,5,FALSE)</f>
        <v>1E-4</v>
      </c>
      <c r="M65" s="91">
        <f>VLOOKUP(H65,multiplier,7,FALSE)</f>
        <v>1E-3</v>
      </c>
    </row>
    <row r="66" spans="1:13">
      <c r="A66" s="28" t="s">
        <v>232</v>
      </c>
      <c r="B66" s="33"/>
      <c r="F66" s="152">
        <f>F65*VLOOKUP(VLOOKUP(label,Results,2,FALSE),multiplier,5,FALSE)</f>
        <v>8.7826006992863595E-2</v>
      </c>
      <c r="G66" s="152" t="str">
        <f>VLOOKUP(label,Results,8,FALSE)</f>
        <v>milliohm</v>
      </c>
    </row>
    <row r="67" spans="1:13">
      <c r="B67" s="33"/>
      <c r="E67" s="28"/>
      <c r="F67" s="60"/>
    </row>
    <row r="68" spans="1:13" ht="15.75">
      <c r="A68" s="39" t="s">
        <v>572</v>
      </c>
      <c r="B68" s="40"/>
      <c r="C68" s="41"/>
      <c r="D68" s="63"/>
      <c r="F68" s="28" t="s">
        <v>20</v>
      </c>
    </row>
    <row r="69" spans="1:13">
      <c r="A69" s="43"/>
      <c r="B69" s="44" t="s">
        <v>21</v>
      </c>
      <c r="C69" s="43"/>
      <c r="D69" s="43"/>
      <c r="E69" s="43"/>
      <c r="F69" s="43"/>
    </row>
    <row r="70" spans="1:13">
      <c r="A70" s="45" t="s">
        <v>22</v>
      </c>
      <c r="B70" s="44" t="s">
        <v>23</v>
      </c>
      <c r="E70" s="45" t="s">
        <v>24</v>
      </c>
    </row>
    <row r="71" spans="1:13" ht="15.75">
      <c r="A71" s="47"/>
      <c r="B71" s="44" t="s">
        <v>208</v>
      </c>
      <c r="C71" s="45" t="s">
        <v>25</v>
      </c>
      <c r="D71" s="45" t="s">
        <v>26</v>
      </c>
      <c r="E71" s="45" t="s">
        <v>27</v>
      </c>
      <c r="F71" s="45" t="s">
        <v>28</v>
      </c>
    </row>
    <row r="72" spans="1:13">
      <c r="A72" s="48" t="s">
        <v>127</v>
      </c>
      <c r="B72" s="153">
        <f>L_standard_uncertainty</f>
        <v>34.681761062186084</v>
      </c>
      <c r="C72" s="50">
        <f>B72^2</f>
        <v>1202.8245503745668</v>
      </c>
      <c r="D72" s="61" t="s">
        <v>124</v>
      </c>
      <c r="E72" s="52">
        <f>L_v</f>
        <v>3.1926005456292872</v>
      </c>
      <c r="F72" s="50">
        <f>B72^4/E72</f>
        <v>453168.78147015581</v>
      </c>
    </row>
    <row r="73" spans="1:13">
      <c r="A73" s="48" t="s">
        <v>128</v>
      </c>
      <c r="B73" s="49">
        <f>SQRT((VLOOKUP(label, Params,4,FALSE)*0.5)^2+(0.5*0.2*VLOOKUP(label, Params,5,FALSE))^2)*0.000001*D11</f>
        <v>0</v>
      </c>
      <c r="C73" s="50">
        <f>B73^2</f>
        <v>0</v>
      </c>
      <c r="D73" s="51">
        <v>30</v>
      </c>
      <c r="E73" s="52">
        <v>8</v>
      </c>
      <c r="F73" s="50">
        <f>B73^4/E73</f>
        <v>0</v>
      </c>
      <c r="G73" s="165" t="s">
        <v>258</v>
      </c>
    </row>
    <row r="74" spans="1:13">
      <c r="A74" s="48" t="s">
        <v>233</v>
      </c>
      <c r="B74" s="49">
        <v>0</v>
      </c>
      <c r="C74" s="50">
        <f>B74^2</f>
        <v>0</v>
      </c>
      <c r="D74" s="51">
        <v>30</v>
      </c>
      <c r="E74" s="52">
        <f>0.5*(1/(0.01*D74)^2)</f>
        <v>5.5555555555555554</v>
      </c>
      <c r="F74" s="50">
        <f>B74^4/E74</f>
        <v>0</v>
      </c>
    </row>
    <row r="75" spans="1:13">
      <c r="A75" s="48" t="s">
        <v>414</v>
      </c>
      <c r="B75" s="52">
        <f>IF(label="E06Y",600,IF(LEFT(label,1)="E",500,0))</f>
        <v>0</v>
      </c>
      <c r="C75" s="50">
        <f>B75^2</f>
        <v>0</v>
      </c>
      <c r="D75" s="51">
        <v>30</v>
      </c>
      <c r="E75" s="52">
        <f>0.5*(1/(0.01*D75)^2)</f>
        <v>5.5555555555555554</v>
      </c>
      <c r="F75" s="50">
        <f>B75^4/E75</f>
        <v>0</v>
      </c>
      <c r="G75" s="90" t="s">
        <v>417</v>
      </c>
    </row>
    <row r="76" spans="1:13" ht="13.5" thickBot="1">
      <c r="B76" s="56" t="s">
        <v>29</v>
      </c>
      <c r="C76" s="62">
        <f>SUM(C72:C75)</f>
        <v>1202.8245503745668</v>
      </c>
      <c r="E76" s="26" t="s">
        <v>30</v>
      </c>
      <c r="F76" s="50">
        <f>SUM(F72:F75)</f>
        <v>453168.78147015581</v>
      </c>
    </row>
    <row r="77" spans="1:13">
      <c r="B77" s="56" t="s">
        <v>234</v>
      </c>
      <c r="C77" s="146">
        <f>SQRT(C76)</f>
        <v>34.681761062186084</v>
      </c>
      <c r="E77" s="57" t="s">
        <v>31</v>
      </c>
      <c r="F77" s="140">
        <f>C77^4/F76</f>
        <v>3.1926005456292872</v>
      </c>
    </row>
    <row r="78" spans="1:13">
      <c r="B78" s="33"/>
      <c r="E78" s="58" t="s">
        <v>17</v>
      </c>
      <c r="F78" s="150">
        <f>$G$3+$G$4/F77+$G$5/F77^2+$G$6/F77^3</f>
        <v>3.0459980693003432</v>
      </c>
    </row>
    <row r="79" spans="1:13" ht="13.5" thickBot="1">
      <c r="A79" s="26" t="s">
        <v>32</v>
      </c>
      <c r="B79" s="33"/>
      <c r="E79" s="59" t="s">
        <v>235</v>
      </c>
      <c r="F79" s="154">
        <f>F78*C77</f>
        <v>105.64057723535463</v>
      </c>
    </row>
    <row r="80" spans="1:13">
      <c r="A80" s="28" t="s">
        <v>232</v>
      </c>
      <c r="B80" s="33"/>
      <c r="F80" s="152">
        <f>F79*VLOOKUP(VLOOKUP(label,Results,2,FALSE),multiplier,2,FALSE)</f>
        <v>1.0564057723535462E-2</v>
      </c>
      <c r="G80" s="64" t="str">
        <f>VLOOKUP(label,Results,6,FALSE)</f>
        <v>microH</v>
      </c>
    </row>
  </sheetData>
  <phoneticPr fontId="0" type="noConversion"/>
  <conditionalFormatting sqref="AV5:AV55 AX5:AX55 AR5:AR59 AT5:AT59">
    <cfRule type="cellIs" dxfId="3" priority="3" stopIfTrue="1" operator="lessThan">
      <formula>1</formula>
    </cfRule>
    <cfRule type="cellIs" dxfId="2" priority="4" stopIfTrue="1" operator="greaterThanOrEqual">
      <formula>1</formula>
    </cfRule>
  </conditionalFormatting>
  <conditionalFormatting sqref="BA5:BA31 BC5:BC31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75" right="0.75" top="1" bottom="1" header="0.5" footer="0.5"/>
  <pageSetup paperSize="9" scale="60" orientation="portrait" r:id="rId1"/>
  <headerFooter alignWithMargins="0">
    <oddHeader>&amp;A</oddHeader>
    <oddFooter>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U37"/>
  <sheetViews>
    <sheetView showGridLines="0" topLeftCell="A2" zoomScale="130" zoomScaleNormal="130" workbookViewId="0">
      <selection activeCell="B9" sqref="B9"/>
    </sheetView>
  </sheetViews>
  <sheetFormatPr defaultRowHeight="12.75"/>
  <cols>
    <col min="2" max="2" width="17" customWidth="1"/>
    <col min="3" max="3" width="10.140625" customWidth="1"/>
    <col min="4" max="4" width="12.28515625" customWidth="1"/>
    <col min="5" max="5" width="9" customWidth="1"/>
    <col min="6" max="6" width="11.140625" customWidth="1"/>
    <col min="7" max="7" width="12" customWidth="1"/>
    <col min="11" max="16" width="10.7109375" customWidth="1"/>
  </cols>
  <sheetData>
    <row r="1" spans="1:8">
      <c r="F1" s="64"/>
    </row>
    <row r="2" spans="1:8" ht="13.5" thickBot="1"/>
    <row r="3" spans="1:8" ht="13.5" thickTop="1">
      <c r="B3" s="283" t="s">
        <v>494</v>
      </c>
      <c r="C3" s="284" t="s">
        <v>489</v>
      </c>
      <c r="D3" s="285" t="s">
        <v>495</v>
      </c>
      <c r="E3" s="285" t="s">
        <v>496</v>
      </c>
      <c r="F3" s="285" t="s">
        <v>490</v>
      </c>
      <c r="G3" s="285" t="s">
        <v>495</v>
      </c>
      <c r="H3" s="286" t="s">
        <v>496</v>
      </c>
    </row>
    <row r="4" spans="1:8">
      <c r="B4" s="287"/>
      <c r="C4" s="288"/>
      <c r="D4" s="289" t="s">
        <v>497</v>
      </c>
      <c r="E4" s="289" t="s">
        <v>498</v>
      </c>
      <c r="F4" s="165"/>
      <c r="G4" s="289" t="s">
        <v>497</v>
      </c>
      <c r="H4" s="290" t="s">
        <v>498</v>
      </c>
    </row>
    <row r="5" spans="1:8">
      <c r="B5" s="291"/>
      <c r="C5" s="176" t="s">
        <v>499</v>
      </c>
      <c r="D5" s="283" t="s">
        <v>499</v>
      </c>
      <c r="E5" s="292"/>
      <c r="F5" s="289" t="s">
        <v>683</v>
      </c>
      <c r="G5" s="283" t="s">
        <v>683</v>
      </c>
      <c r="H5" s="290"/>
    </row>
    <row r="6" spans="1:8">
      <c r="A6" s="283"/>
      <c r="B6" s="293" t="s">
        <v>656</v>
      </c>
      <c r="C6" s="313" t="str">
        <f>TEXT(VLOOKUP(Nominal_Value,Results,5,FALSE),"0.000")</f>
        <v>0.017</v>
      </c>
      <c r="D6" s="349" t="str">
        <f>TEXT(VLOOKUP(Nominal_Value,ub_uncertainty,2,FALSE),"0.000")</f>
        <v>0.011</v>
      </c>
      <c r="E6" s="314">
        <f t="shared" ref="E6:E27" si="0">VLOOKUP(Nominal_Value,ub_uncertainty,3,FALSE)</f>
        <v>3.0459980693003432</v>
      </c>
      <c r="F6" s="315" t="str">
        <f>TEXT(VLOOKUP(Nominal_Value,Results,7,FALSE),"0.000")</f>
        <v>998.261</v>
      </c>
      <c r="G6" s="316" t="str">
        <f>TEXT(VLOOKUP(Nominal_Value,ub_uncertainty,4,FALSE),"0.000")</f>
        <v>0.088</v>
      </c>
      <c r="H6" s="317">
        <f t="shared" ref="H6:H27" si="1">VLOOKUP(Nominal_Value,ub_uncertainty,5,FALSE)</f>
        <v>2.1239595083866862</v>
      </c>
    </row>
    <row r="7" spans="1:8">
      <c r="A7" s="283"/>
      <c r="B7" s="283" t="s">
        <v>661</v>
      </c>
      <c r="C7" s="176" t="str">
        <f t="shared" ref="C7:C12" si="2">TEXT(VLOOKUP(Nominal_Value,Results,5,FALSE),"0.0000")</f>
        <v>0.0186</v>
      </c>
      <c r="D7" s="283" t="str">
        <f t="shared" ref="D7:D12" si="3">TEXT(VLOOKUP(Nominal_Value,ub_uncertainty,2,FALSE),"0.0000")</f>
        <v>0.0036</v>
      </c>
      <c r="E7" s="294">
        <f t="shared" si="0"/>
        <v>2.1275886529920673</v>
      </c>
      <c r="F7" s="289" t="str">
        <f>TEXT(VLOOKUP(Nominal_Value,Results,7,FALSE),"0.000")</f>
        <v>998.244</v>
      </c>
      <c r="G7" s="350" t="str">
        <f>TEXT(VLOOKUP(Nominal_Value,ub_uncertainty,4,FALSE),"0.000")</f>
        <v>0.088</v>
      </c>
      <c r="H7" s="295">
        <f t="shared" si="1"/>
        <v>2.1239594984013834</v>
      </c>
    </row>
    <row r="8" spans="1:8">
      <c r="A8" s="283"/>
      <c r="B8" s="283" t="s">
        <v>666</v>
      </c>
      <c r="C8" s="176" t="str">
        <f t="shared" si="2"/>
        <v>0.0193</v>
      </c>
      <c r="D8" s="283" t="str">
        <f t="shared" si="3"/>
        <v>0.0035</v>
      </c>
      <c r="E8" s="294">
        <f t="shared" si="0"/>
        <v>2.1456853195973378</v>
      </c>
      <c r="F8" s="289" t="str">
        <f>TEXT(VLOOKUP(Nominal_Value,Results,7,FALSE),"0.000")</f>
        <v>998.240</v>
      </c>
      <c r="G8" s="350" t="str">
        <f>TEXT(VLOOKUP(Nominal_Value,ub_uncertainty,4,FALSE),"0.000")</f>
        <v>0.088</v>
      </c>
      <c r="H8" s="295">
        <f t="shared" si="1"/>
        <v>2.1239594943926696</v>
      </c>
    </row>
    <row r="9" spans="1:8">
      <c r="A9" s="283"/>
      <c r="B9" s="283" t="s">
        <v>667</v>
      </c>
      <c r="C9" s="176" t="str">
        <f t="shared" si="2"/>
        <v>0.0192</v>
      </c>
      <c r="D9" s="283" t="str">
        <f t="shared" si="3"/>
        <v>0.0034</v>
      </c>
      <c r="E9" s="294">
        <f t="shared" si="0"/>
        <v>2.1491902260737841</v>
      </c>
      <c r="F9" s="289" t="str">
        <f>TEXT(VLOOKUP(Nominal_Value,Results,7,FALSE),"0.000")</f>
        <v>998.298</v>
      </c>
      <c r="G9" s="350" t="str">
        <f>TEXT(VLOOKUP(Nominal_Value,ub_uncertainty,4,FALSE),"0.000")</f>
        <v>0.088</v>
      </c>
      <c r="H9" s="295">
        <f t="shared" si="1"/>
        <v>2.1237575155210773</v>
      </c>
    </row>
    <row r="10" spans="1:8">
      <c r="A10" s="283"/>
      <c r="B10" s="283" t="s">
        <v>668</v>
      </c>
      <c r="C10" s="176" t="str">
        <f t="shared" si="2"/>
        <v>0.0192</v>
      </c>
      <c r="D10" s="283" t="str">
        <f t="shared" si="3"/>
        <v>0.0034</v>
      </c>
      <c r="E10" s="294">
        <f t="shared" si="0"/>
        <v>2.1500481315044584</v>
      </c>
      <c r="F10" s="289" t="str">
        <f>TEXT(VLOOKUP(Nominal_Value,Results,7,FALSE),"0.000")</f>
        <v>998.252</v>
      </c>
      <c r="G10" s="350" t="str">
        <f>TEXT(VLOOKUP(Nominal_Value,ub_uncertainty,4,FALSE),"0.000")</f>
        <v>0.088</v>
      </c>
      <c r="H10" s="295">
        <f t="shared" si="1"/>
        <v>2.1239595031837717</v>
      </c>
    </row>
    <row r="11" spans="1:8">
      <c r="A11" s="283"/>
      <c r="B11" s="283" t="s">
        <v>654</v>
      </c>
      <c r="C11" s="176" t="str">
        <f>TEXT(VLOOKUP(Nominal_Value,Results,5,FALSE),"0.000")</f>
        <v>0.023</v>
      </c>
      <c r="D11" s="283" t="str">
        <f>TEXT(VLOOKUP(Nominal_Value,ub_uncertainty,2,FALSE),"0.000")</f>
        <v>0.013</v>
      </c>
      <c r="E11" s="294">
        <f t="shared" si="0"/>
        <v>4.3177795219181645</v>
      </c>
      <c r="F11" s="289" t="str">
        <f t="shared" ref="F11:F22" si="4">TEXT(VLOOKUP(Nominal_Value,Results,7,FALSE),"0.0000")</f>
        <v>100.6610</v>
      </c>
      <c r="G11" s="350" t="str">
        <f t="shared" ref="G11:G22" si="5">TEXT(VLOOKUP(Nominal_Value,ub_uncertainty,4,FALSE),"0.0000")</f>
        <v>0.0092</v>
      </c>
      <c r="H11" s="295">
        <f t="shared" si="1"/>
        <v>2.0931762085478596</v>
      </c>
    </row>
    <row r="12" spans="1:8">
      <c r="A12" s="283"/>
      <c r="B12" s="283" t="s">
        <v>659</v>
      </c>
      <c r="C12" s="176" t="str">
        <f t="shared" si="2"/>
        <v>0.0205</v>
      </c>
      <c r="D12" s="283" t="str">
        <f t="shared" si="3"/>
        <v>0.0018</v>
      </c>
      <c r="E12" s="294">
        <f t="shared" si="0"/>
        <v>3.4544107059878399</v>
      </c>
      <c r="F12" s="289" t="str">
        <f t="shared" si="4"/>
        <v>100.6630</v>
      </c>
      <c r="G12" s="350" t="str">
        <f t="shared" si="5"/>
        <v>0.0092</v>
      </c>
      <c r="H12" s="295">
        <f t="shared" si="1"/>
        <v>2.0931790844021179</v>
      </c>
    </row>
    <row r="13" spans="1:8">
      <c r="A13" s="283"/>
      <c r="B13" s="283" t="s">
        <v>669</v>
      </c>
      <c r="C13" s="176" t="str">
        <f>TEXT(VLOOKUP(Nominal_Value,Results,5,FALSE),"0.00000")</f>
        <v>0.02060</v>
      </c>
      <c r="D13" s="283" t="str">
        <f>TEXT(VLOOKUP(Nominal_Value,ub_uncertainty,2,FALSE),"0.00000")</f>
        <v>0.00065</v>
      </c>
      <c r="E13" s="294">
        <f t="shared" si="0"/>
        <v>2.3710838629986242</v>
      </c>
      <c r="F13" s="289" t="str">
        <f t="shared" si="4"/>
        <v>100.6620</v>
      </c>
      <c r="G13" s="350" t="str">
        <f t="shared" si="5"/>
        <v>0.0092</v>
      </c>
      <c r="H13" s="295">
        <f t="shared" si="1"/>
        <v>2.0931782330748288</v>
      </c>
    </row>
    <row r="14" spans="1:8">
      <c r="A14" s="283"/>
      <c r="B14" s="283" t="s">
        <v>670</v>
      </c>
      <c r="C14" s="176" t="str">
        <f>TEXT(VLOOKUP(Nominal_Value,Results,5,FALSE),"0.00000")</f>
        <v>0.02050</v>
      </c>
      <c r="D14" s="283" t="str">
        <f>TEXT(VLOOKUP(Nominal_Value,ub_uncertainty,2,FALSE),"0.00000")</f>
        <v>0.00049</v>
      </c>
      <c r="E14" s="294">
        <f t="shared" si="0"/>
        <v>2.1404052849074295</v>
      </c>
      <c r="F14" s="289" t="str">
        <f t="shared" si="4"/>
        <v>100.6782</v>
      </c>
      <c r="G14" s="350" t="str">
        <f t="shared" si="5"/>
        <v>0.0092</v>
      </c>
      <c r="H14" s="295">
        <f t="shared" si="1"/>
        <v>2.0931847132743893</v>
      </c>
    </row>
    <row r="15" spans="1:8">
      <c r="A15" s="283"/>
      <c r="B15" s="283" t="s">
        <v>653</v>
      </c>
      <c r="C15" s="176" t="str">
        <f>TEXT(VLOOKUP(Nominal_Value,Results,5,FALSE),"0.000")</f>
        <v>0.013</v>
      </c>
      <c r="D15" s="283" t="str">
        <f>TEXT(VLOOKUP(Nominal_Value,ub_uncertainty,2,FALSE),"0.000")</f>
        <v>0.013</v>
      </c>
      <c r="E15" s="294">
        <f t="shared" si="0"/>
        <v>4.3417558704888028</v>
      </c>
      <c r="F15" s="289" t="str">
        <f t="shared" si="4"/>
        <v>10.2226</v>
      </c>
      <c r="G15" s="350" t="str">
        <f t="shared" si="5"/>
        <v>0.0032</v>
      </c>
      <c r="H15" s="295">
        <f t="shared" si="1"/>
        <v>2.1514327982622081</v>
      </c>
    </row>
    <row r="16" spans="1:8">
      <c r="B16" s="2" t="s">
        <v>658</v>
      </c>
      <c r="C16" s="297" t="str">
        <f>TEXT(VLOOKUP(Nominal_Value,Results,5,FALSE),"0.0000")</f>
        <v>0.0132</v>
      </c>
      <c r="D16" s="289" t="str">
        <f>TEXT(VLOOKUP(Nominal_Value,ub_uncertainty,2,FALSE),"0.0000")</f>
        <v>0.0021</v>
      </c>
      <c r="E16" s="298">
        <f t="shared" si="0"/>
        <v>4.0242770479838992</v>
      </c>
      <c r="F16" s="289" t="str">
        <f t="shared" si="4"/>
        <v>10.1743</v>
      </c>
      <c r="G16" s="283" t="str">
        <f t="shared" si="5"/>
        <v>0.0032</v>
      </c>
      <c r="H16" s="299">
        <f t="shared" si="1"/>
        <v>2.1517256613235594</v>
      </c>
    </row>
    <row r="17" spans="2:8">
      <c r="B17" s="2" t="s">
        <v>671</v>
      </c>
      <c r="C17" s="297" t="str">
        <f>TEXT(VLOOKUP(Nominal_Value,Results,5,FALSE),"0.00000")</f>
        <v>0.01340</v>
      </c>
      <c r="D17" s="289" t="str">
        <f>TEXT(VLOOKUP(Nominal_Value,ub_uncertainty,2,FALSE),"0.00000")</f>
        <v>0.00070</v>
      </c>
      <c r="E17" s="298">
        <f t="shared" si="0"/>
        <v>3.1021431432423423</v>
      </c>
      <c r="F17" s="289" t="str">
        <f t="shared" si="4"/>
        <v>10.2146</v>
      </c>
      <c r="G17" s="283" t="str">
        <f t="shared" si="5"/>
        <v>0.0032</v>
      </c>
      <c r="H17" s="299">
        <f t="shared" si="1"/>
        <v>2.1514837997140162</v>
      </c>
    </row>
    <row r="18" spans="2:8">
      <c r="B18" s="2" t="s">
        <v>675</v>
      </c>
      <c r="C18" s="297" t="str">
        <f>TEXT(VLOOKUP(Nominal_Value,Results,5,FALSE),"0.00000")</f>
        <v>0.01320</v>
      </c>
      <c r="D18" s="289" t="str">
        <f>TEXT(VLOOKUP(Nominal_Value,ub_uncertainty,2,FALSE),"0.00000")</f>
        <v>0.00041</v>
      </c>
      <c r="E18" s="298">
        <f t="shared" si="0"/>
        <v>2.5759335219007511</v>
      </c>
      <c r="F18" s="289" t="str">
        <f t="shared" si="4"/>
        <v>10.2206</v>
      </c>
      <c r="G18" s="283" t="str">
        <f t="shared" si="5"/>
        <v>0.0032</v>
      </c>
      <c r="H18" s="299">
        <f t="shared" si="1"/>
        <v>2.1514427153810352</v>
      </c>
    </row>
    <row r="19" spans="2:8">
      <c r="B19" s="2" t="s">
        <v>655</v>
      </c>
      <c r="C19" s="297" t="str">
        <f t="shared" ref="C19:C26" si="6">TEXT(VLOOKUP(Nominal_Value,Results,5,FALSE),"0.000")</f>
        <v>0.003</v>
      </c>
      <c r="D19" s="289" t="str">
        <f t="shared" ref="D19:D26" si="7">TEXT(VLOOKUP(Nominal_Value,ub_uncertainty,2,FALSE),"0.000")</f>
        <v>0.013</v>
      </c>
      <c r="E19" s="298">
        <f t="shared" si="0"/>
        <v>4.3221155516226224</v>
      </c>
      <c r="F19" s="289" t="str">
        <f t="shared" si="4"/>
        <v>91.1454</v>
      </c>
      <c r="G19" s="283" t="str">
        <f t="shared" si="5"/>
        <v>0.0084</v>
      </c>
      <c r="H19" s="299">
        <f t="shared" si="1"/>
        <v>2.0882304083220666</v>
      </c>
    </row>
    <row r="20" spans="2:8">
      <c r="B20" s="2" t="s">
        <v>660</v>
      </c>
      <c r="C20" s="297" t="str">
        <f>TEXT(VLOOKUP(Nominal_Value,Results,5,FALSE),"0.0000")</f>
        <v>0.0005</v>
      </c>
      <c r="D20" s="289" t="str">
        <f>TEXT(VLOOKUP(Nominal_Value,ub_uncertainty,2,FALSE),"0.0000")</f>
        <v>0.0019</v>
      </c>
      <c r="E20" s="298">
        <f t="shared" si="0"/>
        <v>3.537651937210101</v>
      </c>
      <c r="F20" s="289" t="str">
        <f t="shared" si="4"/>
        <v>91.1394</v>
      </c>
      <c r="G20" s="283" t="str">
        <f t="shared" si="5"/>
        <v>0.0084</v>
      </c>
      <c r="H20" s="299">
        <f t="shared" si="1"/>
        <v>2.0882291762847771</v>
      </c>
    </row>
    <row r="21" spans="2:8">
      <c r="B21" s="2" t="s">
        <v>672</v>
      </c>
      <c r="C21" s="297" t="str">
        <f>TEXT(VLOOKUP(Nominal_Value,Results,5,FALSE),"0.00000")</f>
        <v>0.00020</v>
      </c>
      <c r="D21" s="289" t="str">
        <f>TEXT(VLOOKUP(Nominal_Value,ub_uncertainty,2,FALSE),"0.00000")</f>
        <v>0.00065</v>
      </c>
      <c r="E21" s="298">
        <f t="shared" si="0"/>
        <v>2.4278210081522618</v>
      </c>
      <c r="F21" s="289" t="str">
        <f t="shared" si="4"/>
        <v>91.1414</v>
      </c>
      <c r="G21" s="283" t="str">
        <f t="shared" si="5"/>
        <v>0.0084</v>
      </c>
      <c r="H21" s="299">
        <f t="shared" si="1"/>
        <v>2.088229859096451</v>
      </c>
    </row>
    <row r="22" spans="2:8">
      <c r="B22" s="2" t="s">
        <v>673</v>
      </c>
      <c r="C22" s="297" t="str">
        <f>TEXT(VLOOKUP(Nominal_Value,Results,5,FALSE),"0.00000")</f>
        <v>0.00050</v>
      </c>
      <c r="D22" s="289" t="str">
        <f>TEXT(VLOOKUP(Nominal_Value,ub_uncertainty,2,FALSE),"0.00000")</f>
        <v>0.00047</v>
      </c>
      <c r="E22" s="298">
        <f t="shared" si="0"/>
        <v>2.1602754702537283</v>
      </c>
      <c r="F22" s="289" t="str">
        <f t="shared" si="4"/>
        <v>91.1425</v>
      </c>
      <c r="G22" s="283" t="str">
        <f t="shared" si="5"/>
        <v>0.0084</v>
      </c>
      <c r="H22" s="299">
        <f t="shared" si="1"/>
        <v>2.0880924239523893</v>
      </c>
    </row>
    <row r="23" spans="2:8">
      <c r="B23" s="2" t="s">
        <v>657</v>
      </c>
      <c r="C23" s="297" t="str">
        <f t="shared" si="6"/>
        <v>0.000</v>
      </c>
      <c r="D23" s="289" t="str">
        <f t="shared" si="7"/>
        <v>0.011</v>
      </c>
      <c r="E23" s="298">
        <f t="shared" si="0"/>
        <v>3.0992402906772649</v>
      </c>
      <c r="F23" s="289" t="str">
        <f>TEXT(VLOOKUP(Nominal_Value,Results,7,FALSE),"0.000")</f>
        <v>958.990</v>
      </c>
      <c r="G23" s="283" t="str">
        <f>TEXT(VLOOKUP(Nominal_Value,ub_uncertainty,4,FALSE),"0.000")</f>
        <v>0.084</v>
      </c>
      <c r="H23" s="299">
        <f t="shared" si="1"/>
        <v>2.1239256373807684</v>
      </c>
    </row>
    <row r="24" spans="2:8">
      <c r="B24" s="2" t="s">
        <v>662</v>
      </c>
      <c r="C24" s="297" t="str">
        <f>TEXT(VLOOKUP(Nominal_Value,Results,5,FALSE),"0.0000")</f>
        <v>-0.0025</v>
      </c>
      <c r="D24" s="289" t="str">
        <f>TEXT(VLOOKUP(Nominal_Value,ub_uncertainty,2,FALSE),"0.0000")</f>
        <v>0.0034</v>
      </c>
      <c r="E24" s="298">
        <f t="shared" si="0"/>
        <v>2.126665137236611</v>
      </c>
      <c r="F24" s="289" t="str">
        <f>TEXT(VLOOKUP(Nominal_Value,Results,7,FALSE),"0.000")</f>
        <v>958.989</v>
      </c>
      <c r="G24" s="283" t="str">
        <f>TEXT(VLOOKUP(Nominal_Value,ub_uncertainty,4,FALSE),"0.000")</f>
        <v>0.084</v>
      </c>
      <c r="H24" s="299">
        <f t="shared" si="1"/>
        <v>2.1239256399536366</v>
      </c>
    </row>
    <row r="25" spans="2:8">
      <c r="B25" s="2" t="s">
        <v>674</v>
      </c>
      <c r="C25" s="297" t="str">
        <f>TEXT(VLOOKUP(Nominal_Value,Results,5,FALSE),"0.0000")</f>
        <v>-0.0018</v>
      </c>
      <c r="D25" s="289" t="str">
        <f>TEXT(VLOOKUP(Nominal_Value,ub_uncertainty,2,FALSE),"0.0000")</f>
        <v>0.0033</v>
      </c>
      <c r="E25" s="298">
        <f t="shared" si="0"/>
        <v>2.1451053311565604</v>
      </c>
      <c r="F25" s="289" t="str">
        <f>TEXT(VLOOKUP(Nominal_Value,Results,7,FALSE),"0.000")</f>
        <v>958.963</v>
      </c>
      <c r="G25" s="283" t="str">
        <f>TEXT(VLOOKUP(Nominal_Value,ub_uncertainty,4,FALSE),"0.000")</f>
        <v>0.084</v>
      </c>
      <c r="H25" s="299">
        <f t="shared" si="1"/>
        <v>2.1239256149764891</v>
      </c>
    </row>
    <row r="26" spans="2:8">
      <c r="B26" s="293" t="s">
        <v>656</v>
      </c>
      <c r="C26" s="297" t="str">
        <f t="shared" si="6"/>
        <v>0.017</v>
      </c>
      <c r="D26" s="289" t="str">
        <f t="shared" si="7"/>
        <v>0.011</v>
      </c>
      <c r="E26" s="298">
        <f t="shared" si="0"/>
        <v>3.0459980693003432</v>
      </c>
      <c r="F26" s="289" t="str">
        <f>TEXT(VLOOKUP(Nominal_Value,Results,7,FALSE),"0.000")</f>
        <v>998.261</v>
      </c>
      <c r="G26" s="283" t="str">
        <f>TEXT(VLOOKUP(Nominal_Value,ub_uncertainty,4,FALSE),"0.000")</f>
        <v>0.088</v>
      </c>
      <c r="H26" s="299">
        <f t="shared" si="1"/>
        <v>2.1239595083866862</v>
      </c>
    </row>
    <row r="27" spans="2:8" ht="13.5" thickBot="1">
      <c r="B27" s="283" t="s">
        <v>661</v>
      </c>
      <c r="C27" s="300" t="str">
        <f>TEXT(VLOOKUP(Nominal_Value,Results,5,FALSE),"0.0000")</f>
        <v>0.0186</v>
      </c>
      <c r="D27" s="301" t="str">
        <f>TEXT(VLOOKUP(Nominal_Value,ub_uncertainty,2,FALSE),"0.0000")</f>
        <v>0.0036</v>
      </c>
      <c r="E27" s="302">
        <f t="shared" si="0"/>
        <v>2.1275886529920673</v>
      </c>
      <c r="F27" s="301" t="str">
        <f>TEXT(VLOOKUP(Nominal_Value,Results,7,FALSE),"0.000")</f>
        <v>998.244</v>
      </c>
      <c r="G27" s="351" t="str">
        <f>TEXT(VLOOKUP(Nominal_Value,ub_uncertainty,4,FALSE),"0.000")</f>
        <v>0.088</v>
      </c>
      <c r="H27" s="303">
        <f t="shared" si="1"/>
        <v>2.1239594984013834</v>
      </c>
    </row>
    <row r="28" spans="2:8" ht="13.5" thickTop="1"/>
    <row r="37" spans="2:21">
      <c r="B37" s="293"/>
      <c r="C37" s="283"/>
      <c r="D37" s="283"/>
      <c r="E37" s="283"/>
      <c r="F37" s="283"/>
      <c r="G37" s="283"/>
      <c r="H37" s="283"/>
      <c r="I37" s="283"/>
      <c r="J37" s="283"/>
      <c r="K37" s="283"/>
      <c r="L37" s="296"/>
      <c r="M37" s="296"/>
      <c r="N37" s="296"/>
      <c r="O37" s="296"/>
      <c r="P37" s="296"/>
      <c r="Q37" s="296"/>
      <c r="R37" s="296"/>
      <c r="S37" s="296"/>
      <c r="T37" s="296"/>
      <c r="U37" s="296"/>
    </row>
  </sheetData>
  <pageMargins left="0.7" right="0.7" top="0.75" bottom="0.75" header="0.3" footer="0.3"/>
  <pageSetup paperSize="9" scale="9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6"/>
  <sheetViews>
    <sheetView topLeftCell="A2" workbookViewId="0">
      <selection activeCell="K22" sqref="K22"/>
    </sheetView>
  </sheetViews>
  <sheetFormatPr defaultRowHeight="12.75"/>
  <cols>
    <col min="6" max="6" width="12.140625" customWidth="1"/>
    <col min="7" max="7" width="10" customWidth="1"/>
    <col min="8" max="10" width="10.140625" customWidth="1"/>
    <col min="14" max="15" width="10" customWidth="1"/>
    <col min="16" max="16" width="10.140625" customWidth="1"/>
    <col min="17" max="17" width="11.140625" customWidth="1"/>
  </cols>
  <sheetData>
    <row r="1" spans="1:20">
      <c r="A1" s="172" t="s">
        <v>502</v>
      </c>
    </row>
    <row r="2" spans="1:20">
      <c r="P2" s="81">
        <v>40585</v>
      </c>
    </row>
    <row r="3" spans="1:20">
      <c r="S3" t="s">
        <v>503</v>
      </c>
      <c r="T3" t="s">
        <v>504</v>
      </c>
    </row>
    <row r="4" spans="1:20">
      <c r="D4" t="s">
        <v>505</v>
      </c>
      <c r="E4" t="s">
        <v>506</v>
      </c>
      <c r="F4" t="s">
        <v>507</v>
      </c>
      <c r="G4" t="s">
        <v>508</v>
      </c>
      <c r="H4" t="s">
        <v>509</v>
      </c>
      <c r="I4" s="165" t="s">
        <v>488</v>
      </c>
    </row>
    <row r="5" spans="1:20">
      <c r="C5" t="s">
        <v>510</v>
      </c>
      <c r="D5" s="1">
        <v>33850</v>
      </c>
      <c r="E5" s="1">
        <v>35523</v>
      </c>
      <c r="F5" s="1">
        <v>37148</v>
      </c>
      <c r="G5" s="1">
        <v>38883</v>
      </c>
      <c r="H5" s="1">
        <v>40585</v>
      </c>
      <c r="I5" s="1">
        <v>42236</v>
      </c>
      <c r="J5" s="1"/>
      <c r="L5" s="1">
        <v>33850</v>
      </c>
      <c r="M5" s="1">
        <v>35523</v>
      </c>
      <c r="N5" s="1">
        <v>37148</v>
      </c>
      <c r="O5" s="1">
        <v>38883</v>
      </c>
      <c r="P5" s="1">
        <f>H5</f>
        <v>40585</v>
      </c>
      <c r="Q5" s="1">
        <f>I5</f>
        <v>42236</v>
      </c>
    </row>
    <row r="6" spans="1:20">
      <c r="C6">
        <v>100</v>
      </c>
      <c r="D6" s="304">
        <v>101.1</v>
      </c>
      <c r="E6" s="305">
        <v>101.0931275419648</v>
      </c>
      <c r="F6" s="306">
        <v>101.07754125467993</v>
      </c>
      <c r="G6" s="64">
        <v>101.07675186480091</v>
      </c>
      <c r="H6" s="307" t="s">
        <v>511</v>
      </c>
      <c r="I6" s="307" t="s">
        <v>551</v>
      </c>
      <c r="J6" s="307"/>
      <c r="L6" s="89">
        <f t="shared" ref="L6:L25" si="0">D6/$D6</f>
        <v>1</v>
      </c>
      <c r="M6" s="89">
        <f t="shared" ref="M6:M25" si="1">E6/$D6</f>
        <v>0.99993202316483487</v>
      </c>
      <c r="N6" s="89">
        <f t="shared" ref="N6:N25" si="2">F6/$D6</f>
        <v>0.9997778561293762</v>
      </c>
      <c r="O6" s="89">
        <f t="shared" ref="O6:O25" si="3">G6/$D6</f>
        <v>0.9997700481187034</v>
      </c>
      <c r="P6" s="89">
        <f t="shared" ref="P6:P25" si="4">H6/$D6</f>
        <v>0.9999347181008903</v>
      </c>
      <c r="Q6" s="89">
        <f t="shared" ref="Q6:Q25" si="5">I6/$D6</f>
        <v>1.0001424332344215</v>
      </c>
      <c r="S6">
        <f t="shared" ref="S6:S25" si="6">T6/D6</f>
        <v>6.9238377843719098E-5</v>
      </c>
      <c r="T6" t="s">
        <v>512</v>
      </c>
    </row>
    <row r="7" spans="1:20">
      <c r="C7">
        <v>90</v>
      </c>
      <c r="D7" s="308">
        <v>89</v>
      </c>
      <c r="E7" s="309">
        <v>88.973670129484802</v>
      </c>
      <c r="F7" s="306">
        <v>88.966871335289156</v>
      </c>
      <c r="G7" s="64">
        <v>88.961560061438718</v>
      </c>
      <c r="H7" s="307" t="s">
        <v>513</v>
      </c>
      <c r="I7" s="307" t="s">
        <v>552</v>
      </c>
      <c r="J7" s="307"/>
      <c r="L7">
        <f t="shared" si="0"/>
        <v>1</v>
      </c>
      <c r="M7">
        <f t="shared" si="1"/>
        <v>0.99970415875825624</v>
      </c>
      <c r="N7">
        <f t="shared" si="2"/>
        <v>0.99962776781223772</v>
      </c>
      <c r="O7">
        <f t="shared" si="3"/>
        <v>0.99956809057796314</v>
      </c>
      <c r="P7">
        <f t="shared" si="4"/>
        <v>0.99984269662921355</v>
      </c>
      <c r="Q7">
        <f t="shared" si="5"/>
        <v>1.0000707865168539</v>
      </c>
      <c r="S7">
        <f t="shared" si="6"/>
        <v>7.303370786516853E-5</v>
      </c>
      <c r="T7" t="s">
        <v>514</v>
      </c>
    </row>
    <row r="8" spans="1:20">
      <c r="C8">
        <v>80</v>
      </c>
      <c r="D8" s="308">
        <v>78.900000000000006</v>
      </c>
      <c r="E8" s="309">
        <v>78.868638066662413</v>
      </c>
      <c r="F8" s="306">
        <v>78.864328057416699</v>
      </c>
      <c r="G8" s="64">
        <v>78.85831563997246</v>
      </c>
      <c r="H8" s="307" t="s">
        <v>515</v>
      </c>
      <c r="I8" s="307" t="s">
        <v>553</v>
      </c>
      <c r="J8" s="307"/>
      <c r="L8">
        <f t="shared" si="0"/>
        <v>1</v>
      </c>
      <c r="M8">
        <f t="shared" si="1"/>
        <v>0.99960251035060088</v>
      </c>
      <c r="N8">
        <f t="shared" si="2"/>
        <v>0.99954788412441942</v>
      </c>
      <c r="O8">
        <f t="shared" si="3"/>
        <v>0.99947168111498674</v>
      </c>
      <c r="P8">
        <f t="shared" si="4"/>
        <v>0.99977946768060821</v>
      </c>
      <c r="Q8">
        <f t="shared" si="5"/>
        <v>1.0000114068441064</v>
      </c>
      <c r="S8">
        <f t="shared" si="6"/>
        <v>7.4778200253485419E-5</v>
      </c>
      <c r="T8" t="s">
        <v>516</v>
      </c>
    </row>
    <row r="9" spans="1:20">
      <c r="C9">
        <v>70</v>
      </c>
      <c r="D9" s="308">
        <v>68.900000000000006</v>
      </c>
      <c r="E9" s="309">
        <v>68.933033368038394</v>
      </c>
      <c r="F9" s="306">
        <v>68.929312029496586</v>
      </c>
      <c r="G9" s="64">
        <v>68.924600489350965</v>
      </c>
      <c r="H9" s="307" t="s">
        <v>517</v>
      </c>
      <c r="I9" s="307" t="s">
        <v>554</v>
      </c>
      <c r="J9" s="307"/>
      <c r="L9">
        <f t="shared" si="0"/>
        <v>1</v>
      </c>
      <c r="M9">
        <f t="shared" si="1"/>
        <v>1.0004794393038954</v>
      </c>
      <c r="N9">
        <f t="shared" si="2"/>
        <v>1.0004254285848559</v>
      </c>
      <c r="O9">
        <f t="shared" si="3"/>
        <v>1.0003570462895639</v>
      </c>
      <c r="P9">
        <f t="shared" si="4"/>
        <v>1.0006748911465893</v>
      </c>
      <c r="Q9">
        <f t="shared" si="5"/>
        <v>1.0009158200290273</v>
      </c>
      <c r="S9">
        <f t="shared" si="6"/>
        <v>7.5471698113207538E-5</v>
      </c>
      <c r="T9" t="s">
        <v>518</v>
      </c>
    </row>
    <row r="10" spans="1:20">
      <c r="C10">
        <v>60</v>
      </c>
      <c r="D10" s="308">
        <v>59.1</v>
      </c>
      <c r="E10" s="309">
        <v>59.088843433804804</v>
      </c>
      <c r="F10" s="306">
        <v>59.086110936177214</v>
      </c>
      <c r="G10" s="64">
        <v>59.082001070729227</v>
      </c>
      <c r="H10" s="307" t="s">
        <v>519</v>
      </c>
      <c r="I10" s="307" t="s">
        <v>555</v>
      </c>
      <c r="J10" s="307"/>
      <c r="L10">
        <f t="shared" si="0"/>
        <v>1</v>
      </c>
      <c r="M10">
        <f t="shared" si="1"/>
        <v>0.99981122561429447</v>
      </c>
      <c r="N10">
        <f t="shared" si="2"/>
        <v>0.99976499045985134</v>
      </c>
      <c r="O10">
        <f t="shared" si="3"/>
        <v>0.99969544958932699</v>
      </c>
      <c r="P10">
        <f t="shared" si="4"/>
        <v>1.0000287648054145</v>
      </c>
      <c r="Q10">
        <f t="shared" si="5"/>
        <v>1.0002758037225044</v>
      </c>
      <c r="S10">
        <f t="shared" si="6"/>
        <v>7.6142131979695419E-5</v>
      </c>
      <c r="T10" t="s">
        <v>520</v>
      </c>
    </row>
    <row r="11" spans="1:20">
      <c r="C11">
        <v>50</v>
      </c>
      <c r="D11" s="308">
        <v>49.05</v>
      </c>
      <c r="E11" s="309">
        <v>49.046321466982405</v>
      </c>
      <c r="F11" s="306">
        <v>49.044477565899363</v>
      </c>
      <c r="G11" s="64">
        <v>49.040467304195836</v>
      </c>
      <c r="H11" s="307" t="s">
        <v>521</v>
      </c>
      <c r="I11" s="307" t="s">
        <v>556</v>
      </c>
      <c r="J11" s="307"/>
      <c r="L11">
        <f t="shared" si="0"/>
        <v>1</v>
      </c>
      <c r="M11">
        <f t="shared" si="1"/>
        <v>0.99992500442369847</v>
      </c>
      <c r="N11">
        <f t="shared" si="2"/>
        <v>0.99988741214881482</v>
      </c>
      <c r="O11">
        <f t="shared" si="3"/>
        <v>0.99980565350042483</v>
      </c>
      <c r="P11">
        <f t="shared" si="4"/>
        <v>1.0001610601427116</v>
      </c>
      <c r="Q11">
        <f t="shared" si="5"/>
        <v>1.0004118246687055</v>
      </c>
      <c r="S11">
        <f t="shared" si="6"/>
        <v>7.747196738022427E-5</v>
      </c>
      <c r="T11" t="s">
        <v>522</v>
      </c>
    </row>
    <row r="12" spans="1:20">
      <c r="C12">
        <v>40</v>
      </c>
      <c r="D12" s="308">
        <v>39.35</v>
      </c>
      <c r="E12" s="309">
        <v>39.344754567782402</v>
      </c>
      <c r="F12" s="306">
        <v>39.343399590300763</v>
      </c>
      <c r="G12" s="64">
        <v>39.340192459268565</v>
      </c>
      <c r="H12" s="307" t="s">
        <v>523</v>
      </c>
      <c r="I12" s="307" t="s">
        <v>557</v>
      </c>
      <c r="J12" s="307"/>
      <c r="L12">
        <f t="shared" si="0"/>
        <v>1</v>
      </c>
      <c r="M12">
        <f t="shared" si="1"/>
        <v>0.99986669803767225</v>
      </c>
      <c r="N12">
        <f t="shared" si="2"/>
        <v>0.99983226404830394</v>
      </c>
      <c r="O12">
        <f t="shared" si="3"/>
        <v>0.99975076135371188</v>
      </c>
      <c r="P12">
        <f t="shared" si="4"/>
        <v>1.0001168996188055</v>
      </c>
      <c r="Q12">
        <f t="shared" si="5"/>
        <v>1.0003811944091487</v>
      </c>
      <c r="S12">
        <f t="shared" si="6"/>
        <v>7.8780177890724261E-5</v>
      </c>
      <c r="T12" t="s">
        <v>524</v>
      </c>
    </row>
    <row r="13" spans="1:20">
      <c r="C13">
        <v>30</v>
      </c>
      <c r="D13" s="308">
        <v>29.26</v>
      </c>
      <c r="E13" s="309">
        <v>29.263526349516802</v>
      </c>
      <c r="F13" s="306">
        <v>29.262459826452009</v>
      </c>
      <c r="G13" s="64">
        <v>29.260152044195213</v>
      </c>
      <c r="H13" s="307" t="s">
        <v>525</v>
      </c>
      <c r="I13" s="307" t="s">
        <v>558</v>
      </c>
      <c r="J13" s="307"/>
      <c r="L13">
        <f t="shared" si="0"/>
        <v>1</v>
      </c>
      <c r="M13">
        <f t="shared" si="1"/>
        <v>1.000120517755188</v>
      </c>
      <c r="N13">
        <f t="shared" si="2"/>
        <v>1.000084067889679</v>
      </c>
      <c r="O13">
        <f t="shared" si="3"/>
        <v>1.0000051963156258</v>
      </c>
      <c r="P13">
        <f t="shared" si="4"/>
        <v>1.0003930280246069</v>
      </c>
      <c r="Q13">
        <f t="shared" si="5"/>
        <v>1.0006630211893368</v>
      </c>
      <c r="S13">
        <f t="shared" si="6"/>
        <v>7.8605604921394386E-5</v>
      </c>
      <c r="T13" t="s">
        <v>526</v>
      </c>
    </row>
    <row r="14" spans="1:20">
      <c r="C14">
        <v>20</v>
      </c>
      <c r="D14" s="308">
        <v>19.989999999999998</v>
      </c>
      <c r="E14" s="309">
        <v>19.9873281515776</v>
      </c>
      <c r="F14" s="306">
        <v>19.986651025060791</v>
      </c>
      <c r="G14" s="64">
        <v>19.984950592241578</v>
      </c>
      <c r="H14" s="307" t="s">
        <v>527</v>
      </c>
      <c r="I14" s="307" t="s">
        <v>559</v>
      </c>
      <c r="J14" s="307"/>
      <c r="L14">
        <f t="shared" si="0"/>
        <v>1</v>
      </c>
      <c r="M14">
        <f t="shared" si="1"/>
        <v>0.99986634074925473</v>
      </c>
      <c r="N14">
        <f t="shared" si="2"/>
        <v>0.99983246748678301</v>
      </c>
      <c r="O14">
        <f t="shared" si="3"/>
        <v>0.99974740331373579</v>
      </c>
      <c r="P14">
        <f t="shared" si="4"/>
        <v>1.0001550775387693</v>
      </c>
      <c r="Q14">
        <f t="shared" si="5"/>
        <v>1.0004402201100551</v>
      </c>
      <c r="S14">
        <f t="shared" si="6"/>
        <v>8.0040020010005018E-5</v>
      </c>
      <c r="T14" t="s">
        <v>528</v>
      </c>
    </row>
    <row r="15" spans="1:20" ht="13.5" thickBot="1">
      <c r="C15">
        <v>10</v>
      </c>
      <c r="D15" s="310">
        <v>10.15</v>
      </c>
      <c r="E15" s="311">
        <v>10.148939154252801</v>
      </c>
      <c r="F15" s="306">
        <v>10.148550761441461</v>
      </c>
      <c r="G15" s="64">
        <v>10.147652088873398</v>
      </c>
      <c r="H15" s="307" t="s">
        <v>529</v>
      </c>
      <c r="I15" s="307" t="s">
        <v>560</v>
      </c>
      <c r="J15" s="307"/>
      <c r="L15">
        <f t="shared" si="0"/>
        <v>1</v>
      </c>
      <c r="M15">
        <f t="shared" si="1"/>
        <v>0.99989548317761578</v>
      </c>
      <c r="N15">
        <f t="shared" si="2"/>
        <v>0.99985721787600601</v>
      </c>
      <c r="O15">
        <f t="shared" si="3"/>
        <v>0.99976867870673869</v>
      </c>
      <c r="P15">
        <f t="shared" si="4"/>
        <v>1.0001970443349752</v>
      </c>
      <c r="Q15">
        <f t="shared" si="5"/>
        <v>1.0004926108374383</v>
      </c>
      <c r="S15">
        <f t="shared" si="6"/>
        <v>8.8669950738916252E-5</v>
      </c>
      <c r="T15" t="s">
        <v>530</v>
      </c>
    </row>
    <row r="16" spans="1:20" ht="13.5" thickTop="1">
      <c r="C16">
        <v>1000</v>
      </c>
      <c r="D16" s="304">
        <v>985</v>
      </c>
      <c r="E16" s="305">
        <v>986.06225882700812</v>
      </c>
      <c r="F16" s="306">
        <v>985.21125428541461</v>
      </c>
      <c r="G16" s="64">
        <v>985.10008692122699</v>
      </c>
      <c r="H16" s="307" t="s">
        <v>531</v>
      </c>
      <c r="I16" s="307" t="s">
        <v>561</v>
      </c>
      <c r="J16" s="307"/>
      <c r="L16">
        <f t="shared" si="0"/>
        <v>1</v>
      </c>
      <c r="M16">
        <f t="shared" si="1"/>
        <v>1.0010784353573687</v>
      </c>
      <c r="N16">
        <f t="shared" si="2"/>
        <v>1.0002144713557508</v>
      </c>
      <c r="O16">
        <f t="shared" si="3"/>
        <v>1.00010161108754</v>
      </c>
      <c r="P16">
        <f t="shared" si="4"/>
        <v>0.99993807106598986</v>
      </c>
      <c r="Q16">
        <f t="shared" si="5"/>
        <v>1.0002477157360405</v>
      </c>
      <c r="S16">
        <f t="shared" si="6"/>
        <v>7.0050761421319802E-5</v>
      </c>
      <c r="T16" t="s">
        <v>532</v>
      </c>
    </row>
    <row r="17" spans="3:20">
      <c r="C17">
        <v>900</v>
      </c>
      <c r="D17" s="308">
        <v>879</v>
      </c>
      <c r="E17" s="309">
        <v>879.05997689804803</v>
      </c>
      <c r="F17" s="306">
        <v>878.39587971579977</v>
      </c>
      <c r="G17" s="64">
        <v>878.28764473481226</v>
      </c>
      <c r="H17" s="312" t="s">
        <v>533</v>
      </c>
      <c r="I17" s="312" t="s">
        <v>562</v>
      </c>
      <c r="J17" s="312"/>
      <c r="L17">
        <f t="shared" si="0"/>
        <v>1</v>
      </c>
      <c r="M17">
        <f t="shared" si="1"/>
        <v>1.0000682331035813</v>
      </c>
      <c r="N17">
        <f t="shared" si="2"/>
        <v>0.99931271867554017</v>
      </c>
      <c r="O17">
        <f t="shared" si="3"/>
        <v>0.99918958445371131</v>
      </c>
      <c r="P17">
        <f t="shared" si="4"/>
        <v>0.99912627986348124</v>
      </c>
      <c r="Q17">
        <f t="shared" si="5"/>
        <v>0.99929465301478948</v>
      </c>
      <c r="S17">
        <f t="shared" si="6"/>
        <v>6.8259385665529011E-5</v>
      </c>
      <c r="T17" t="s">
        <v>534</v>
      </c>
    </row>
    <row r="18" spans="3:20">
      <c r="C18">
        <v>800</v>
      </c>
      <c r="D18" s="308">
        <v>783</v>
      </c>
      <c r="E18" s="309">
        <v>783.71157718656002</v>
      </c>
      <c r="F18" s="306">
        <v>783.19339409661279</v>
      </c>
      <c r="G18" s="64">
        <v>783.09620902595191</v>
      </c>
      <c r="H18" s="312" t="s">
        <v>535</v>
      </c>
      <c r="I18" s="312" t="s">
        <v>563</v>
      </c>
      <c r="J18" s="312"/>
      <c r="L18">
        <f t="shared" si="0"/>
        <v>1</v>
      </c>
      <c r="M18">
        <f t="shared" si="1"/>
        <v>1.0009087831245977</v>
      </c>
      <c r="N18">
        <f t="shared" si="2"/>
        <v>1.0002469911834135</v>
      </c>
      <c r="O18">
        <f t="shared" si="3"/>
        <v>1.0001228723192235</v>
      </c>
      <c r="P18">
        <f t="shared" si="4"/>
        <v>1.000109833971903</v>
      </c>
      <c r="Q18">
        <f t="shared" si="5"/>
        <v>1.0002911877394636</v>
      </c>
      <c r="S18">
        <f t="shared" si="6"/>
        <v>6.7688378033205616E-5</v>
      </c>
      <c r="T18" t="s">
        <v>536</v>
      </c>
    </row>
    <row r="19" spans="3:20">
      <c r="C19">
        <v>700</v>
      </c>
      <c r="D19" s="308">
        <v>690</v>
      </c>
      <c r="E19" s="309">
        <v>690.2874882703361</v>
      </c>
      <c r="F19" s="306">
        <v>689.87521497838236</v>
      </c>
      <c r="G19" s="64">
        <v>689.80510142685603</v>
      </c>
      <c r="H19" s="312" t="s">
        <v>537</v>
      </c>
      <c r="I19" s="312" t="s">
        <v>564</v>
      </c>
      <c r="J19" s="312"/>
      <c r="L19">
        <f t="shared" si="0"/>
        <v>1</v>
      </c>
      <c r="M19">
        <f t="shared" si="1"/>
        <v>1.0004166496671538</v>
      </c>
      <c r="N19">
        <f t="shared" si="2"/>
        <v>0.9998191521425831</v>
      </c>
      <c r="O19">
        <f t="shared" si="3"/>
        <v>0.99971753829979138</v>
      </c>
      <c r="P19">
        <f t="shared" si="4"/>
        <v>0.99972898550724631</v>
      </c>
      <c r="Q19">
        <f t="shared" si="5"/>
        <v>0.99989710144927535</v>
      </c>
      <c r="S19">
        <f t="shared" si="6"/>
        <v>6.8115942028985506E-5</v>
      </c>
      <c r="T19" t="s">
        <v>538</v>
      </c>
    </row>
    <row r="20" spans="3:20">
      <c r="C20">
        <v>600</v>
      </c>
      <c r="D20" s="308">
        <v>592</v>
      </c>
      <c r="E20" s="309">
        <v>592.71672962585603</v>
      </c>
      <c r="F20" s="306">
        <v>592.40736087476512</v>
      </c>
      <c r="G20" s="64">
        <v>592.35827630351218</v>
      </c>
      <c r="H20" s="312" t="s">
        <v>539</v>
      </c>
      <c r="I20" s="312" t="s">
        <v>565</v>
      </c>
      <c r="J20" s="312"/>
      <c r="L20">
        <f t="shared" si="0"/>
        <v>1</v>
      </c>
      <c r="M20">
        <f t="shared" si="1"/>
        <v>1.0012106919355677</v>
      </c>
      <c r="N20">
        <f t="shared" si="2"/>
        <v>1.0006881095857518</v>
      </c>
      <c r="O20">
        <f t="shared" si="3"/>
        <v>1.0006051964586355</v>
      </c>
      <c r="P20">
        <f t="shared" si="4"/>
        <v>1.0006081081081082</v>
      </c>
      <c r="Q20">
        <f t="shared" si="5"/>
        <v>1.0007956081081082</v>
      </c>
      <c r="S20">
        <f t="shared" si="6"/>
        <v>6.7567567567567569E-5</v>
      </c>
      <c r="T20" t="s">
        <v>540</v>
      </c>
    </row>
    <row r="21" spans="3:20">
      <c r="C21">
        <v>500</v>
      </c>
      <c r="D21" s="308">
        <v>494.8</v>
      </c>
      <c r="E21" s="309">
        <v>494.97294303564803</v>
      </c>
      <c r="F21" s="306">
        <v>494.7434748846365</v>
      </c>
      <c r="G21" s="64">
        <v>494.70641577885152</v>
      </c>
      <c r="H21" s="312" t="s">
        <v>541</v>
      </c>
      <c r="I21" s="312" t="s">
        <v>566</v>
      </c>
      <c r="J21" s="312"/>
      <c r="L21">
        <f t="shared" si="0"/>
        <v>1</v>
      </c>
      <c r="M21">
        <f t="shared" si="1"/>
        <v>1.0003495210906386</v>
      </c>
      <c r="N21">
        <f t="shared" si="2"/>
        <v>0.99988576169085785</v>
      </c>
      <c r="O21">
        <f t="shared" si="3"/>
        <v>0.9998108645490128</v>
      </c>
      <c r="P21">
        <f t="shared" si="4"/>
        <v>0.99981810832659657</v>
      </c>
      <c r="Q21">
        <f t="shared" si="5"/>
        <v>1.0000060630557801</v>
      </c>
      <c r="S21">
        <f t="shared" si="6"/>
        <v>6.8714632174616007E-5</v>
      </c>
      <c r="T21" t="s">
        <v>542</v>
      </c>
    </row>
    <row r="22" spans="3:20">
      <c r="C22">
        <v>400</v>
      </c>
      <c r="D22" s="308">
        <v>399</v>
      </c>
      <c r="E22" s="309">
        <v>399.11346077926402</v>
      </c>
      <c r="F22" s="306">
        <v>398.958894582033</v>
      </c>
      <c r="G22" s="64">
        <v>398.92987904672162</v>
      </c>
      <c r="H22" s="312" t="s">
        <v>543</v>
      </c>
      <c r="I22" s="312" t="s">
        <v>567</v>
      </c>
      <c r="J22" s="312"/>
      <c r="L22">
        <f t="shared" si="0"/>
        <v>1</v>
      </c>
      <c r="M22">
        <f t="shared" si="1"/>
        <v>1.0002843628552982</v>
      </c>
      <c r="N22">
        <f t="shared" si="2"/>
        <v>0.99989697890233831</v>
      </c>
      <c r="O22">
        <f t="shared" si="3"/>
        <v>0.99982425826246024</v>
      </c>
      <c r="P22">
        <f t="shared" si="4"/>
        <v>0.99982706766917284</v>
      </c>
      <c r="Q22">
        <f t="shared" si="5"/>
        <v>1.0000200501253131</v>
      </c>
      <c r="S22">
        <f t="shared" si="6"/>
        <v>6.7669172932330828E-5</v>
      </c>
      <c r="T22" t="s">
        <v>544</v>
      </c>
    </row>
    <row r="23" spans="3:20">
      <c r="C23">
        <v>300</v>
      </c>
      <c r="D23" s="308">
        <v>304.39999999999998</v>
      </c>
      <c r="E23" s="309">
        <v>304.42916832768003</v>
      </c>
      <c r="F23" s="306">
        <v>304.32550153134082</v>
      </c>
      <c r="G23" s="64">
        <v>304.30754159810135</v>
      </c>
      <c r="H23" s="312" t="s">
        <v>545</v>
      </c>
      <c r="I23" s="312" t="s">
        <v>568</v>
      </c>
      <c r="J23" s="312"/>
      <c r="L23">
        <f t="shared" si="0"/>
        <v>1</v>
      </c>
      <c r="M23">
        <f t="shared" si="1"/>
        <v>1.0000958223642578</v>
      </c>
      <c r="N23">
        <f t="shared" si="2"/>
        <v>0.99975526127247316</v>
      </c>
      <c r="O23">
        <f t="shared" si="3"/>
        <v>0.99969626017773117</v>
      </c>
      <c r="P23">
        <f t="shared" si="4"/>
        <v>0.99968791064388973</v>
      </c>
      <c r="Q23">
        <f t="shared" si="5"/>
        <v>0.99990473061760843</v>
      </c>
      <c r="S23">
        <f t="shared" si="6"/>
        <v>6.8988173455978988E-5</v>
      </c>
      <c r="T23" t="s">
        <v>546</v>
      </c>
    </row>
    <row r="24" spans="3:20">
      <c r="C24">
        <v>200</v>
      </c>
      <c r="D24" s="308">
        <v>207.7</v>
      </c>
      <c r="E24" s="309">
        <v>207.75955522713602</v>
      </c>
      <c r="F24" s="306">
        <v>207.69778408420106</v>
      </c>
      <c r="G24" s="64">
        <v>207.69286015229636</v>
      </c>
      <c r="H24" s="312" t="s">
        <v>547</v>
      </c>
      <c r="I24" s="312" t="s">
        <v>569</v>
      </c>
      <c r="J24" s="312"/>
      <c r="L24">
        <f t="shared" si="0"/>
        <v>1</v>
      </c>
      <c r="M24">
        <f t="shared" si="1"/>
        <v>1.0002867367700339</v>
      </c>
      <c r="N24">
        <f t="shared" si="2"/>
        <v>0.99998933117092481</v>
      </c>
      <c r="O24">
        <f t="shared" si="3"/>
        <v>0.99996562422867774</v>
      </c>
      <c r="P24">
        <f t="shared" si="4"/>
        <v>0.99995666827154561</v>
      </c>
      <c r="Q24">
        <f t="shared" si="5"/>
        <v>1.0001588830043333</v>
      </c>
      <c r="S24">
        <f t="shared" si="6"/>
        <v>6.7404910929224853E-5</v>
      </c>
      <c r="T24" t="s">
        <v>548</v>
      </c>
    </row>
    <row r="25" spans="3:20" ht="13.5" thickBot="1">
      <c r="C25">
        <v>100</v>
      </c>
      <c r="D25" s="310">
        <v>103.9</v>
      </c>
      <c r="E25" s="311">
        <v>103.92778536729601</v>
      </c>
      <c r="F25" s="306">
        <v>103.9029008271598</v>
      </c>
      <c r="G25" s="64">
        <v>103.90394000578577</v>
      </c>
      <c r="H25" s="312" t="s">
        <v>549</v>
      </c>
      <c r="I25" s="312" t="s">
        <v>570</v>
      </c>
      <c r="J25" s="312"/>
      <c r="L25">
        <f t="shared" si="0"/>
        <v>1</v>
      </c>
      <c r="M25">
        <f t="shared" si="1"/>
        <v>1.000267424131819</v>
      </c>
      <c r="N25">
        <f t="shared" si="2"/>
        <v>1.000027919414435</v>
      </c>
      <c r="O25">
        <f t="shared" si="3"/>
        <v>1.0000379211336454</v>
      </c>
      <c r="P25">
        <f t="shared" si="4"/>
        <v>1</v>
      </c>
      <c r="Q25">
        <f t="shared" si="5"/>
        <v>1.0002213666987487</v>
      </c>
      <c r="S25">
        <f t="shared" si="6"/>
        <v>7.699711260827719E-5</v>
      </c>
      <c r="T25" t="s">
        <v>550</v>
      </c>
    </row>
    <row r="26" spans="3:20" ht="13.5" thickTop="1"/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16"/>
  <sheetViews>
    <sheetView workbookViewId="0">
      <selection activeCell="F1" sqref="F1"/>
    </sheetView>
  </sheetViews>
  <sheetFormatPr defaultRowHeight="12.75"/>
  <cols>
    <col min="1" max="1" width="21.140625" customWidth="1"/>
    <col min="5" max="5" width="12" customWidth="1"/>
  </cols>
  <sheetData>
    <row r="1" spans="1:7">
      <c r="A1" s="173">
        <v>42235.545138888891</v>
      </c>
      <c r="B1">
        <v>20.170000000000002</v>
      </c>
      <c r="C1">
        <v>46.74</v>
      </c>
      <c r="E1" s="165" t="s">
        <v>588</v>
      </c>
      <c r="F1">
        <f>AVERAGE(C261:C297)</f>
        <v>41.090540540540523</v>
      </c>
      <c r="G1">
        <f>STDEV(C261:C297)</f>
        <v>0.28849172861189154</v>
      </c>
    </row>
    <row r="2" spans="1:7">
      <c r="A2" s="173">
        <v>42235.548611111109</v>
      </c>
      <c r="B2">
        <v>20.190000000000001</v>
      </c>
      <c r="C2">
        <v>46.67</v>
      </c>
      <c r="E2" s="165" t="s">
        <v>482</v>
      </c>
      <c r="F2">
        <f>AVERAGE(B261:B297)</f>
        <v>20.135675675675675</v>
      </c>
      <c r="G2">
        <f>STDEV(B261:B297)</f>
        <v>3.4037605064965795E-2</v>
      </c>
    </row>
    <row r="3" spans="1:7">
      <c r="A3" s="173">
        <v>42235.552083333336</v>
      </c>
      <c r="B3">
        <v>20.170000000000002</v>
      </c>
      <c r="C3">
        <v>46.82</v>
      </c>
    </row>
    <row r="4" spans="1:7">
      <c r="A4" s="173">
        <v>42235.555555555555</v>
      </c>
      <c r="B4">
        <v>20.149999999999999</v>
      </c>
      <c r="C4">
        <v>46.84</v>
      </c>
    </row>
    <row r="5" spans="1:7">
      <c r="A5" s="173">
        <v>42235.559027777781</v>
      </c>
      <c r="B5">
        <v>20.149999999999999</v>
      </c>
      <c r="C5">
        <v>46.74</v>
      </c>
    </row>
    <row r="6" spans="1:7">
      <c r="A6" s="173">
        <v>42235.5625</v>
      </c>
      <c r="B6">
        <v>20.14</v>
      </c>
      <c r="C6">
        <v>46.79</v>
      </c>
    </row>
    <row r="7" spans="1:7">
      <c r="A7" s="173">
        <v>42235.565972222219</v>
      </c>
      <c r="B7">
        <v>20.14</v>
      </c>
      <c r="C7">
        <v>46.79</v>
      </c>
    </row>
    <row r="8" spans="1:7">
      <c r="A8" s="173">
        <v>42235.569444444445</v>
      </c>
      <c r="B8">
        <v>20.149999999999999</v>
      </c>
      <c r="C8">
        <v>46.84</v>
      </c>
    </row>
    <row r="9" spans="1:7">
      <c r="A9" s="173">
        <v>42235.572916666664</v>
      </c>
      <c r="B9">
        <v>20.13</v>
      </c>
      <c r="C9">
        <v>47.01</v>
      </c>
    </row>
    <row r="10" spans="1:7">
      <c r="A10" s="173">
        <v>42235.576388888891</v>
      </c>
      <c r="B10">
        <v>20.149999999999999</v>
      </c>
      <c r="C10">
        <v>46.92</v>
      </c>
    </row>
    <row r="11" spans="1:7">
      <c r="A11" s="173">
        <v>42235.579861111109</v>
      </c>
      <c r="B11">
        <v>20.13</v>
      </c>
      <c r="C11">
        <v>46.92</v>
      </c>
    </row>
    <row r="12" spans="1:7">
      <c r="A12" s="173">
        <v>42235.583333333336</v>
      </c>
      <c r="B12">
        <v>20.13</v>
      </c>
      <c r="C12">
        <v>46.99</v>
      </c>
    </row>
    <row r="13" spans="1:7">
      <c r="A13" s="173">
        <v>42235.586805555555</v>
      </c>
      <c r="B13">
        <v>20.170000000000002</v>
      </c>
      <c r="C13">
        <v>46.94</v>
      </c>
    </row>
    <row r="14" spans="1:7">
      <c r="A14" s="173">
        <v>42235.590277777781</v>
      </c>
      <c r="B14">
        <v>20.09</v>
      </c>
      <c r="C14">
        <v>47.04</v>
      </c>
    </row>
    <row r="15" spans="1:7">
      <c r="A15" s="173">
        <v>42235.59375</v>
      </c>
      <c r="B15">
        <v>20.09</v>
      </c>
      <c r="C15">
        <v>47.06</v>
      </c>
    </row>
    <row r="16" spans="1:7">
      <c r="A16" s="173">
        <v>42235.597222222219</v>
      </c>
      <c r="B16">
        <v>20.12</v>
      </c>
      <c r="C16">
        <v>47.11</v>
      </c>
    </row>
    <row r="17" spans="1:3">
      <c r="A17" s="173">
        <v>42235.600694444445</v>
      </c>
      <c r="B17">
        <v>20.149999999999999</v>
      </c>
      <c r="C17">
        <v>47.09</v>
      </c>
    </row>
    <row r="18" spans="1:3">
      <c r="A18" s="173">
        <v>42235.604166666664</v>
      </c>
      <c r="B18">
        <v>20.09</v>
      </c>
      <c r="C18">
        <v>47.21</v>
      </c>
    </row>
    <row r="19" spans="1:3">
      <c r="A19" s="173">
        <v>42235.607638888891</v>
      </c>
      <c r="B19">
        <v>20.14</v>
      </c>
      <c r="C19">
        <v>47.21</v>
      </c>
    </row>
    <row r="20" spans="1:3">
      <c r="A20" s="173">
        <v>42235.611111111109</v>
      </c>
      <c r="B20">
        <v>20.170000000000002</v>
      </c>
      <c r="C20">
        <v>47.09</v>
      </c>
    </row>
    <row r="21" spans="1:3">
      <c r="A21" s="173">
        <v>42235.614583333336</v>
      </c>
      <c r="B21">
        <v>20.170000000000002</v>
      </c>
      <c r="C21">
        <v>47.11</v>
      </c>
    </row>
    <row r="22" spans="1:3">
      <c r="A22" s="173">
        <v>42235.618055555555</v>
      </c>
      <c r="B22">
        <v>20.149999999999999</v>
      </c>
      <c r="C22">
        <v>47.26</v>
      </c>
    </row>
    <row r="23" spans="1:3">
      <c r="A23" s="173">
        <v>42235.621527777781</v>
      </c>
      <c r="B23">
        <v>20.170000000000002</v>
      </c>
      <c r="C23">
        <v>47.28</v>
      </c>
    </row>
    <row r="24" spans="1:3">
      <c r="A24" s="173">
        <v>42235.625</v>
      </c>
      <c r="B24">
        <v>20.149999999999999</v>
      </c>
      <c r="C24">
        <v>47.36</v>
      </c>
    </row>
    <row r="25" spans="1:3">
      <c r="A25" s="173">
        <v>42235.628472222219</v>
      </c>
      <c r="B25">
        <v>20.12</v>
      </c>
      <c r="C25">
        <v>47.41</v>
      </c>
    </row>
    <row r="26" spans="1:3">
      <c r="A26" s="173">
        <v>42235.631944444445</v>
      </c>
      <c r="B26">
        <v>20.14</v>
      </c>
      <c r="C26">
        <v>47.48</v>
      </c>
    </row>
    <row r="27" spans="1:3">
      <c r="A27" s="173">
        <v>42235.635416666664</v>
      </c>
      <c r="B27">
        <v>20.14</v>
      </c>
      <c r="C27">
        <v>47.46</v>
      </c>
    </row>
    <row r="28" spans="1:3">
      <c r="A28" s="173">
        <v>42235.638888888891</v>
      </c>
      <c r="B28">
        <v>20.14</v>
      </c>
      <c r="C28">
        <v>47.43</v>
      </c>
    </row>
    <row r="29" spans="1:3">
      <c r="A29" s="173">
        <v>42235.642361111109</v>
      </c>
      <c r="B29">
        <v>20.14</v>
      </c>
      <c r="C29">
        <v>47.46</v>
      </c>
    </row>
    <row r="30" spans="1:3">
      <c r="A30" s="173">
        <v>42235.645833333336</v>
      </c>
      <c r="B30">
        <v>20.13</v>
      </c>
      <c r="C30">
        <v>47.43</v>
      </c>
    </row>
    <row r="31" spans="1:3">
      <c r="A31" s="173">
        <v>42235.649305555555</v>
      </c>
      <c r="B31">
        <v>20.11</v>
      </c>
      <c r="C31">
        <v>47.58</v>
      </c>
    </row>
    <row r="32" spans="1:3">
      <c r="A32" s="173">
        <v>42235.652777777781</v>
      </c>
      <c r="B32">
        <v>20.13</v>
      </c>
      <c r="C32">
        <v>47.58</v>
      </c>
    </row>
    <row r="33" spans="1:3">
      <c r="A33" s="173">
        <v>42235.65625</v>
      </c>
      <c r="B33">
        <v>20.170000000000002</v>
      </c>
      <c r="C33">
        <v>47.53</v>
      </c>
    </row>
    <row r="34" spans="1:3">
      <c r="A34" s="173">
        <v>42235.659722222219</v>
      </c>
      <c r="B34">
        <v>20.170000000000002</v>
      </c>
      <c r="C34">
        <v>47.36</v>
      </c>
    </row>
    <row r="35" spans="1:3">
      <c r="A35" s="173">
        <v>42235.663194444445</v>
      </c>
      <c r="B35">
        <v>20.14</v>
      </c>
      <c r="C35">
        <v>47.43</v>
      </c>
    </row>
    <row r="36" spans="1:3">
      <c r="A36" s="173">
        <v>42235.666666666664</v>
      </c>
      <c r="B36">
        <v>20.14</v>
      </c>
      <c r="C36">
        <v>47.43</v>
      </c>
    </row>
    <row r="37" spans="1:3">
      <c r="A37" s="173">
        <v>42235.670138888891</v>
      </c>
      <c r="B37">
        <v>20.14</v>
      </c>
      <c r="C37">
        <v>47.43</v>
      </c>
    </row>
    <row r="38" spans="1:3">
      <c r="A38" s="173">
        <v>42235.673611111109</v>
      </c>
      <c r="B38">
        <v>20.12</v>
      </c>
      <c r="C38">
        <v>47.68</v>
      </c>
    </row>
    <row r="39" spans="1:3">
      <c r="A39" s="173">
        <v>42235.677083333336</v>
      </c>
      <c r="B39">
        <v>20.13</v>
      </c>
      <c r="C39">
        <v>47.53</v>
      </c>
    </row>
    <row r="40" spans="1:3">
      <c r="A40" s="173">
        <v>42235.680555555555</v>
      </c>
      <c r="B40">
        <v>20.07</v>
      </c>
      <c r="C40">
        <v>47.77</v>
      </c>
    </row>
    <row r="41" spans="1:3">
      <c r="A41" s="173">
        <v>42235.684027777781</v>
      </c>
      <c r="B41">
        <v>20.07</v>
      </c>
      <c r="C41">
        <v>47.77</v>
      </c>
    </row>
    <row r="42" spans="1:3">
      <c r="A42" s="173">
        <v>42235.6875</v>
      </c>
      <c r="B42">
        <v>20.04</v>
      </c>
      <c r="C42">
        <v>47.7</v>
      </c>
    </row>
    <row r="43" spans="1:3">
      <c r="A43" s="173">
        <v>42235.690972222219</v>
      </c>
      <c r="B43">
        <v>20.09</v>
      </c>
      <c r="C43">
        <v>47.65</v>
      </c>
    </row>
    <row r="44" spans="1:3">
      <c r="A44" s="173">
        <v>42235.694444444445</v>
      </c>
      <c r="B44">
        <v>20.11</v>
      </c>
      <c r="C44">
        <v>47.63</v>
      </c>
    </row>
    <row r="45" spans="1:3">
      <c r="A45" s="173">
        <v>42235.697916666664</v>
      </c>
      <c r="B45">
        <v>20.14</v>
      </c>
      <c r="C45">
        <v>47.46</v>
      </c>
    </row>
    <row r="46" spans="1:3">
      <c r="A46" s="173">
        <v>42235.701388888891</v>
      </c>
      <c r="B46">
        <v>20.09</v>
      </c>
      <c r="C46">
        <v>47.58</v>
      </c>
    </row>
    <row r="47" spans="1:3">
      <c r="A47" s="173">
        <v>42235.704861111109</v>
      </c>
      <c r="B47">
        <v>20.13</v>
      </c>
      <c r="C47">
        <v>47.6</v>
      </c>
    </row>
    <row r="48" spans="1:3">
      <c r="A48" s="173">
        <v>42235.708333333336</v>
      </c>
      <c r="B48">
        <v>20.11</v>
      </c>
      <c r="C48">
        <v>47.68</v>
      </c>
    </row>
    <row r="49" spans="1:3">
      <c r="A49" s="173">
        <v>42235.711805555555</v>
      </c>
      <c r="B49">
        <v>20.079999999999998</v>
      </c>
      <c r="C49">
        <v>47.7</v>
      </c>
    </row>
    <row r="50" spans="1:3">
      <c r="A50" s="173">
        <v>42235.715277777781</v>
      </c>
      <c r="B50">
        <v>20.12</v>
      </c>
      <c r="C50">
        <v>47.68</v>
      </c>
    </row>
    <row r="51" spans="1:3">
      <c r="A51" s="173">
        <v>42235.71875</v>
      </c>
      <c r="B51">
        <v>20.11</v>
      </c>
      <c r="C51">
        <v>47.65</v>
      </c>
    </row>
    <row r="52" spans="1:3">
      <c r="A52" s="173">
        <v>42235.722222222219</v>
      </c>
      <c r="B52">
        <v>20.059999999999999</v>
      </c>
      <c r="C52">
        <v>47.7</v>
      </c>
    </row>
    <row r="53" spans="1:3">
      <c r="A53" s="173">
        <v>42235.725694444445</v>
      </c>
      <c r="B53">
        <v>20.079999999999998</v>
      </c>
      <c r="C53">
        <v>47.85</v>
      </c>
    </row>
    <row r="54" spans="1:3">
      <c r="A54" s="173">
        <v>42235.729166666664</v>
      </c>
      <c r="B54">
        <v>20.079999999999998</v>
      </c>
      <c r="C54">
        <v>47.75</v>
      </c>
    </row>
    <row r="55" spans="1:3">
      <c r="A55" s="173">
        <v>42235.732638888891</v>
      </c>
      <c r="B55">
        <v>20.12</v>
      </c>
      <c r="C55">
        <v>47.77</v>
      </c>
    </row>
    <row r="56" spans="1:3">
      <c r="A56" s="173">
        <v>42235.736111111109</v>
      </c>
      <c r="B56">
        <v>20.12</v>
      </c>
      <c r="C56">
        <v>47.7</v>
      </c>
    </row>
    <row r="57" spans="1:3">
      <c r="A57" s="173">
        <v>42235.739583333336</v>
      </c>
      <c r="B57">
        <v>20.12</v>
      </c>
      <c r="C57">
        <v>47.7</v>
      </c>
    </row>
    <row r="58" spans="1:3">
      <c r="A58" s="173">
        <v>42235.743055555555</v>
      </c>
      <c r="B58">
        <v>20.13</v>
      </c>
      <c r="C58">
        <v>47.68</v>
      </c>
    </row>
    <row r="59" spans="1:3">
      <c r="A59" s="173">
        <v>42235.746527777781</v>
      </c>
      <c r="B59">
        <v>20.079999999999998</v>
      </c>
      <c r="C59">
        <v>47.7</v>
      </c>
    </row>
    <row r="60" spans="1:3">
      <c r="A60" s="173">
        <v>42235.75</v>
      </c>
      <c r="B60">
        <v>20.079999999999998</v>
      </c>
      <c r="C60">
        <v>47.73</v>
      </c>
    </row>
    <row r="61" spans="1:3">
      <c r="A61" s="173">
        <v>42235.753472222219</v>
      </c>
      <c r="B61">
        <v>20.079999999999998</v>
      </c>
      <c r="C61">
        <v>47.85</v>
      </c>
    </row>
    <row r="62" spans="1:3">
      <c r="A62" s="173">
        <v>42235.756944444445</v>
      </c>
      <c r="B62">
        <v>20.09</v>
      </c>
      <c r="C62">
        <v>47.73</v>
      </c>
    </row>
    <row r="63" spans="1:3">
      <c r="A63" s="173">
        <v>42235.760416666664</v>
      </c>
      <c r="B63">
        <v>20.12</v>
      </c>
      <c r="C63">
        <v>47.68</v>
      </c>
    </row>
    <row r="64" spans="1:3">
      <c r="A64" s="173">
        <v>42235.763888888891</v>
      </c>
      <c r="B64">
        <v>20.13</v>
      </c>
      <c r="C64">
        <v>47.68</v>
      </c>
    </row>
    <row r="65" spans="1:3">
      <c r="A65" s="173">
        <v>42235.767361111109</v>
      </c>
      <c r="B65">
        <v>20.079999999999998</v>
      </c>
      <c r="C65">
        <v>47.7</v>
      </c>
    </row>
    <row r="66" spans="1:3">
      <c r="A66" s="173">
        <v>42235.770833333336</v>
      </c>
      <c r="B66">
        <v>20.09</v>
      </c>
      <c r="C66">
        <v>47.75</v>
      </c>
    </row>
    <row r="67" spans="1:3">
      <c r="A67" s="173">
        <v>42235.774305555555</v>
      </c>
      <c r="B67">
        <v>20.09</v>
      </c>
      <c r="C67">
        <v>47.68</v>
      </c>
    </row>
    <row r="68" spans="1:3">
      <c r="A68" s="173">
        <v>42235.777777777781</v>
      </c>
      <c r="B68">
        <v>20.09</v>
      </c>
      <c r="C68">
        <v>47.65</v>
      </c>
    </row>
    <row r="69" spans="1:3">
      <c r="A69" s="173">
        <v>42235.78125</v>
      </c>
      <c r="B69">
        <v>20.09</v>
      </c>
      <c r="C69">
        <v>47.68</v>
      </c>
    </row>
    <row r="70" spans="1:3">
      <c r="A70" s="173">
        <v>42235.784722222219</v>
      </c>
      <c r="B70">
        <v>20.09</v>
      </c>
      <c r="C70">
        <v>47.65</v>
      </c>
    </row>
    <row r="71" spans="1:3">
      <c r="A71" s="173">
        <v>42235.788194444445</v>
      </c>
      <c r="B71">
        <v>20.059999999999999</v>
      </c>
      <c r="C71">
        <v>47.8</v>
      </c>
    </row>
    <row r="72" spans="1:3">
      <c r="A72" s="173">
        <v>42235.791666666664</v>
      </c>
      <c r="B72">
        <v>20.059999999999999</v>
      </c>
      <c r="C72">
        <v>47.68</v>
      </c>
    </row>
    <row r="73" spans="1:3">
      <c r="A73" s="173">
        <v>42235.795138888891</v>
      </c>
      <c r="B73">
        <v>20.04</v>
      </c>
      <c r="C73">
        <v>47.63</v>
      </c>
    </row>
    <row r="74" spans="1:3">
      <c r="A74" s="173">
        <v>42235.798611111109</v>
      </c>
      <c r="B74">
        <v>20.11</v>
      </c>
      <c r="C74">
        <v>47.5</v>
      </c>
    </row>
    <row r="75" spans="1:3">
      <c r="A75" s="173">
        <v>42235.802083333336</v>
      </c>
      <c r="B75">
        <v>20.059999999999999</v>
      </c>
      <c r="C75">
        <v>47.7</v>
      </c>
    </row>
    <row r="76" spans="1:3">
      <c r="A76" s="173">
        <v>42235.805555555555</v>
      </c>
      <c r="B76">
        <v>20.079999999999998</v>
      </c>
      <c r="C76">
        <v>47.58</v>
      </c>
    </row>
    <row r="77" spans="1:3">
      <c r="A77" s="173">
        <v>42235.809027777781</v>
      </c>
      <c r="B77">
        <v>20.059999999999999</v>
      </c>
      <c r="C77">
        <v>47.43</v>
      </c>
    </row>
    <row r="78" spans="1:3">
      <c r="A78" s="173">
        <v>42235.8125</v>
      </c>
      <c r="B78">
        <v>20.09</v>
      </c>
      <c r="C78">
        <v>47.41</v>
      </c>
    </row>
    <row r="79" spans="1:3">
      <c r="A79" s="173">
        <v>42235.815972222219</v>
      </c>
      <c r="B79">
        <v>20.07</v>
      </c>
      <c r="C79">
        <v>47.53</v>
      </c>
    </row>
    <row r="80" spans="1:3">
      <c r="A80" s="173">
        <v>42235.819444444445</v>
      </c>
      <c r="B80">
        <v>20.07</v>
      </c>
      <c r="C80">
        <v>47.48</v>
      </c>
    </row>
    <row r="81" spans="1:3">
      <c r="A81" s="173">
        <v>42235.822916666664</v>
      </c>
      <c r="B81">
        <v>20.12</v>
      </c>
      <c r="C81">
        <v>47.38</v>
      </c>
    </row>
    <row r="82" spans="1:3">
      <c r="A82" s="173">
        <v>42235.826388888891</v>
      </c>
      <c r="B82">
        <v>20.09</v>
      </c>
      <c r="C82">
        <v>47.43</v>
      </c>
    </row>
    <row r="83" spans="1:3">
      <c r="A83" s="173">
        <v>42235.829861111109</v>
      </c>
      <c r="B83">
        <v>20.079999999999998</v>
      </c>
      <c r="C83">
        <v>47.33</v>
      </c>
    </row>
    <row r="84" spans="1:3">
      <c r="A84" s="173">
        <v>42235.833333333336</v>
      </c>
      <c r="B84">
        <v>20.079999999999998</v>
      </c>
      <c r="C84">
        <v>47.33</v>
      </c>
    </row>
    <row r="85" spans="1:3">
      <c r="A85" s="173">
        <v>42235.836805555555</v>
      </c>
      <c r="B85">
        <v>20.13</v>
      </c>
      <c r="C85">
        <v>47.31</v>
      </c>
    </row>
    <row r="86" spans="1:3">
      <c r="A86" s="173">
        <v>42235.840277777781</v>
      </c>
      <c r="B86">
        <v>20.13</v>
      </c>
      <c r="C86">
        <v>47.26</v>
      </c>
    </row>
    <row r="87" spans="1:3">
      <c r="A87" s="173">
        <v>42235.84375</v>
      </c>
      <c r="B87">
        <v>20.07</v>
      </c>
      <c r="C87">
        <v>47.31</v>
      </c>
    </row>
    <row r="88" spans="1:3">
      <c r="A88" s="173">
        <v>42235.847222222219</v>
      </c>
      <c r="B88">
        <v>20.059999999999999</v>
      </c>
      <c r="C88">
        <v>47.31</v>
      </c>
    </row>
    <row r="89" spans="1:3">
      <c r="A89" s="173">
        <v>42235.850694444445</v>
      </c>
      <c r="B89">
        <v>20.09</v>
      </c>
      <c r="C89">
        <v>47.16</v>
      </c>
    </row>
    <row r="90" spans="1:3">
      <c r="A90" s="173">
        <v>42235.854166666664</v>
      </c>
      <c r="B90">
        <v>20.11</v>
      </c>
      <c r="C90">
        <v>47.28</v>
      </c>
    </row>
    <row r="91" spans="1:3">
      <c r="A91" s="173">
        <v>42235.857638888891</v>
      </c>
      <c r="B91">
        <v>20.09</v>
      </c>
      <c r="C91">
        <v>47.21</v>
      </c>
    </row>
    <row r="92" spans="1:3">
      <c r="A92" s="173">
        <v>42235.861111111109</v>
      </c>
      <c r="B92">
        <v>20.12</v>
      </c>
      <c r="C92">
        <v>47.11</v>
      </c>
    </row>
    <row r="93" spans="1:3">
      <c r="A93" s="173">
        <v>42235.864583333336</v>
      </c>
      <c r="B93">
        <v>20.09</v>
      </c>
      <c r="C93">
        <v>47.04</v>
      </c>
    </row>
    <row r="94" spans="1:3">
      <c r="A94" s="173">
        <v>42235.868055555555</v>
      </c>
      <c r="B94">
        <v>20.079999999999998</v>
      </c>
      <c r="C94">
        <v>47.09</v>
      </c>
    </row>
    <row r="95" spans="1:3">
      <c r="A95" s="173">
        <v>42235.871527777781</v>
      </c>
      <c r="B95">
        <v>20.079999999999998</v>
      </c>
      <c r="C95">
        <v>46.96</v>
      </c>
    </row>
    <row r="96" spans="1:3">
      <c r="A96" s="173">
        <v>42235.875</v>
      </c>
      <c r="B96">
        <v>20.14</v>
      </c>
      <c r="C96">
        <v>46.87</v>
      </c>
    </row>
    <row r="97" spans="1:3">
      <c r="A97" s="173">
        <v>42235.878472222219</v>
      </c>
      <c r="B97">
        <v>20.14</v>
      </c>
      <c r="C97">
        <v>46.84</v>
      </c>
    </row>
    <row r="98" spans="1:3">
      <c r="A98" s="173">
        <v>42235.881944444445</v>
      </c>
      <c r="B98">
        <v>20.14</v>
      </c>
      <c r="C98">
        <v>46.89</v>
      </c>
    </row>
    <row r="99" spans="1:3">
      <c r="A99" s="173">
        <v>42235.885416666664</v>
      </c>
      <c r="B99">
        <v>20.09</v>
      </c>
      <c r="C99">
        <v>46.87</v>
      </c>
    </row>
    <row r="100" spans="1:3">
      <c r="A100" s="173">
        <v>42235.888888888891</v>
      </c>
      <c r="B100">
        <v>20.11</v>
      </c>
      <c r="C100">
        <v>46.77</v>
      </c>
    </row>
    <row r="101" spans="1:3">
      <c r="A101" s="173">
        <v>42235.892361111109</v>
      </c>
      <c r="B101">
        <v>20.09</v>
      </c>
      <c r="C101">
        <v>46.69</v>
      </c>
    </row>
    <row r="102" spans="1:3">
      <c r="A102" s="173">
        <v>42235.895833333336</v>
      </c>
      <c r="B102">
        <v>20.059999999999999</v>
      </c>
      <c r="C102">
        <v>46.72</v>
      </c>
    </row>
    <row r="103" spans="1:3">
      <c r="A103" s="173">
        <v>42235.899305555555</v>
      </c>
      <c r="B103">
        <v>20.079999999999998</v>
      </c>
      <c r="C103">
        <v>46.62</v>
      </c>
    </row>
    <row r="104" spans="1:3">
      <c r="A104" s="173">
        <v>42235.902777777781</v>
      </c>
      <c r="B104">
        <v>20.12</v>
      </c>
      <c r="C104">
        <v>46.57</v>
      </c>
    </row>
    <row r="105" spans="1:3">
      <c r="A105" s="173">
        <v>42235.90625</v>
      </c>
      <c r="B105">
        <v>20.079999999999998</v>
      </c>
      <c r="C105">
        <v>46.47</v>
      </c>
    </row>
    <row r="106" spans="1:3">
      <c r="A106" s="173">
        <v>42235.909722222219</v>
      </c>
      <c r="B106">
        <v>20.14</v>
      </c>
      <c r="C106">
        <v>46.35</v>
      </c>
    </row>
    <row r="107" spans="1:3">
      <c r="A107" s="173">
        <v>42235.913194444445</v>
      </c>
      <c r="B107">
        <v>20.149999999999999</v>
      </c>
      <c r="C107">
        <v>46.3</v>
      </c>
    </row>
    <row r="108" spans="1:3">
      <c r="A108" s="173">
        <v>42235.916666666664</v>
      </c>
      <c r="B108">
        <v>20.14</v>
      </c>
      <c r="C108">
        <v>46.25</v>
      </c>
    </row>
    <row r="109" spans="1:3">
      <c r="A109" s="173">
        <v>42235.920138888891</v>
      </c>
      <c r="B109">
        <v>20.09</v>
      </c>
      <c r="C109">
        <v>46.25</v>
      </c>
    </row>
    <row r="110" spans="1:3">
      <c r="A110" s="173">
        <v>42235.923611111109</v>
      </c>
      <c r="B110">
        <v>20.11</v>
      </c>
      <c r="C110">
        <v>46.25</v>
      </c>
    </row>
    <row r="111" spans="1:3">
      <c r="A111" s="173">
        <v>42235.927083333336</v>
      </c>
      <c r="B111">
        <v>20.13</v>
      </c>
      <c r="C111">
        <v>46.11</v>
      </c>
    </row>
    <row r="112" spans="1:3">
      <c r="A112" s="173">
        <v>42235.930555555555</v>
      </c>
      <c r="B112">
        <v>20.14</v>
      </c>
      <c r="C112">
        <v>46.03</v>
      </c>
    </row>
    <row r="113" spans="1:3">
      <c r="A113" s="173">
        <v>42235.934027777781</v>
      </c>
      <c r="B113">
        <v>20.170000000000002</v>
      </c>
      <c r="C113">
        <v>45.98</v>
      </c>
    </row>
    <row r="114" spans="1:3">
      <c r="A114" s="173">
        <v>42235.9375</v>
      </c>
      <c r="B114">
        <v>20.12</v>
      </c>
      <c r="C114">
        <v>45.93</v>
      </c>
    </row>
    <row r="115" spans="1:3">
      <c r="A115" s="173">
        <v>42235.940972222219</v>
      </c>
      <c r="B115">
        <v>20.11</v>
      </c>
      <c r="C115">
        <v>46.01</v>
      </c>
    </row>
    <row r="116" spans="1:3">
      <c r="A116" s="173">
        <v>42235.944444444445</v>
      </c>
      <c r="B116">
        <v>20.149999999999999</v>
      </c>
      <c r="C116">
        <v>45.84</v>
      </c>
    </row>
    <row r="117" spans="1:3">
      <c r="A117" s="173">
        <v>42235.947916666664</v>
      </c>
      <c r="B117">
        <v>20.12</v>
      </c>
      <c r="C117">
        <v>45.64</v>
      </c>
    </row>
    <row r="118" spans="1:3">
      <c r="A118" s="173">
        <v>42235.951388888891</v>
      </c>
      <c r="B118">
        <v>20.12</v>
      </c>
      <c r="C118">
        <v>45.71</v>
      </c>
    </row>
    <row r="119" spans="1:3">
      <c r="A119" s="173">
        <v>42235.954861111109</v>
      </c>
      <c r="B119">
        <v>20.09</v>
      </c>
      <c r="C119">
        <v>45.74</v>
      </c>
    </row>
    <row r="120" spans="1:3">
      <c r="A120" s="173">
        <v>42235.958333333336</v>
      </c>
      <c r="B120">
        <v>20.07</v>
      </c>
      <c r="C120">
        <v>45.64</v>
      </c>
    </row>
    <row r="121" spans="1:3">
      <c r="A121" s="173">
        <v>42235.961805555555</v>
      </c>
      <c r="B121">
        <v>20.18</v>
      </c>
      <c r="C121">
        <v>45.49</v>
      </c>
    </row>
    <row r="122" spans="1:3">
      <c r="A122" s="173">
        <v>42235.965277777781</v>
      </c>
      <c r="B122">
        <v>20.12</v>
      </c>
      <c r="C122">
        <v>45.52</v>
      </c>
    </row>
    <row r="123" spans="1:3">
      <c r="A123" s="173">
        <v>42235.96875</v>
      </c>
      <c r="B123">
        <v>20.14</v>
      </c>
      <c r="C123">
        <v>45.34</v>
      </c>
    </row>
    <row r="124" spans="1:3">
      <c r="A124" s="173">
        <v>42235.972222222219</v>
      </c>
      <c r="B124">
        <v>20.11</v>
      </c>
      <c r="C124">
        <v>45.42</v>
      </c>
    </row>
    <row r="125" spans="1:3">
      <c r="A125" s="173">
        <v>42235.975694444445</v>
      </c>
      <c r="B125">
        <v>20.13</v>
      </c>
      <c r="C125">
        <v>45.22</v>
      </c>
    </row>
    <row r="126" spans="1:3">
      <c r="A126" s="173">
        <v>42235.979166666664</v>
      </c>
      <c r="B126">
        <v>20.14</v>
      </c>
      <c r="C126">
        <v>45.2</v>
      </c>
    </row>
    <row r="127" spans="1:3">
      <c r="A127" s="173">
        <v>42235.982638888891</v>
      </c>
      <c r="B127">
        <v>20.12</v>
      </c>
      <c r="C127">
        <v>45.25</v>
      </c>
    </row>
    <row r="128" spans="1:3">
      <c r="A128" s="173">
        <v>42235.986111111109</v>
      </c>
      <c r="B128">
        <v>20.14</v>
      </c>
      <c r="C128">
        <v>45.07</v>
      </c>
    </row>
    <row r="129" spans="1:3">
      <c r="A129" s="173">
        <v>42235.989583333336</v>
      </c>
      <c r="B129">
        <v>20.11</v>
      </c>
      <c r="C129">
        <v>45.07</v>
      </c>
    </row>
    <row r="130" spans="1:3">
      <c r="A130" s="173">
        <v>42235.993055555555</v>
      </c>
      <c r="B130">
        <v>20.14</v>
      </c>
      <c r="C130">
        <v>45.05</v>
      </c>
    </row>
    <row r="131" spans="1:3">
      <c r="A131" s="173">
        <v>42235.996527777781</v>
      </c>
      <c r="B131">
        <v>20.12</v>
      </c>
      <c r="C131">
        <v>44.98</v>
      </c>
    </row>
    <row r="132" spans="1:3">
      <c r="A132" s="173">
        <v>42236</v>
      </c>
      <c r="B132">
        <v>20.13</v>
      </c>
      <c r="C132">
        <v>44.9</v>
      </c>
    </row>
    <row r="133" spans="1:3">
      <c r="A133" s="173">
        <v>42236.003472222219</v>
      </c>
      <c r="B133">
        <v>20.149999999999999</v>
      </c>
      <c r="C133">
        <v>44.78</v>
      </c>
    </row>
    <row r="134" spans="1:3">
      <c r="A134" s="173">
        <v>42236.006944444445</v>
      </c>
      <c r="B134">
        <v>20.149999999999999</v>
      </c>
      <c r="C134">
        <v>44.81</v>
      </c>
    </row>
    <row r="135" spans="1:3">
      <c r="A135" s="173">
        <v>42236.010416666664</v>
      </c>
      <c r="B135">
        <v>20.18</v>
      </c>
      <c r="C135">
        <v>44.81</v>
      </c>
    </row>
    <row r="136" spans="1:3">
      <c r="A136" s="173">
        <v>42236.013888888891</v>
      </c>
      <c r="B136">
        <v>20.18</v>
      </c>
      <c r="C136">
        <v>44.63</v>
      </c>
    </row>
    <row r="137" spans="1:3">
      <c r="A137" s="173">
        <v>42236.017361111109</v>
      </c>
      <c r="B137">
        <v>20.14</v>
      </c>
      <c r="C137">
        <v>44.63</v>
      </c>
    </row>
    <row r="138" spans="1:3">
      <c r="A138" s="173">
        <v>42236.020833333336</v>
      </c>
      <c r="B138">
        <v>20.14</v>
      </c>
      <c r="C138">
        <v>44.54</v>
      </c>
    </row>
    <row r="139" spans="1:3">
      <c r="A139" s="173">
        <v>42236.024305555555</v>
      </c>
      <c r="B139">
        <v>20.149999999999999</v>
      </c>
      <c r="C139">
        <v>44.46</v>
      </c>
    </row>
    <row r="140" spans="1:3">
      <c r="A140" s="173">
        <v>42236.027777777781</v>
      </c>
      <c r="B140">
        <v>20.14</v>
      </c>
      <c r="C140">
        <v>44.44</v>
      </c>
    </row>
    <row r="141" spans="1:3">
      <c r="A141" s="173">
        <v>42236.03125</v>
      </c>
      <c r="B141">
        <v>20.18</v>
      </c>
      <c r="C141">
        <v>44.31</v>
      </c>
    </row>
    <row r="142" spans="1:3">
      <c r="A142" s="173">
        <v>42236.034722222219</v>
      </c>
      <c r="B142">
        <v>20.14</v>
      </c>
      <c r="C142">
        <v>44.24</v>
      </c>
    </row>
    <row r="143" spans="1:3">
      <c r="A143" s="173">
        <v>42236.038194444445</v>
      </c>
      <c r="B143">
        <v>20.149999999999999</v>
      </c>
      <c r="C143">
        <v>44.27</v>
      </c>
    </row>
    <row r="144" spans="1:3">
      <c r="A144" s="173">
        <v>42236.041666666664</v>
      </c>
      <c r="B144">
        <v>20.18</v>
      </c>
      <c r="C144">
        <v>44.17</v>
      </c>
    </row>
    <row r="145" spans="1:3">
      <c r="A145" s="173">
        <v>42236.045138888891</v>
      </c>
      <c r="B145">
        <v>20.149999999999999</v>
      </c>
      <c r="C145">
        <v>44</v>
      </c>
    </row>
    <row r="146" spans="1:3">
      <c r="A146" s="173">
        <v>42236.048611111109</v>
      </c>
      <c r="B146">
        <v>20.13</v>
      </c>
      <c r="C146">
        <v>44</v>
      </c>
    </row>
    <row r="147" spans="1:3">
      <c r="A147" s="173">
        <v>42236.052083333336</v>
      </c>
      <c r="B147">
        <v>20.149999999999999</v>
      </c>
      <c r="C147">
        <v>44.09</v>
      </c>
    </row>
    <row r="148" spans="1:3">
      <c r="A148" s="173">
        <v>42236.055555555555</v>
      </c>
      <c r="B148">
        <v>20.13</v>
      </c>
      <c r="C148">
        <v>44.14</v>
      </c>
    </row>
    <row r="149" spans="1:3">
      <c r="A149" s="173">
        <v>42236.059027777781</v>
      </c>
      <c r="B149">
        <v>20.170000000000002</v>
      </c>
      <c r="C149">
        <v>43.95</v>
      </c>
    </row>
    <row r="150" spans="1:3">
      <c r="A150" s="173">
        <v>42236.0625</v>
      </c>
      <c r="B150">
        <v>20.18</v>
      </c>
      <c r="C150">
        <v>43.75</v>
      </c>
    </row>
    <row r="151" spans="1:3">
      <c r="A151" s="173">
        <v>42236.065972222219</v>
      </c>
      <c r="B151">
        <v>20.18</v>
      </c>
      <c r="C151">
        <v>43.82</v>
      </c>
    </row>
    <row r="152" spans="1:3">
      <c r="A152" s="173">
        <v>42236.069444444445</v>
      </c>
      <c r="B152">
        <v>20.12</v>
      </c>
      <c r="C152">
        <v>43.87</v>
      </c>
    </row>
    <row r="153" spans="1:3">
      <c r="A153" s="173">
        <v>42236.072916666664</v>
      </c>
      <c r="B153">
        <v>20.18</v>
      </c>
      <c r="C153">
        <v>43.68</v>
      </c>
    </row>
    <row r="154" spans="1:3">
      <c r="A154" s="173">
        <v>42236.076388888891</v>
      </c>
      <c r="B154">
        <v>20.23</v>
      </c>
      <c r="C154">
        <v>43.48</v>
      </c>
    </row>
    <row r="155" spans="1:3">
      <c r="A155" s="173">
        <v>42236.079861111109</v>
      </c>
      <c r="B155">
        <v>20.190000000000001</v>
      </c>
      <c r="C155">
        <v>43.6</v>
      </c>
    </row>
    <row r="156" spans="1:3">
      <c r="A156" s="173">
        <v>42236.083333333336</v>
      </c>
      <c r="B156">
        <v>20.22</v>
      </c>
      <c r="C156">
        <v>43.5</v>
      </c>
    </row>
    <row r="157" spans="1:3">
      <c r="A157" s="173">
        <v>42236.086805555555</v>
      </c>
      <c r="B157">
        <v>20.149999999999999</v>
      </c>
      <c r="C157">
        <v>43.48</v>
      </c>
    </row>
    <row r="158" spans="1:3">
      <c r="A158" s="173">
        <v>42236.090277777781</v>
      </c>
      <c r="B158">
        <v>20.13</v>
      </c>
      <c r="C158">
        <v>43.58</v>
      </c>
    </row>
    <row r="159" spans="1:3">
      <c r="A159" s="173">
        <v>42236.09375</v>
      </c>
      <c r="B159">
        <v>20.13</v>
      </c>
      <c r="C159">
        <v>43.48</v>
      </c>
    </row>
    <row r="160" spans="1:3">
      <c r="A160" s="173">
        <v>42236.097222222219</v>
      </c>
      <c r="B160">
        <v>20.14</v>
      </c>
      <c r="C160">
        <v>43.36</v>
      </c>
    </row>
    <row r="161" spans="1:3">
      <c r="A161" s="173">
        <v>42236.100694444445</v>
      </c>
      <c r="B161">
        <v>20.149999999999999</v>
      </c>
      <c r="C161">
        <v>43.23</v>
      </c>
    </row>
    <row r="162" spans="1:3">
      <c r="A162" s="173">
        <v>42236.104166666664</v>
      </c>
      <c r="B162">
        <v>20.170000000000002</v>
      </c>
      <c r="C162">
        <v>43.19</v>
      </c>
    </row>
    <row r="163" spans="1:3">
      <c r="A163" s="173">
        <v>42236.107638888891</v>
      </c>
      <c r="B163">
        <v>20.18</v>
      </c>
      <c r="C163">
        <v>43.16</v>
      </c>
    </row>
    <row r="164" spans="1:3">
      <c r="A164" s="173">
        <v>42236.111111111109</v>
      </c>
      <c r="B164">
        <v>20.149999999999999</v>
      </c>
      <c r="C164">
        <v>43.16</v>
      </c>
    </row>
    <row r="165" spans="1:3">
      <c r="A165" s="173">
        <v>42236.114583333336</v>
      </c>
      <c r="B165">
        <v>20.14</v>
      </c>
      <c r="C165">
        <v>43.09</v>
      </c>
    </row>
    <row r="166" spans="1:3">
      <c r="A166" s="173">
        <v>42236.118055555555</v>
      </c>
      <c r="B166">
        <v>20.14</v>
      </c>
      <c r="C166">
        <v>42.96</v>
      </c>
    </row>
    <row r="167" spans="1:3">
      <c r="A167" s="173">
        <v>42236.121527777781</v>
      </c>
      <c r="B167">
        <v>20.170000000000002</v>
      </c>
      <c r="C167">
        <v>42.89</v>
      </c>
    </row>
    <row r="168" spans="1:3">
      <c r="A168" s="173">
        <v>42236.125</v>
      </c>
      <c r="B168">
        <v>20.170000000000002</v>
      </c>
      <c r="C168">
        <v>42.77</v>
      </c>
    </row>
    <row r="169" spans="1:3">
      <c r="A169" s="173">
        <v>42236.128472222219</v>
      </c>
      <c r="B169">
        <v>20.18</v>
      </c>
      <c r="C169">
        <v>42.69</v>
      </c>
    </row>
    <row r="170" spans="1:3">
      <c r="A170" s="173">
        <v>42236.131944444445</v>
      </c>
      <c r="B170">
        <v>20.149999999999999</v>
      </c>
      <c r="C170">
        <v>42.67</v>
      </c>
    </row>
    <row r="171" spans="1:3">
      <c r="A171" s="173">
        <v>42236.135416666664</v>
      </c>
      <c r="B171">
        <v>20.18</v>
      </c>
      <c r="C171">
        <v>42.69</v>
      </c>
    </row>
    <row r="172" spans="1:3">
      <c r="A172" s="173">
        <v>42236.138888888891</v>
      </c>
      <c r="B172">
        <v>20.190000000000001</v>
      </c>
      <c r="C172">
        <v>42.57</v>
      </c>
    </row>
    <row r="173" spans="1:3">
      <c r="A173" s="173">
        <v>42236.142361111109</v>
      </c>
      <c r="B173">
        <v>20.18</v>
      </c>
      <c r="C173">
        <v>42.5</v>
      </c>
    </row>
    <row r="174" spans="1:3">
      <c r="A174" s="173">
        <v>42236.145833333336</v>
      </c>
      <c r="B174">
        <v>20.18</v>
      </c>
      <c r="C174">
        <v>42.4</v>
      </c>
    </row>
    <row r="175" spans="1:3">
      <c r="A175" s="173">
        <v>42236.149305555555</v>
      </c>
      <c r="B175">
        <v>20.18</v>
      </c>
      <c r="C175">
        <v>42.4</v>
      </c>
    </row>
    <row r="176" spans="1:3">
      <c r="A176" s="173">
        <v>42236.152777777781</v>
      </c>
      <c r="B176">
        <v>20.18</v>
      </c>
      <c r="C176">
        <v>42.35</v>
      </c>
    </row>
    <row r="177" spans="1:3">
      <c r="A177" s="173">
        <v>42236.15625</v>
      </c>
      <c r="B177">
        <v>20.170000000000002</v>
      </c>
      <c r="C177">
        <v>42.15</v>
      </c>
    </row>
    <row r="178" spans="1:3">
      <c r="A178" s="173">
        <v>42236.159722222219</v>
      </c>
      <c r="B178">
        <v>20.18</v>
      </c>
      <c r="C178">
        <v>42.25</v>
      </c>
    </row>
    <row r="179" spans="1:3">
      <c r="A179" s="173">
        <v>42236.163194444445</v>
      </c>
      <c r="B179">
        <v>20.149999999999999</v>
      </c>
      <c r="C179">
        <v>42.18</v>
      </c>
    </row>
    <row r="180" spans="1:3">
      <c r="A180" s="173">
        <v>42236.166666666664</v>
      </c>
      <c r="B180">
        <v>20.18</v>
      </c>
      <c r="C180">
        <v>42.18</v>
      </c>
    </row>
    <row r="181" spans="1:3">
      <c r="A181" s="173">
        <v>42236.170138888891</v>
      </c>
      <c r="B181">
        <v>20.190000000000001</v>
      </c>
      <c r="C181">
        <v>42.03</v>
      </c>
    </row>
    <row r="182" spans="1:3">
      <c r="A182" s="173">
        <v>42236.173611111109</v>
      </c>
      <c r="B182">
        <v>20.18</v>
      </c>
      <c r="C182">
        <v>41.98</v>
      </c>
    </row>
    <row r="183" spans="1:3">
      <c r="A183" s="173">
        <v>42236.177083333336</v>
      </c>
      <c r="B183">
        <v>20.22</v>
      </c>
      <c r="C183">
        <v>41.88</v>
      </c>
    </row>
    <row r="184" spans="1:3">
      <c r="A184" s="173">
        <v>42236.180555555555</v>
      </c>
      <c r="B184">
        <v>20.190000000000001</v>
      </c>
      <c r="C184">
        <v>41.81</v>
      </c>
    </row>
    <row r="185" spans="1:3">
      <c r="A185" s="173">
        <v>42236.184027777781</v>
      </c>
      <c r="B185">
        <v>20.18</v>
      </c>
      <c r="C185">
        <v>41.88</v>
      </c>
    </row>
    <row r="186" spans="1:3">
      <c r="A186" s="173">
        <v>42236.1875</v>
      </c>
      <c r="B186">
        <v>20.149999999999999</v>
      </c>
      <c r="C186">
        <v>41.88</v>
      </c>
    </row>
    <row r="187" spans="1:3">
      <c r="A187" s="173">
        <v>42236.190972222219</v>
      </c>
      <c r="B187">
        <v>20.2</v>
      </c>
      <c r="C187">
        <v>41.74</v>
      </c>
    </row>
    <row r="188" spans="1:3">
      <c r="A188" s="173">
        <v>42236.194444444445</v>
      </c>
      <c r="B188">
        <v>20.2</v>
      </c>
      <c r="C188">
        <v>41.71</v>
      </c>
    </row>
    <row r="189" spans="1:3">
      <c r="A189" s="173">
        <v>42236.197916666664</v>
      </c>
      <c r="B189">
        <v>20.22</v>
      </c>
      <c r="C189">
        <v>41.61</v>
      </c>
    </row>
    <row r="190" spans="1:3">
      <c r="A190" s="173">
        <v>42236.201388888891</v>
      </c>
      <c r="B190">
        <v>20.190000000000001</v>
      </c>
      <c r="C190">
        <v>41.69</v>
      </c>
    </row>
    <row r="191" spans="1:3">
      <c r="A191" s="173">
        <v>42236.204861111109</v>
      </c>
      <c r="B191">
        <v>20.170000000000002</v>
      </c>
      <c r="C191">
        <v>41.59</v>
      </c>
    </row>
    <row r="192" spans="1:3">
      <c r="A192" s="173">
        <v>42236.208333333336</v>
      </c>
      <c r="B192">
        <v>20.18</v>
      </c>
      <c r="C192">
        <v>41.57</v>
      </c>
    </row>
    <row r="193" spans="1:3">
      <c r="A193" s="173">
        <v>42236.211805555555</v>
      </c>
      <c r="B193">
        <v>20.170000000000002</v>
      </c>
      <c r="C193">
        <v>41.49</v>
      </c>
    </row>
    <row r="194" spans="1:3">
      <c r="A194" s="173">
        <v>42236.215277777781</v>
      </c>
      <c r="B194">
        <v>20.149999999999999</v>
      </c>
      <c r="C194">
        <v>41.59</v>
      </c>
    </row>
    <row r="195" spans="1:3">
      <c r="A195" s="173">
        <v>42236.21875</v>
      </c>
      <c r="B195">
        <v>20.2</v>
      </c>
      <c r="C195">
        <v>41.47</v>
      </c>
    </row>
    <row r="196" spans="1:3">
      <c r="A196" s="173">
        <v>42236.222222222219</v>
      </c>
      <c r="B196">
        <v>20.2</v>
      </c>
      <c r="C196">
        <v>41.39</v>
      </c>
    </row>
    <row r="197" spans="1:3">
      <c r="A197" s="173">
        <v>42236.225694444445</v>
      </c>
      <c r="B197">
        <v>20.18</v>
      </c>
      <c r="C197">
        <v>41.44</v>
      </c>
    </row>
    <row r="198" spans="1:3">
      <c r="A198" s="173">
        <v>42236.229166666664</v>
      </c>
      <c r="B198">
        <v>20.14</v>
      </c>
      <c r="C198">
        <v>41.39</v>
      </c>
    </row>
    <row r="199" spans="1:3">
      <c r="A199" s="173">
        <v>42236.232638888891</v>
      </c>
      <c r="B199">
        <v>20.149999999999999</v>
      </c>
      <c r="C199">
        <v>41.37</v>
      </c>
    </row>
    <row r="200" spans="1:3">
      <c r="A200" s="173">
        <v>42236.236111111109</v>
      </c>
      <c r="B200">
        <v>20.18</v>
      </c>
      <c r="C200">
        <v>41.34</v>
      </c>
    </row>
    <row r="201" spans="1:3">
      <c r="A201" s="173">
        <v>42236.239583333336</v>
      </c>
      <c r="B201">
        <v>20.22</v>
      </c>
      <c r="C201">
        <v>41.22</v>
      </c>
    </row>
    <row r="202" spans="1:3">
      <c r="A202" s="173">
        <v>42236.243055555555</v>
      </c>
      <c r="B202">
        <v>20.170000000000002</v>
      </c>
      <c r="C202">
        <v>41.22</v>
      </c>
    </row>
    <row r="203" spans="1:3">
      <c r="A203" s="173">
        <v>42236.246527777781</v>
      </c>
      <c r="B203">
        <v>20.18</v>
      </c>
      <c r="C203">
        <v>41.17</v>
      </c>
    </row>
    <row r="204" spans="1:3">
      <c r="A204" s="173">
        <v>42236.25</v>
      </c>
      <c r="B204">
        <v>20.170000000000002</v>
      </c>
      <c r="C204">
        <v>41.15</v>
      </c>
    </row>
    <row r="205" spans="1:3">
      <c r="A205" s="173">
        <v>42236.253472222219</v>
      </c>
      <c r="B205">
        <v>20.2</v>
      </c>
      <c r="C205">
        <v>41.05</v>
      </c>
    </row>
    <row r="206" spans="1:3">
      <c r="A206" s="173">
        <v>42236.256944444445</v>
      </c>
      <c r="B206">
        <v>20.2</v>
      </c>
      <c r="C206">
        <v>41.05</v>
      </c>
    </row>
    <row r="207" spans="1:3">
      <c r="A207" s="173">
        <v>42236.260416666664</v>
      </c>
      <c r="B207">
        <v>20.18</v>
      </c>
      <c r="C207">
        <v>41.1</v>
      </c>
    </row>
    <row r="208" spans="1:3">
      <c r="A208" s="173">
        <v>42236.263888888891</v>
      </c>
      <c r="B208">
        <v>20.170000000000002</v>
      </c>
      <c r="C208">
        <v>41</v>
      </c>
    </row>
    <row r="209" spans="1:3">
      <c r="A209" s="173">
        <v>42236.267361111109</v>
      </c>
      <c r="B209">
        <v>20.190000000000001</v>
      </c>
      <c r="C209">
        <v>40.950000000000003</v>
      </c>
    </row>
    <row r="210" spans="1:3">
      <c r="A210" s="173">
        <v>42236.270833333336</v>
      </c>
      <c r="B210">
        <v>20.190000000000001</v>
      </c>
      <c r="C210">
        <v>41</v>
      </c>
    </row>
    <row r="211" spans="1:3">
      <c r="A211" s="173">
        <v>42236.274305555555</v>
      </c>
      <c r="B211">
        <v>20.190000000000001</v>
      </c>
      <c r="C211">
        <v>40.85</v>
      </c>
    </row>
    <row r="212" spans="1:3">
      <c r="A212" s="173">
        <v>42236.277777777781</v>
      </c>
      <c r="B212">
        <v>20.149999999999999</v>
      </c>
      <c r="C212">
        <v>40.93</v>
      </c>
    </row>
    <row r="213" spans="1:3">
      <c r="A213" s="173">
        <v>42236.28125</v>
      </c>
      <c r="B213">
        <v>20.170000000000002</v>
      </c>
      <c r="C213">
        <v>40.85</v>
      </c>
    </row>
    <row r="214" spans="1:3">
      <c r="A214" s="173">
        <v>42236.284722222219</v>
      </c>
      <c r="B214">
        <v>20.170000000000002</v>
      </c>
      <c r="C214">
        <v>40.85</v>
      </c>
    </row>
    <row r="215" spans="1:3">
      <c r="A215" s="173">
        <v>42236.288194444445</v>
      </c>
      <c r="B215">
        <v>20.190000000000001</v>
      </c>
      <c r="C215">
        <v>40.78</v>
      </c>
    </row>
    <row r="216" spans="1:3">
      <c r="A216" s="173">
        <v>42236.291666666664</v>
      </c>
      <c r="B216">
        <v>20.149999999999999</v>
      </c>
      <c r="C216">
        <v>40.729999999999997</v>
      </c>
    </row>
    <row r="217" spans="1:3">
      <c r="A217" s="173">
        <v>42236.295138888891</v>
      </c>
      <c r="B217">
        <v>20.14</v>
      </c>
      <c r="C217">
        <v>40.81</v>
      </c>
    </row>
    <row r="218" spans="1:3">
      <c r="A218" s="173">
        <v>42236.298611111109</v>
      </c>
      <c r="B218">
        <v>20.149999999999999</v>
      </c>
      <c r="C218">
        <v>40.78</v>
      </c>
    </row>
    <row r="219" spans="1:3">
      <c r="A219" s="173">
        <v>42236.302083333336</v>
      </c>
      <c r="B219">
        <v>20.170000000000002</v>
      </c>
      <c r="C219">
        <v>40.68</v>
      </c>
    </row>
    <row r="220" spans="1:3">
      <c r="A220" s="173">
        <v>42236.305555555555</v>
      </c>
      <c r="B220">
        <v>20.11</v>
      </c>
      <c r="C220">
        <v>40.76</v>
      </c>
    </row>
    <row r="221" spans="1:3">
      <c r="A221" s="173">
        <v>42236.309027777781</v>
      </c>
      <c r="B221">
        <v>20.18</v>
      </c>
      <c r="C221">
        <v>40.659999999999997</v>
      </c>
    </row>
    <row r="222" spans="1:3">
      <c r="A222" s="173">
        <v>42236.3125</v>
      </c>
      <c r="B222">
        <v>20.190000000000001</v>
      </c>
      <c r="C222">
        <v>40.729999999999997</v>
      </c>
    </row>
    <row r="223" spans="1:3">
      <c r="A223" s="173">
        <v>42236.315972222219</v>
      </c>
      <c r="B223">
        <v>20.149999999999999</v>
      </c>
      <c r="C223">
        <v>40.729999999999997</v>
      </c>
    </row>
    <row r="224" spans="1:3">
      <c r="A224" s="173">
        <v>42236.319444444445</v>
      </c>
      <c r="B224">
        <v>20.149999999999999</v>
      </c>
      <c r="C224">
        <v>40.78</v>
      </c>
    </row>
    <row r="225" spans="1:3">
      <c r="A225" s="173">
        <v>42236.322916666664</v>
      </c>
      <c r="B225">
        <v>20.149999999999999</v>
      </c>
      <c r="C225">
        <v>40.729999999999997</v>
      </c>
    </row>
    <row r="226" spans="1:3">
      <c r="A226" s="173">
        <v>42236.326388888891</v>
      </c>
      <c r="B226">
        <v>20.170000000000002</v>
      </c>
      <c r="C226">
        <v>40.56</v>
      </c>
    </row>
    <row r="227" spans="1:3">
      <c r="A227" s="173">
        <v>42236.329861111109</v>
      </c>
      <c r="B227">
        <v>20.14</v>
      </c>
      <c r="C227">
        <v>40.729999999999997</v>
      </c>
    </row>
    <row r="228" spans="1:3">
      <c r="A228" s="173">
        <v>42236.333333333336</v>
      </c>
      <c r="B228">
        <v>20.190000000000001</v>
      </c>
      <c r="C228">
        <v>40.56</v>
      </c>
    </row>
    <row r="229" spans="1:3">
      <c r="A229" s="173">
        <v>42236.336805555555</v>
      </c>
      <c r="B229">
        <v>20.2</v>
      </c>
      <c r="C229">
        <v>40.56</v>
      </c>
    </row>
    <row r="230" spans="1:3">
      <c r="A230" s="173">
        <v>42236.340277777781</v>
      </c>
      <c r="B230">
        <v>20.18</v>
      </c>
      <c r="C230">
        <v>40.54</v>
      </c>
    </row>
    <row r="231" spans="1:3">
      <c r="A231" s="173">
        <v>42236.34375</v>
      </c>
      <c r="B231">
        <v>20.22</v>
      </c>
      <c r="C231">
        <v>40.56</v>
      </c>
    </row>
    <row r="232" spans="1:3">
      <c r="A232" s="173">
        <v>42236.347222222219</v>
      </c>
      <c r="B232">
        <v>20.14</v>
      </c>
      <c r="C232">
        <v>40.56</v>
      </c>
    </row>
    <row r="233" spans="1:3">
      <c r="A233" s="173">
        <v>42236.350694444445</v>
      </c>
      <c r="B233">
        <v>20.190000000000001</v>
      </c>
      <c r="C233">
        <v>40.61</v>
      </c>
    </row>
    <row r="234" spans="1:3">
      <c r="A234" s="173">
        <v>42236.354166666664</v>
      </c>
      <c r="B234">
        <v>20.170000000000002</v>
      </c>
      <c r="C234">
        <v>40.630000000000003</v>
      </c>
    </row>
    <row r="235" spans="1:3">
      <c r="A235" s="173">
        <v>42236.357638888891</v>
      </c>
      <c r="B235">
        <v>20.170000000000002</v>
      </c>
      <c r="C235">
        <v>40.54</v>
      </c>
    </row>
    <row r="236" spans="1:3">
      <c r="A236" s="173">
        <v>42236.361111111109</v>
      </c>
      <c r="B236">
        <v>20.149999999999999</v>
      </c>
      <c r="C236">
        <v>40.659999999999997</v>
      </c>
    </row>
    <row r="237" spans="1:3">
      <c r="A237" s="173">
        <v>42236.364583333336</v>
      </c>
      <c r="B237">
        <v>20.14</v>
      </c>
      <c r="C237">
        <v>40.659999999999997</v>
      </c>
    </row>
    <row r="238" spans="1:3">
      <c r="A238" s="173">
        <v>42236.368055555555</v>
      </c>
      <c r="B238">
        <v>20.2</v>
      </c>
      <c r="C238">
        <v>40.58</v>
      </c>
    </row>
    <row r="239" spans="1:3">
      <c r="A239" s="173">
        <v>42236.371527777781</v>
      </c>
      <c r="B239">
        <v>20.170000000000002</v>
      </c>
      <c r="C239">
        <v>40.61</v>
      </c>
    </row>
    <row r="240" spans="1:3">
      <c r="A240" s="173">
        <v>42236.375</v>
      </c>
      <c r="B240">
        <v>20.149999999999999</v>
      </c>
      <c r="C240">
        <v>40.630000000000003</v>
      </c>
    </row>
    <row r="241" spans="1:3">
      <c r="A241" s="173">
        <v>42236.378472222219</v>
      </c>
      <c r="B241">
        <v>20.18</v>
      </c>
      <c r="C241">
        <v>40.68</v>
      </c>
    </row>
    <row r="242" spans="1:3">
      <c r="A242" s="173">
        <v>42236.381944444445</v>
      </c>
      <c r="B242">
        <v>20.13</v>
      </c>
      <c r="C242">
        <v>40.68</v>
      </c>
    </row>
    <row r="243" spans="1:3">
      <c r="A243" s="173">
        <v>42236.385416666664</v>
      </c>
      <c r="B243">
        <v>20.18</v>
      </c>
      <c r="C243">
        <v>40.729999999999997</v>
      </c>
    </row>
    <row r="244" spans="1:3">
      <c r="A244" s="173">
        <v>42236.388888888891</v>
      </c>
      <c r="B244">
        <v>20.149999999999999</v>
      </c>
      <c r="C244">
        <v>40.880000000000003</v>
      </c>
    </row>
    <row r="245" spans="1:3">
      <c r="A245" s="173">
        <v>42236.392361111109</v>
      </c>
      <c r="B245">
        <v>20.170000000000002</v>
      </c>
      <c r="C245">
        <v>40.950000000000003</v>
      </c>
    </row>
    <row r="246" spans="1:3">
      <c r="A246" s="173">
        <v>42236.395833333336</v>
      </c>
      <c r="B246">
        <v>20.170000000000002</v>
      </c>
      <c r="C246">
        <v>41.1</v>
      </c>
    </row>
    <row r="247" spans="1:3">
      <c r="A247" s="173">
        <v>42236.399305555555</v>
      </c>
      <c r="B247">
        <v>20.12</v>
      </c>
      <c r="C247">
        <v>41.2</v>
      </c>
    </row>
    <row r="248" spans="1:3">
      <c r="A248" s="173">
        <v>42236.402777777781</v>
      </c>
      <c r="B248">
        <v>20.13</v>
      </c>
      <c r="C248">
        <v>41.22</v>
      </c>
    </row>
    <row r="249" spans="1:3">
      <c r="A249" s="173">
        <v>42236.40625</v>
      </c>
      <c r="B249">
        <v>20.13</v>
      </c>
      <c r="C249">
        <v>41.07</v>
      </c>
    </row>
    <row r="250" spans="1:3">
      <c r="A250" s="173">
        <v>42236.409722222219</v>
      </c>
      <c r="B250">
        <v>20.149999999999999</v>
      </c>
      <c r="C250">
        <v>41.03</v>
      </c>
    </row>
    <row r="251" spans="1:3">
      <c r="A251" s="173">
        <v>42236.413194444445</v>
      </c>
      <c r="B251">
        <v>20.14</v>
      </c>
      <c r="C251">
        <v>41.05</v>
      </c>
    </row>
    <row r="252" spans="1:3">
      <c r="A252" s="173">
        <v>42236.416666666664</v>
      </c>
      <c r="B252">
        <v>20.149999999999999</v>
      </c>
      <c r="C252">
        <v>41.03</v>
      </c>
    </row>
    <row r="253" spans="1:3">
      <c r="A253" s="173">
        <v>42236.420138888891</v>
      </c>
      <c r="B253">
        <v>20.18</v>
      </c>
      <c r="C253">
        <v>40.93</v>
      </c>
    </row>
    <row r="254" spans="1:3">
      <c r="A254" s="173">
        <v>42236.423611111109</v>
      </c>
      <c r="B254">
        <v>20.170000000000002</v>
      </c>
      <c r="C254">
        <v>41.03</v>
      </c>
    </row>
    <row r="255" spans="1:3">
      <c r="A255" s="173">
        <v>42236.427083333336</v>
      </c>
      <c r="B255">
        <v>20.170000000000002</v>
      </c>
      <c r="C255">
        <v>41.03</v>
      </c>
    </row>
    <row r="256" spans="1:3">
      <c r="A256" s="173">
        <v>42236.430555555555</v>
      </c>
      <c r="B256">
        <v>20.13</v>
      </c>
      <c r="C256">
        <v>41.03</v>
      </c>
    </row>
    <row r="257" spans="1:3">
      <c r="A257" s="173">
        <v>42236.434027777781</v>
      </c>
      <c r="B257">
        <v>20.149999999999999</v>
      </c>
      <c r="C257">
        <v>41.07</v>
      </c>
    </row>
    <row r="258" spans="1:3">
      <c r="A258" s="173">
        <v>42236.4375</v>
      </c>
      <c r="B258">
        <v>20.149999999999999</v>
      </c>
      <c r="C258">
        <v>41.12</v>
      </c>
    </row>
    <row r="259" spans="1:3">
      <c r="A259" s="173">
        <v>42236.440972222219</v>
      </c>
      <c r="B259">
        <v>20.11</v>
      </c>
      <c r="C259">
        <v>41.03</v>
      </c>
    </row>
    <row r="260" spans="1:3">
      <c r="A260" s="173">
        <v>42236.444444444445</v>
      </c>
      <c r="B260">
        <v>20.23</v>
      </c>
      <c r="C260">
        <v>41.44</v>
      </c>
    </row>
    <row r="261" spans="1:3">
      <c r="A261" s="173">
        <v>42236.447916666664</v>
      </c>
      <c r="B261">
        <v>20.23</v>
      </c>
      <c r="C261">
        <v>41.44</v>
      </c>
    </row>
    <row r="262" spans="1:3">
      <c r="A262" s="173">
        <v>42236.451388888891</v>
      </c>
      <c r="B262">
        <v>20.149999999999999</v>
      </c>
      <c r="C262">
        <v>41.54</v>
      </c>
    </row>
    <row r="263" spans="1:3">
      <c r="A263" s="173">
        <v>42236.454861111109</v>
      </c>
      <c r="B263">
        <v>20.11</v>
      </c>
      <c r="C263">
        <v>41.39</v>
      </c>
    </row>
    <row r="264" spans="1:3">
      <c r="A264" s="173">
        <v>42236.458333333336</v>
      </c>
      <c r="B264">
        <v>20.18</v>
      </c>
      <c r="C264">
        <v>41.34</v>
      </c>
    </row>
    <row r="265" spans="1:3">
      <c r="A265" s="173">
        <v>42236.461805555555</v>
      </c>
      <c r="B265">
        <v>20.12</v>
      </c>
      <c r="C265">
        <v>41.32</v>
      </c>
    </row>
    <row r="266" spans="1:3">
      <c r="A266" s="173">
        <v>42236.465277777781</v>
      </c>
      <c r="B266">
        <v>20.13</v>
      </c>
      <c r="C266">
        <v>41.32</v>
      </c>
    </row>
    <row r="267" spans="1:3">
      <c r="A267" s="173">
        <v>42236.46875</v>
      </c>
      <c r="B267">
        <v>20.14</v>
      </c>
      <c r="C267">
        <v>41.3</v>
      </c>
    </row>
    <row r="268" spans="1:3">
      <c r="A268" s="173">
        <v>42236.472222222219</v>
      </c>
      <c r="B268">
        <v>20.14</v>
      </c>
      <c r="C268">
        <v>41.1</v>
      </c>
    </row>
    <row r="269" spans="1:3">
      <c r="A269" s="173">
        <v>42236.475694444445</v>
      </c>
      <c r="B269">
        <v>20.170000000000002</v>
      </c>
      <c r="C269">
        <v>41.22</v>
      </c>
    </row>
    <row r="270" spans="1:3">
      <c r="A270" s="173">
        <v>42236.479166666664</v>
      </c>
      <c r="B270">
        <v>20.11</v>
      </c>
      <c r="C270">
        <v>41.32</v>
      </c>
    </row>
    <row r="271" spans="1:3">
      <c r="A271" s="173">
        <v>42236.482638888891</v>
      </c>
      <c r="B271">
        <v>20.14</v>
      </c>
      <c r="C271">
        <v>41.17</v>
      </c>
    </row>
    <row r="272" spans="1:3">
      <c r="A272" s="173">
        <v>42236.486111111109</v>
      </c>
      <c r="B272">
        <v>20.13</v>
      </c>
      <c r="C272">
        <v>41.12</v>
      </c>
    </row>
    <row r="273" spans="1:3">
      <c r="A273" s="173">
        <v>42236.489583333336</v>
      </c>
      <c r="B273">
        <v>20.13</v>
      </c>
      <c r="C273">
        <v>41.3</v>
      </c>
    </row>
    <row r="274" spans="1:3">
      <c r="A274" s="173">
        <v>42236.493055555555</v>
      </c>
      <c r="B274">
        <v>20.170000000000002</v>
      </c>
      <c r="C274">
        <v>41.12</v>
      </c>
    </row>
    <row r="275" spans="1:3">
      <c r="A275" s="173">
        <v>42236.496527777781</v>
      </c>
      <c r="B275">
        <v>20.190000000000001</v>
      </c>
      <c r="C275">
        <v>41.05</v>
      </c>
    </row>
    <row r="276" spans="1:3">
      <c r="A276" s="173">
        <v>42236.5</v>
      </c>
      <c r="B276">
        <v>20.12</v>
      </c>
      <c r="C276">
        <v>41.17</v>
      </c>
    </row>
    <row r="277" spans="1:3">
      <c r="A277" s="173">
        <v>42236.503472222219</v>
      </c>
      <c r="B277">
        <v>20.12</v>
      </c>
      <c r="C277">
        <v>41.03</v>
      </c>
    </row>
    <row r="278" spans="1:3">
      <c r="A278" s="173">
        <v>42236.506944444445</v>
      </c>
      <c r="B278">
        <v>20.09</v>
      </c>
      <c r="C278">
        <v>41.03</v>
      </c>
    </row>
    <row r="279" spans="1:3">
      <c r="A279" s="173">
        <v>42236.510416666664</v>
      </c>
      <c r="B279">
        <v>20.12</v>
      </c>
      <c r="C279">
        <v>40.83</v>
      </c>
    </row>
    <row r="280" spans="1:3">
      <c r="A280" s="173">
        <v>42236.513888888891</v>
      </c>
      <c r="B280">
        <v>20.149999999999999</v>
      </c>
      <c r="C280">
        <v>40.729999999999997</v>
      </c>
    </row>
    <row r="281" spans="1:3">
      <c r="A281" s="173">
        <v>42236.517361111109</v>
      </c>
      <c r="B281">
        <v>20.190000000000001</v>
      </c>
      <c r="C281">
        <v>40.61</v>
      </c>
    </row>
    <row r="282" spans="1:3">
      <c r="A282" s="173">
        <v>42236.520833333336</v>
      </c>
      <c r="B282">
        <v>20.13</v>
      </c>
      <c r="C282">
        <v>40.68</v>
      </c>
    </row>
    <row r="283" spans="1:3">
      <c r="A283" s="173">
        <v>42236.524305555555</v>
      </c>
      <c r="B283">
        <v>20.170000000000002</v>
      </c>
      <c r="C283">
        <v>40.68</v>
      </c>
    </row>
    <row r="284" spans="1:3">
      <c r="A284" s="173">
        <v>42236.527777777781</v>
      </c>
      <c r="B284">
        <v>20.14</v>
      </c>
      <c r="C284">
        <v>40.630000000000003</v>
      </c>
    </row>
    <row r="285" spans="1:3">
      <c r="A285" s="173">
        <v>42236.53125</v>
      </c>
      <c r="B285">
        <v>20.149999999999999</v>
      </c>
      <c r="C285">
        <v>40.61</v>
      </c>
    </row>
    <row r="286" spans="1:3">
      <c r="A286" s="173">
        <v>42236.534722222219</v>
      </c>
      <c r="B286">
        <v>20.14</v>
      </c>
      <c r="C286">
        <v>40.630000000000003</v>
      </c>
    </row>
    <row r="287" spans="1:3">
      <c r="A287" s="173">
        <v>42236.538194444445</v>
      </c>
      <c r="B287">
        <v>20.14</v>
      </c>
      <c r="C287">
        <v>40.71</v>
      </c>
    </row>
    <row r="288" spans="1:3">
      <c r="A288" s="173">
        <v>42236.541666666664</v>
      </c>
      <c r="B288">
        <v>20.170000000000002</v>
      </c>
      <c r="C288">
        <v>40.71</v>
      </c>
    </row>
    <row r="289" spans="1:3">
      <c r="A289" s="173">
        <v>42236.545138888891</v>
      </c>
      <c r="B289">
        <v>20.14</v>
      </c>
      <c r="C289">
        <v>40.83</v>
      </c>
    </row>
    <row r="290" spans="1:3">
      <c r="A290" s="173">
        <v>42236.548611111109</v>
      </c>
      <c r="B290">
        <v>20.13</v>
      </c>
      <c r="C290">
        <v>41.1</v>
      </c>
    </row>
    <row r="291" spans="1:3">
      <c r="A291" s="173">
        <v>42236.552083333336</v>
      </c>
      <c r="B291">
        <v>20.09</v>
      </c>
      <c r="C291">
        <v>41.17</v>
      </c>
    </row>
    <row r="292" spans="1:3">
      <c r="A292" s="173">
        <v>42236.555555555555</v>
      </c>
      <c r="B292">
        <v>20.07</v>
      </c>
      <c r="C292">
        <v>41.32</v>
      </c>
    </row>
    <row r="293" spans="1:3">
      <c r="A293" s="173">
        <v>42236.559027777781</v>
      </c>
      <c r="B293">
        <v>20.09</v>
      </c>
      <c r="C293">
        <v>41.37</v>
      </c>
    </row>
    <row r="294" spans="1:3">
      <c r="A294" s="173">
        <v>42236.5625</v>
      </c>
      <c r="B294">
        <v>20.059999999999999</v>
      </c>
      <c r="C294">
        <v>41.32</v>
      </c>
    </row>
    <row r="295" spans="1:3">
      <c r="A295" s="173">
        <v>42236.565972222219</v>
      </c>
      <c r="B295">
        <v>20.13</v>
      </c>
      <c r="C295">
        <v>41.3</v>
      </c>
    </row>
    <row r="296" spans="1:3">
      <c r="A296" s="173">
        <v>42236.569444444445</v>
      </c>
      <c r="B296">
        <v>20.13</v>
      </c>
      <c r="C296">
        <v>41.37</v>
      </c>
    </row>
    <row r="297" spans="1:3">
      <c r="A297" s="173">
        <v>42236.572916666664</v>
      </c>
      <c r="B297">
        <v>20.11</v>
      </c>
      <c r="C297">
        <v>41.47</v>
      </c>
    </row>
    <row r="298" spans="1:3">
      <c r="A298" s="173">
        <v>42236.576388888891</v>
      </c>
      <c r="B298">
        <v>20.149999999999999</v>
      </c>
      <c r="C298">
        <v>41.44</v>
      </c>
    </row>
    <row r="299" spans="1:3">
      <c r="A299" s="173">
        <v>42236.579861111109</v>
      </c>
      <c r="B299">
        <v>20.13</v>
      </c>
      <c r="C299">
        <v>41.25</v>
      </c>
    </row>
    <row r="300" spans="1:3">
      <c r="A300" s="173">
        <v>42236.583333333336</v>
      </c>
      <c r="B300">
        <v>20.14</v>
      </c>
      <c r="C300">
        <v>41.25</v>
      </c>
    </row>
    <row r="301" spans="1:3">
      <c r="A301" s="173">
        <v>42236.586805555555</v>
      </c>
      <c r="B301">
        <v>20.18</v>
      </c>
      <c r="C301">
        <v>41.32</v>
      </c>
    </row>
    <row r="302" spans="1:3">
      <c r="A302" s="173">
        <v>42236.590277777781</v>
      </c>
      <c r="B302">
        <v>20.190000000000001</v>
      </c>
      <c r="C302">
        <v>41.2</v>
      </c>
    </row>
    <row r="303" spans="1:3">
      <c r="A303" s="173">
        <v>42236.59375</v>
      </c>
      <c r="B303">
        <v>20.14</v>
      </c>
      <c r="C303">
        <v>41.2</v>
      </c>
    </row>
    <row r="304" spans="1:3">
      <c r="A304" s="173">
        <v>42236.597222222219</v>
      </c>
      <c r="B304">
        <v>20.149999999999999</v>
      </c>
      <c r="C304">
        <v>41.2</v>
      </c>
    </row>
    <row r="305" spans="1:3">
      <c r="A305" s="173">
        <v>42236.600694444445</v>
      </c>
      <c r="B305">
        <v>20.149999999999999</v>
      </c>
      <c r="C305">
        <v>41.22</v>
      </c>
    </row>
    <row r="306" spans="1:3">
      <c r="A306" s="173">
        <v>42236.604166666664</v>
      </c>
      <c r="B306">
        <v>20.13</v>
      </c>
      <c r="C306">
        <v>41.25</v>
      </c>
    </row>
    <row r="307" spans="1:3">
      <c r="A307" s="173">
        <v>42236.607638888891</v>
      </c>
      <c r="B307">
        <v>20.149999999999999</v>
      </c>
      <c r="C307">
        <v>41.2</v>
      </c>
    </row>
    <row r="308" spans="1:3">
      <c r="A308" s="173">
        <v>42236.611111111109</v>
      </c>
      <c r="B308">
        <v>20.14</v>
      </c>
      <c r="C308">
        <v>41.32</v>
      </c>
    </row>
    <row r="309" spans="1:3">
      <c r="A309" s="173">
        <v>42236.614583333336</v>
      </c>
      <c r="B309">
        <v>20.12</v>
      </c>
      <c r="C309">
        <v>41.25</v>
      </c>
    </row>
    <row r="310" spans="1:3">
      <c r="A310" s="173">
        <v>42236.618055555555</v>
      </c>
      <c r="B310">
        <v>20.09</v>
      </c>
      <c r="C310">
        <v>41.39</v>
      </c>
    </row>
    <row r="311" spans="1:3">
      <c r="A311" s="173">
        <v>42236.621527777781</v>
      </c>
      <c r="B311">
        <v>20.059999999999999</v>
      </c>
      <c r="C311">
        <v>41.42</v>
      </c>
    </row>
    <row r="312" spans="1:3">
      <c r="A312" s="173">
        <v>42236.625</v>
      </c>
      <c r="B312">
        <v>20.11</v>
      </c>
      <c r="C312">
        <v>41.37</v>
      </c>
    </row>
    <row r="313" spans="1:3">
      <c r="A313" s="173">
        <v>42236.628472222219</v>
      </c>
      <c r="B313">
        <v>20.12</v>
      </c>
      <c r="C313">
        <v>41.3</v>
      </c>
    </row>
    <row r="314" spans="1:3">
      <c r="A314" s="173">
        <v>42236.631944444445</v>
      </c>
      <c r="B314">
        <v>20.09</v>
      </c>
      <c r="C314">
        <v>41.27</v>
      </c>
    </row>
    <row r="315" spans="1:3">
      <c r="A315" s="173">
        <v>42236.635416666664</v>
      </c>
      <c r="B315">
        <v>20.12</v>
      </c>
      <c r="C315">
        <v>41.32</v>
      </c>
    </row>
    <row r="316" spans="1:3">
      <c r="A316" s="173">
        <v>42236.638888888891</v>
      </c>
      <c r="B316">
        <v>20.12</v>
      </c>
      <c r="C316">
        <v>41.25</v>
      </c>
    </row>
    <row r="317" spans="1:3">
      <c r="A317" s="173">
        <v>42236.642361111109</v>
      </c>
      <c r="B317">
        <v>20.12</v>
      </c>
      <c r="C317">
        <v>41.37</v>
      </c>
    </row>
    <row r="318" spans="1:3">
      <c r="A318" s="173">
        <v>42236.645833333336</v>
      </c>
      <c r="B318">
        <v>20.11</v>
      </c>
      <c r="C318">
        <v>41.39</v>
      </c>
    </row>
    <row r="319" spans="1:3">
      <c r="A319" s="173">
        <v>42236.649305555555</v>
      </c>
      <c r="B319">
        <v>20.079999999999998</v>
      </c>
      <c r="C319">
        <v>41.32</v>
      </c>
    </row>
    <row r="320" spans="1:3">
      <c r="A320" s="173">
        <v>42236.652777777781</v>
      </c>
      <c r="B320">
        <v>20.11</v>
      </c>
      <c r="C320">
        <v>41.44</v>
      </c>
    </row>
    <row r="321" spans="1:3">
      <c r="A321" s="173">
        <v>42236.65625</v>
      </c>
      <c r="B321">
        <v>20.09</v>
      </c>
      <c r="C321">
        <v>41.42</v>
      </c>
    </row>
    <row r="322" spans="1:3">
      <c r="A322" s="173">
        <v>42236.659722222219</v>
      </c>
      <c r="B322">
        <v>20.13</v>
      </c>
      <c r="C322">
        <v>41.34</v>
      </c>
    </row>
    <row r="323" spans="1:3">
      <c r="A323" s="173">
        <v>42236.663194444445</v>
      </c>
      <c r="B323">
        <v>20.11</v>
      </c>
      <c r="C323">
        <v>41.3</v>
      </c>
    </row>
    <row r="324" spans="1:3">
      <c r="A324" s="173">
        <v>42236.666666666664</v>
      </c>
      <c r="B324">
        <v>20.13</v>
      </c>
      <c r="C324">
        <v>41.39</v>
      </c>
    </row>
    <row r="325" spans="1:3">
      <c r="A325" s="173">
        <v>42236.670138888891</v>
      </c>
      <c r="B325">
        <v>20.14</v>
      </c>
      <c r="C325">
        <v>41.3</v>
      </c>
    </row>
    <row r="326" spans="1:3">
      <c r="A326" s="173">
        <v>42236.673611111109</v>
      </c>
      <c r="B326">
        <v>20.13</v>
      </c>
      <c r="C326">
        <v>41.34</v>
      </c>
    </row>
    <row r="327" spans="1:3">
      <c r="A327" s="173">
        <v>42236.677083333336</v>
      </c>
      <c r="B327">
        <v>20.18</v>
      </c>
      <c r="C327">
        <v>41.22</v>
      </c>
    </row>
    <row r="328" spans="1:3">
      <c r="A328" s="173">
        <v>42236.680555555555</v>
      </c>
      <c r="B328">
        <v>20.11</v>
      </c>
      <c r="C328">
        <v>41.39</v>
      </c>
    </row>
    <row r="329" spans="1:3">
      <c r="A329" s="173">
        <v>42236.684027777781</v>
      </c>
      <c r="B329">
        <v>20.059999999999999</v>
      </c>
      <c r="C329">
        <v>41.42</v>
      </c>
    </row>
    <row r="330" spans="1:3">
      <c r="A330" s="173">
        <v>42236.6875</v>
      </c>
      <c r="B330">
        <v>20.11</v>
      </c>
      <c r="C330">
        <v>41.32</v>
      </c>
    </row>
    <row r="331" spans="1:3">
      <c r="A331" s="173">
        <v>42236.690972222219</v>
      </c>
      <c r="B331">
        <v>20.12</v>
      </c>
      <c r="C331">
        <v>41.32</v>
      </c>
    </row>
    <row r="332" spans="1:3">
      <c r="A332" s="173">
        <v>42236.694444444445</v>
      </c>
      <c r="B332">
        <v>20.11</v>
      </c>
      <c r="C332">
        <v>41.42</v>
      </c>
    </row>
    <row r="333" spans="1:3">
      <c r="A333" s="173">
        <v>42236.697916666664</v>
      </c>
      <c r="B333">
        <v>20.07</v>
      </c>
      <c r="C333">
        <v>41.49</v>
      </c>
    </row>
    <row r="334" spans="1:3">
      <c r="A334" s="173">
        <v>42236.701388888891</v>
      </c>
      <c r="B334">
        <v>20.07</v>
      </c>
      <c r="C334">
        <v>41.61</v>
      </c>
    </row>
    <row r="335" spans="1:3">
      <c r="A335" s="173">
        <v>42236.704861111109</v>
      </c>
      <c r="B335">
        <v>20.12</v>
      </c>
      <c r="C335">
        <v>41.52</v>
      </c>
    </row>
    <row r="336" spans="1:3">
      <c r="A336" s="173">
        <v>42236.708333333336</v>
      </c>
      <c r="B336">
        <v>20.12</v>
      </c>
      <c r="C336">
        <v>41.39</v>
      </c>
    </row>
    <row r="337" spans="1:3">
      <c r="A337" s="173">
        <v>42236.711805555555</v>
      </c>
      <c r="B337">
        <v>20.079999999999998</v>
      </c>
      <c r="C337">
        <v>41.44</v>
      </c>
    </row>
    <row r="338" spans="1:3">
      <c r="A338" s="173">
        <v>42236.715277777781</v>
      </c>
      <c r="B338">
        <v>20.13</v>
      </c>
      <c r="C338">
        <v>41.47</v>
      </c>
    </row>
    <row r="339" spans="1:3">
      <c r="A339" s="173">
        <v>42236.71875</v>
      </c>
      <c r="B339">
        <v>20.13</v>
      </c>
      <c r="C339">
        <v>41.47</v>
      </c>
    </row>
    <row r="340" spans="1:3">
      <c r="A340" s="173">
        <v>42236.722222222219</v>
      </c>
      <c r="B340">
        <v>20.12</v>
      </c>
      <c r="C340">
        <v>41.49</v>
      </c>
    </row>
    <row r="341" spans="1:3">
      <c r="A341" s="173">
        <v>42236.725694444445</v>
      </c>
      <c r="B341">
        <v>20.11</v>
      </c>
      <c r="C341">
        <v>41.44</v>
      </c>
    </row>
    <row r="342" spans="1:3">
      <c r="A342" s="173">
        <v>42236.729166666664</v>
      </c>
      <c r="B342">
        <v>20.12</v>
      </c>
      <c r="C342">
        <v>41.44</v>
      </c>
    </row>
    <row r="343" spans="1:3">
      <c r="A343" s="173">
        <v>42236.732638888891</v>
      </c>
      <c r="B343">
        <v>20.079999999999998</v>
      </c>
      <c r="C343">
        <v>41.47</v>
      </c>
    </row>
    <row r="344" spans="1:3">
      <c r="A344" s="173">
        <v>42236.736111111109</v>
      </c>
      <c r="B344">
        <v>20.079999999999998</v>
      </c>
      <c r="C344">
        <v>41.42</v>
      </c>
    </row>
    <row r="345" spans="1:3">
      <c r="A345" s="173">
        <v>42236.739583333336</v>
      </c>
      <c r="B345">
        <v>20.09</v>
      </c>
      <c r="C345">
        <v>41.39</v>
      </c>
    </row>
    <row r="346" spans="1:3">
      <c r="A346" s="173">
        <v>42236.743055555555</v>
      </c>
      <c r="B346">
        <v>20.11</v>
      </c>
      <c r="C346">
        <v>41.39</v>
      </c>
    </row>
    <row r="347" spans="1:3">
      <c r="A347" s="173">
        <v>42236.746527777781</v>
      </c>
      <c r="B347">
        <v>20.12</v>
      </c>
      <c r="C347">
        <v>41.44</v>
      </c>
    </row>
    <row r="348" spans="1:3">
      <c r="A348" s="173">
        <v>42236.75</v>
      </c>
      <c r="B348">
        <v>20.079999999999998</v>
      </c>
      <c r="C348">
        <v>41.39</v>
      </c>
    </row>
    <row r="349" spans="1:3">
      <c r="A349" s="173">
        <v>42236.753472222219</v>
      </c>
      <c r="B349">
        <v>20.059999999999999</v>
      </c>
      <c r="C349">
        <v>41.37</v>
      </c>
    </row>
    <row r="350" spans="1:3">
      <c r="A350" s="173">
        <v>42236.756944444445</v>
      </c>
      <c r="B350">
        <v>20.149999999999999</v>
      </c>
      <c r="C350">
        <v>41.3</v>
      </c>
    </row>
    <row r="351" spans="1:3">
      <c r="A351" s="173">
        <v>42236.760416666664</v>
      </c>
      <c r="B351">
        <v>20.09</v>
      </c>
      <c r="C351">
        <v>41.37</v>
      </c>
    </row>
    <row r="352" spans="1:3">
      <c r="A352" s="173">
        <v>42236.763888888891</v>
      </c>
      <c r="B352">
        <v>20.07</v>
      </c>
      <c r="C352">
        <v>41.39</v>
      </c>
    </row>
    <row r="353" spans="1:3">
      <c r="A353" s="173">
        <v>42236.767361111109</v>
      </c>
      <c r="B353">
        <v>20.13</v>
      </c>
      <c r="C353">
        <v>41.27</v>
      </c>
    </row>
    <row r="354" spans="1:3">
      <c r="A354" s="173">
        <v>42236.770833333336</v>
      </c>
      <c r="B354">
        <v>20.14</v>
      </c>
      <c r="C354">
        <v>41.27</v>
      </c>
    </row>
    <row r="355" spans="1:3">
      <c r="A355" s="173">
        <v>42236.774305555555</v>
      </c>
      <c r="B355">
        <v>20.11</v>
      </c>
      <c r="C355">
        <v>41.37</v>
      </c>
    </row>
    <row r="356" spans="1:3">
      <c r="A356" s="173">
        <v>42236.777777777781</v>
      </c>
      <c r="B356">
        <v>20.12</v>
      </c>
      <c r="C356">
        <v>41.2</v>
      </c>
    </row>
    <row r="357" spans="1:3">
      <c r="A357" s="173">
        <v>42236.78125</v>
      </c>
      <c r="B357">
        <v>20.13</v>
      </c>
      <c r="C357">
        <v>41.15</v>
      </c>
    </row>
    <row r="358" spans="1:3">
      <c r="A358" s="173">
        <v>42236.784722222219</v>
      </c>
      <c r="B358">
        <v>20.149999999999999</v>
      </c>
      <c r="C358">
        <v>41.17</v>
      </c>
    </row>
    <row r="359" spans="1:3">
      <c r="A359" s="173">
        <v>42236.788194444445</v>
      </c>
      <c r="B359">
        <v>20.149999999999999</v>
      </c>
      <c r="C359">
        <v>41.15</v>
      </c>
    </row>
    <row r="360" spans="1:3">
      <c r="A360" s="173">
        <v>42236.791666666664</v>
      </c>
      <c r="B360">
        <v>20.11</v>
      </c>
      <c r="C360">
        <v>41.22</v>
      </c>
    </row>
    <row r="361" spans="1:3">
      <c r="A361" s="173">
        <v>42236.795138888891</v>
      </c>
      <c r="B361">
        <v>20.11</v>
      </c>
      <c r="C361">
        <v>41.22</v>
      </c>
    </row>
    <row r="362" spans="1:3">
      <c r="A362" s="173">
        <v>42236.798611111109</v>
      </c>
      <c r="B362">
        <v>20.149999999999999</v>
      </c>
      <c r="C362">
        <v>41.15</v>
      </c>
    </row>
    <row r="363" spans="1:3">
      <c r="A363" s="173">
        <v>42236.802083333336</v>
      </c>
      <c r="B363">
        <v>20.12</v>
      </c>
      <c r="C363">
        <v>41.05</v>
      </c>
    </row>
    <row r="364" spans="1:3">
      <c r="A364" s="173">
        <v>42236.805555555555</v>
      </c>
      <c r="B364">
        <v>20.079999999999998</v>
      </c>
      <c r="C364">
        <v>41.12</v>
      </c>
    </row>
    <row r="365" spans="1:3">
      <c r="A365" s="173">
        <v>42236.809027777781</v>
      </c>
      <c r="B365">
        <v>20.13</v>
      </c>
      <c r="C365">
        <v>41.05</v>
      </c>
    </row>
    <row r="366" spans="1:3">
      <c r="A366" s="173">
        <v>42236.8125</v>
      </c>
      <c r="B366">
        <v>20.149999999999999</v>
      </c>
      <c r="C366">
        <v>41.07</v>
      </c>
    </row>
    <row r="367" spans="1:3">
      <c r="A367" s="173">
        <v>42236.815972222219</v>
      </c>
      <c r="B367">
        <v>20.12</v>
      </c>
      <c r="C367">
        <v>41.03</v>
      </c>
    </row>
    <row r="368" spans="1:3">
      <c r="A368" s="173">
        <v>42236.819444444445</v>
      </c>
      <c r="B368">
        <v>20.14</v>
      </c>
      <c r="C368">
        <v>41.03</v>
      </c>
    </row>
    <row r="369" spans="1:3">
      <c r="A369" s="173">
        <v>42236.822916666664</v>
      </c>
      <c r="B369">
        <v>20.149999999999999</v>
      </c>
      <c r="C369">
        <v>41</v>
      </c>
    </row>
    <row r="370" spans="1:3">
      <c r="A370" s="173">
        <v>42236.826388888891</v>
      </c>
      <c r="B370">
        <v>20.09</v>
      </c>
      <c r="C370">
        <v>41.03</v>
      </c>
    </row>
    <row r="371" spans="1:3">
      <c r="A371" s="173">
        <v>42236.829861111109</v>
      </c>
      <c r="B371">
        <v>20.12</v>
      </c>
      <c r="C371">
        <v>40.98</v>
      </c>
    </row>
    <row r="372" spans="1:3">
      <c r="A372" s="173">
        <v>42236.833333333336</v>
      </c>
      <c r="B372">
        <v>20.079999999999998</v>
      </c>
      <c r="C372">
        <v>40.98</v>
      </c>
    </row>
    <row r="373" spans="1:3">
      <c r="A373" s="173">
        <v>42236.836805555555</v>
      </c>
      <c r="B373">
        <v>20.11</v>
      </c>
      <c r="C373">
        <v>40.880000000000003</v>
      </c>
    </row>
    <row r="374" spans="1:3">
      <c r="A374" s="173">
        <v>42236.840277777781</v>
      </c>
      <c r="B374">
        <v>20.149999999999999</v>
      </c>
      <c r="C374">
        <v>40.81</v>
      </c>
    </row>
    <row r="375" spans="1:3">
      <c r="A375" s="173">
        <v>42236.84375</v>
      </c>
      <c r="B375">
        <v>20.12</v>
      </c>
      <c r="C375">
        <v>40.880000000000003</v>
      </c>
    </row>
    <row r="376" spans="1:3">
      <c r="A376" s="173">
        <v>42236.847222222219</v>
      </c>
      <c r="B376">
        <v>20.14</v>
      </c>
      <c r="C376">
        <v>40.81</v>
      </c>
    </row>
    <row r="377" spans="1:3">
      <c r="A377" s="173">
        <v>42236.850694444445</v>
      </c>
      <c r="B377">
        <v>20.079999999999998</v>
      </c>
      <c r="C377">
        <v>40.76</v>
      </c>
    </row>
    <row r="378" spans="1:3">
      <c r="A378" s="173">
        <v>42236.854166666664</v>
      </c>
      <c r="B378">
        <v>20.12</v>
      </c>
      <c r="C378">
        <v>40.659999999999997</v>
      </c>
    </row>
    <row r="379" spans="1:3">
      <c r="A379" s="173">
        <v>42236.857638888891</v>
      </c>
      <c r="B379">
        <v>20.170000000000002</v>
      </c>
      <c r="C379">
        <v>40.659999999999997</v>
      </c>
    </row>
    <row r="380" spans="1:3">
      <c r="A380" s="173">
        <v>42236.861111111109</v>
      </c>
      <c r="B380">
        <v>20.18</v>
      </c>
      <c r="C380">
        <v>40.61</v>
      </c>
    </row>
    <row r="381" spans="1:3">
      <c r="A381" s="173">
        <v>42236.864583333336</v>
      </c>
      <c r="B381">
        <v>20.09</v>
      </c>
      <c r="C381">
        <v>40.630000000000003</v>
      </c>
    </row>
    <row r="382" spans="1:3">
      <c r="A382" s="173">
        <v>42236.868055555555</v>
      </c>
      <c r="B382">
        <v>20.13</v>
      </c>
      <c r="C382">
        <v>40.630000000000003</v>
      </c>
    </row>
    <row r="383" spans="1:3">
      <c r="A383" s="173">
        <v>42236.871527777781</v>
      </c>
      <c r="B383">
        <v>20.12</v>
      </c>
      <c r="C383">
        <v>40.56</v>
      </c>
    </row>
    <row r="384" spans="1:3">
      <c r="A384" s="173">
        <v>42236.875</v>
      </c>
      <c r="B384">
        <v>20.14</v>
      </c>
      <c r="C384">
        <v>40.46</v>
      </c>
    </row>
    <row r="385" spans="1:3">
      <c r="A385" s="173">
        <v>42236.878472222219</v>
      </c>
      <c r="B385">
        <v>20.18</v>
      </c>
      <c r="C385">
        <v>40.409999999999997</v>
      </c>
    </row>
    <row r="386" spans="1:3">
      <c r="A386" s="173">
        <v>42236.881944444445</v>
      </c>
      <c r="B386">
        <v>20.11</v>
      </c>
      <c r="C386">
        <v>40.51</v>
      </c>
    </row>
    <row r="387" spans="1:3">
      <c r="A387" s="173">
        <v>42236.885416666664</v>
      </c>
      <c r="B387">
        <v>20.170000000000002</v>
      </c>
      <c r="C387">
        <v>40.340000000000003</v>
      </c>
    </row>
    <row r="388" spans="1:3">
      <c r="A388" s="173">
        <v>42236.888888888891</v>
      </c>
      <c r="B388">
        <v>20.12</v>
      </c>
      <c r="C388">
        <v>40.409999999999997</v>
      </c>
    </row>
    <row r="389" spans="1:3">
      <c r="A389" s="173">
        <v>42236.892361111109</v>
      </c>
      <c r="B389">
        <v>20.23</v>
      </c>
      <c r="C389">
        <v>40.340000000000003</v>
      </c>
    </row>
    <row r="390" spans="1:3">
      <c r="A390" s="173">
        <v>42236.895833333336</v>
      </c>
      <c r="B390">
        <v>20.190000000000001</v>
      </c>
      <c r="C390">
        <v>40.24</v>
      </c>
    </row>
    <row r="391" spans="1:3">
      <c r="A391" s="173">
        <v>42236.899305555555</v>
      </c>
      <c r="B391">
        <v>20.149999999999999</v>
      </c>
      <c r="C391">
        <v>40.29</v>
      </c>
    </row>
    <row r="392" spans="1:3">
      <c r="A392" s="173">
        <v>42236.902777777781</v>
      </c>
      <c r="B392">
        <v>20.190000000000001</v>
      </c>
      <c r="C392">
        <v>40.07</v>
      </c>
    </row>
    <row r="393" spans="1:3">
      <c r="A393" s="173">
        <v>42236.90625</v>
      </c>
      <c r="B393">
        <v>20.13</v>
      </c>
      <c r="C393">
        <v>40.14</v>
      </c>
    </row>
    <row r="394" spans="1:3">
      <c r="A394" s="173">
        <v>42236.909722222219</v>
      </c>
      <c r="B394">
        <v>20.2</v>
      </c>
      <c r="C394">
        <v>40.020000000000003</v>
      </c>
    </row>
    <row r="395" spans="1:3">
      <c r="A395" s="173">
        <v>42236.913194444445</v>
      </c>
      <c r="B395">
        <v>20.190000000000001</v>
      </c>
      <c r="C395">
        <v>40.07</v>
      </c>
    </row>
    <row r="396" spans="1:3">
      <c r="A396" s="173">
        <v>42236.916666666664</v>
      </c>
      <c r="B396">
        <v>20.12</v>
      </c>
      <c r="C396">
        <v>40.04</v>
      </c>
    </row>
    <row r="397" spans="1:3">
      <c r="A397" s="173">
        <v>42236.920138888891</v>
      </c>
      <c r="B397">
        <v>20.22</v>
      </c>
      <c r="C397">
        <v>39.97</v>
      </c>
    </row>
    <row r="398" spans="1:3">
      <c r="A398" s="173">
        <v>42236.923611111109</v>
      </c>
      <c r="B398">
        <v>20.18</v>
      </c>
      <c r="C398">
        <v>39.97</v>
      </c>
    </row>
    <row r="399" spans="1:3">
      <c r="A399" s="173">
        <v>42236.927083333336</v>
      </c>
      <c r="B399">
        <v>20.170000000000002</v>
      </c>
      <c r="C399">
        <v>39.92</v>
      </c>
    </row>
    <row r="400" spans="1:3">
      <c r="A400" s="173">
        <v>42236.930555555555</v>
      </c>
      <c r="B400">
        <v>20.190000000000001</v>
      </c>
      <c r="C400">
        <v>39.82</v>
      </c>
    </row>
    <row r="401" spans="1:3">
      <c r="A401" s="173">
        <v>42236.934027777781</v>
      </c>
      <c r="B401">
        <v>20.14</v>
      </c>
      <c r="C401">
        <v>39.799999999999997</v>
      </c>
    </row>
    <row r="402" spans="1:3">
      <c r="A402" s="173">
        <v>42236.9375</v>
      </c>
      <c r="B402">
        <v>20.190000000000001</v>
      </c>
      <c r="C402">
        <v>39.729999999999997</v>
      </c>
    </row>
    <row r="403" spans="1:3">
      <c r="A403" s="173">
        <v>42236.940972222219</v>
      </c>
      <c r="B403">
        <v>20.2</v>
      </c>
      <c r="C403">
        <v>39.68</v>
      </c>
    </row>
    <row r="404" spans="1:3">
      <c r="A404" s="173">
        <v>42236.944444444445</v>
      </c>
      <c r="B404">
        <v>20.2</v>
      </c>
      <c r="C404">
        <v>39.729999999999997</v>
      </c>
    </row>
    <row r="405" spans="1:3">
      <c r="A405" s="173">
        <v>42236.947916666664</v>
      </c>
      <c r="B405">
        <v>20.18</v>
      </c>
      <c r="C405">
        <v>39.75</v>
      </c>
    </row>
    <row r="406" spans="1:3">
      <c r="A406" s="173">
        <v>42236.951388888891</v>
      </c>
      <c r="B406">
        <v>20.170000000000002</v>
      </c>
      <c r="C406">
        <v>39.68</v>
      </c>
    </row>
    <row r="407" spans="1:3">
      <c r="A407" s="173">
        <v>42236.954861111109</v>
      </c>
      <c r="B407">
        <v>20.170000000000002</v>
      </c>
      <c r="C407">
        <v>39.68</v>
      </c>
    </row>
    <row r="408" spans="1:3">
      <c r="A408" s="173">
        <v>42236.958333333336</v>
      </c>
      <c r="B408">
        <v>20.190000000000001</v>
      </c>
      <c r="C408">
        <v>39.58</v>
      </c>
    </row>
    <row r="409" spans="1:3">
      <c r="A409" s="173">
        <v>42236.961805555555</v>
      </c>
      <c r="B409">
        <v>20.190000000000001</v>
      </c>
      <c r="C409">
        <v>39.549999999999997</v>
      </c>
    </row>
    <row r="410" spans="1:3">
      <c r="A410" s="173">
        <v>42236.965277777781</v>
      </c>
      <c r="B410">
        <v>20.18</v>
      </c>
      <c r="C410">
        <v>39.46</v>
      </c>
    </row>
    <row r="411" spans="1:3">
      <c r="A411" s="173">
        <v>42236.96875</v>
      </c>
      <c r="B411">
        <v>20.18</v>
      </c>
      <c r="C411">
        <v>39.46</v>
      </c>
    </row>
    <row r="412" spans="1:3">
      <c r="A412" s="173">
        <v>42236.972222222219</v>
      </c>
      <c r="B412">
        <v>20.2</v>
      </c>
      <c r="C412">
        <v>39.36</v>
      </c>
    </row>
    <row r="413" spans="1:3">
      <c r="A413" s="173">
        <v>42236.975694444445</v>
      </c>
      <c r="B413">
        <v>20.190000000000001</v>
      </c>
      <c r="C413">
        <v>39.21</v>
      </c>
    </row>
    <row r="414" spans="1:3">
      <c r="A414" s="173">
        <v>42236.979166666664</v>
      </c>
      <c r="B414">
        <v>20.12</v>
      </c>
      <c r="C414">
        <v>39.28</v>
      </c>
    </row>
    <row r="415" spans="1:3">
      <c r="A415" s="173">
        <v>42236.982638888891</v>
      </c>
      <c r="B415">
        <v>20.2</v>
      </c>
      <c r="C415">
        <v>39.159999999999997</v>
      </c>
    </row>
    <row r="416" spans="1:3">
      <c r="A416" s="173">
        <v>42236.986111111109</v>
      </c>
      <c r="B416">
        <v>20.170000000000002</v>
      </c>
      <c r="C416">
        <v>39.159999999999997</v>
      </c>
    </row>
    <row r="417" spans="1:3">
      <c r="A417" s="173">
        <v>42236.989583333336</v>
      </c>
      <c r="B417">
        <v>20.18</v>
      </c>
      <c r="C417">
        <v>39.14</v>
      </c>
    </row>
    <row r="418" spans="1:3">
      <c r="A418" s="173">
        <v>42236.993055555555</v>
      </c>
      <c r="B418">
        <v>20.14</v>
      </c>
      <c r="C418">
        <v>39.11</v>
      </c>
    </row>
    <row r="419" spans="1:3">
      <c r="A419" s="173">
        <v>42236.996527777781</v>
      </c>
      <c r="B419">
        <v>20.170000000000002</v>
      </c>
      <c r="C419">
        <v>38.92</v>
      </c>
    </row>
    <row r="420" spans="1:3">
      <c r="A420" s="173">
        <v>42237</v>
      </c>
      <c r="B420">
        <v>20.190000000000001</v>
      </c>
      <c r="C420">
        <v>38.869999999999997</v>
      </c>
    </row>
    <row r="421" spans="1:3">
      <c r="A421" s="173">
        <v>42237.003472222219</v>
      </c>
      <c r="B421">
        <v>20.170000000000002</v>
      </c>
      <c r="C421">
        <v>38.840000000000003</v>
      </c>
    </row>
    <row r="422" spans="1:3">
      <c r="A422" s="173">
        <v>42237.006944444445</v>
      </c>
      <c r="B422">
        <v>20.170000000000002</v>
      </c>
      <c r="C422">
        <v>38.840000000000003</v>
      </c>
    </row>
    <row r="423" spans="1:3">
      <c r="A423" s="173">
        <v>42237.010416666664</v>
      </c>
      <c r="B423">
        <v>20.18</v>
      </c>
      <c r="C423">
        <v>38.869999999999997</v>
      </c>
    </row>
    <row r="424" spans="1:3">
      <c r="A424" s="173">
        <v>42237.013888888891</v>
      </c>
      <c r="B424">
        <v>20.18</v>
      </c>
      <c r="C424">
        <v>38.840000000000003</v>
      </c>
    </row>
    <row r="425" spans="1:3">
      <c r="A425" s="173">
        <v>42237.017361111109</v>
      </c>
      <c r="B425">
        <v>20.2</v>
      </c>
      <c r="C425">
        <v>38.72</v>
      </c>
    </row>
    <row r="426" spans="1:3">
      <c r="A426" s="173">
        <v>42237.020833333336</v>
      </c>
      <c r="B426">
        <v>20.170000000000002</v>
      </c>
      <c r="C426">
        <v>38.69</v>
      </c>
    </row>
    <row r="427" spans="1:3">
      <c r="A427" s="173">
        <v>42237.024305555555</v>
      </c>
      <c r="B427">
        <v>20.18</v>
      </c>
      <c r="C427">
        <v>38.65</v>
      </c>
    </row>
    <row r="428" spans="1:3">
      <c r="A428" s="173">
        <v>42237.027777777781</v>
      </c>
      <c r="B428">
        <v>20.149999999999999</v>
      </c>
      <c r="C428">
        <v>38.47</v>
      </c>
    </row>
    <row r="429" spans="1:3">
      <c r="A429" s="173">
        <v>42237.03125</v>
      </c>
      <c r="B429">
        <v>20.2</v>
      </c>
      <c r="C429">
        <v>38.549999999999997</v>
      </c>
    </row>
    <row r="430" spans="1:3">
      <c r="A430" s="173">
        <v>42237.034722222219</v>
      </c>
      <c r="B430">
        <v>20.149999999999999</v>
      </c>
      <c r="C430">
        <v>38.520000000000003</v>
      </c>
    </row>
    <row r="431" spans="1:3">
      <c r="A431" s="173">
        <v>42237.038194444445</v>
      </c>
      <c r="B431">
        <v>20.190000000000001</v>
      </c>
      <c r="C431">
        <v>38.42</v>
      </c>
    </row>
    <row r="432" spans="1:3">
      <c r="A432" s="173">
        <v>42237.041666666664</v>
      </c>
      <c r="B432">
        <v>20.190000000000001</v>
      </c>
      <c r="C432">
        <v>38.4</v>
      </c>
    </row>
    <row r="433" spans="1:3">
      <c r="A433" s="173">
        <v>42237.045138888891</v>
      </c>
      <c r="B433">
        <v>20.2</v>
      </c>
      <c r="C433">
        <v>38.35</v>
      </c>
    </row>
    <row r="434" spans="1:3">
      <c r="A434" s="173">
        <v>42237.048611111109</v>
      </c>
      <c r="B434">
        <v>20.190000000000001</v>
      </c>
      <c r="C434">
        <v>38.25</v>
      </c>
    </row>
    <row r="435" spans="1:3">
      <c r="A435" s="173">
        <v>42237.052083333336</v>
      </c>
      <c r="B435">
        <v>20.22</v>
      </c>
      <c r="C435">
        <v>38.25</v>
      </c>
    </row>
    <row r="436" spans="1:3">
      <c r="A436" s="173">
        <v>42237.055555555555</v>
      </c>
      <c r="B436">
        <v>20.2</v>
      </c>
      <c r="C436">
        <v>38.06</v>
      </c>
    </row>
    <row r="437" spans="1:3">
      <c r="A437" s="173">
        <v>42237.059027777781</v>
      </c>
      <c r="B437">
        <v>20.22</v>
      </c>
      <c r="C437">
        <v>38.200000000000003</v>
      </c>
    </row>
    <row r="438" spans="1:3">
      <c r="A438" s="173">
        <v>42237.0625</v>
      </c>
      <c r="B438">
        <v>20.18</v>
      </c>
      <c r="C438">
        <v>38.25</v>
      </c>
    </row>
    <row r="439" spans="1:3">
      <c r="A439" s="173">
        <v>42237.065972222219</v>
      </c>
      <c r="B439">
        <v>20.18</v>
      </c>
      <c r="C439">
        <v>38.200000000000003</v>
      </c>
    </row>
    <row r="440" spans="1:3">
      <c r="A440" s="173">
        <v>42237.069444444445</v>
      </c>
      <c r="B440">
        <v>20.14</v>
      </c>
      <c r="C440">
        <v>38.11</v>
      </c>
    </row>
    <row r="441" spans="1:3">
      <c r="A441" s="173">
        <v>42237.072916666664</v>
      </c>
      <c r="B441">
        <v>20.2</v>
      </c>
      <c r="C441">
        <v>37.979999999999997</v>
      </c>
    </row>
    <row r="442" spans="1:3">
      <c r="A442" s="173">
        <v>42237.076388888891</v>
      </c>
      <c r="B442">
        <v>20.18</v>
      </c>
      <c r="C442">
        <v>37.880000000000003</v>
      </c>
    </row>
    <row r="443" spans="1:3">
      <c r="A443" s="173">
        <v>42237.079861111109</v>
      </c>
      <c r="B443">
        <v>20.2</v>
      </c>
      <c r="C443">
        <v>37.86</v>
      </c>
    </row>
    <row r="444" spans="1:3">
      <c r="A444" s="173">
        <v>42237.083333333336</v>
      </c>
      <c r="B444">
        <v>20.170000000000002</v>
      </c>
      <c r="C444">
        <v>37.93</v>
      </c>
    </row>
    <row r="445" spans="1:3">
      <c r="A445" s="173">
        <v>42237.086805555555</v>
      </c>
      <c r="B445">
        <v>20.2</v>
      </c>
      <c r="C445">
        <v>37.86</v>
      </c>
    </row>
    <row r="446" spans="1:3">
      <c r="A446" s="173">
        <v>42237.090277777781</v>
      </c>
      <c r="B446">
        <v>20.149999999999999</v>
      </c>
      <c r="C446">
        <v>37.96</v>
      </c>
    </row>
    <row r="447" spans="1:3">
      <c r="A447" s="173">
        <v>42237.09375</v>
      </c>
      <c r="B447">
        <v>20.2</v>
      </c>
      <c r="C447">
        <v>37.69</v>
      </c>
    </row>
    <row r="448" spans="1:3">
      <c r="A448" s="173">
        <v>42237.097222222219</v>
      </c>
      <c r="B448">
        <v>20.18</v>
      </c>
      <c r="C448">
        <v>37.64</v>
      </c>
    </row>
    <row r="449" spans="1:3">
      <c r="A449" s="173">
        <v>42237.100694444445</v>
      </c>
      <c r="B449">
        <v>20.2</v>
      </c>
      <c r="C449">
        <v>37.659999999999997</v>
      </c>
    </row>
    <row r="450" spans="1:3">
      <c r="A450" s="173">
        <v>42237.104166666664</v>
      </c>
      <c r="B450">
        <v>20.18</v>
      </c>
      <c r="C450">
        <v>37.69</v>
      </c>
    </row>
    <row r="451" spans="1:3">
      <c r="A451" s="173">
        <v>42237.107638888891</v>
      </c>
      <c r="B451">
        <v>20.18</v>
      </c>
      <c r="C451">
        <v>37.64</v>
      </c>
    </row>
    <row r="452" spans="1:3">
      <c r="A452" s="173">
        <v>42237.111111111109</v>
      </c>
      <c r="B452">
        <v>20.23</v>
      </c>
      <c r="C452">
        <v>37.47</v>
      </c>
    </row>
    <row r="453" spans="1:3">
      <c r="A453" s="173">
        <v>42237.114583333336</v>
      </c>
      <c r="B453">
        <v>20.18</v>
      </c>
      <c r="C453">
        <v>37.49</v>
      </c>
    </row>
    <row r="454" spans="1:3">
      <c r="A454" s="173">
        <v>42237.118055555555</v>
      </c>
      <c r="B454">
        <v>20.170000000000002</v>
      </c>
      <c r="C454">
        <v>37.57</v>
      </c>
    </row>
    <row r="455" spans="1:3">
      <c r="A455" s="173">
        <v>42237.121527777781</v>
      </c>
      <c r="B455">
        <v>20.2</v>
      </c>
      <c r="C455">
        <v>37.42</v>
      </c>
    </row>
    <row r="456" spans="1:3">
      <c r="A456" s="173">
        <v>42237.125</v>
      </c>
      <c r="B456">
        <v>20.170000000000002</v>
      </c>
      <c r="C456">
        <v>37.42</v>
      </c>
    </row>
    <row r="457" spans="1:3">
      <c r="A457" s="173">
        <v>42237.128472222219</v>
      </c>
      <c r="B457">
        <v>20.18</v>
      </c>
      <c r="C457">
        <v>37.369999999999997</v>
      </c>
    </row>
    <row r="458" spans="1:3">
      <c r="A458" s="173">
        <v>42237.131944444445</v>
      </c>
      <c r="B458">
        <v>20.18</v>
      </c>
      <c r="C458">
        <v>37.270000000000003</v>
      </c>
    </row>
    <row r="459" spans="1:3">
      <c r="A459" s="173">
        <v>42237.135416666664</v>
      </c>
      <c r="B459">
        <v>20.2</v>
      </c>
      <c r="C459">
        <v>37.200000000000003</v>
      </c>
    </row>
    <row r="460" spans="1:3">
      <c r="A460" s="173">
        <v>42237.138888888891</v>
      </c>
      <c r="B460">
        <v>20.2</v>
      </c>
      <c r="C460">
        <v>37.32</v>
      </c>
    </row>
    <row r="461" spans="1:3">
      <c r="A461" s="173">
        <v>42237.142361111109</v>
      </c>
      <c r="B461">
        <v>20.170000000000002</v>
      </c>
      <c r="C461">
        <v>37.270000000000003</v>
      </c>
    </row>
    <row r="462" spans="1:3">
      <c r="A462" s="173">
        <v>42237.145833333336</v>
      </c>
      <c r="B462">
        <v>20.149999999999999</v>
      </c>
      <c r="C462">
        <v>37.200000000000003</v>
      </c>
    </row>
    <row r="463" spans="1:3">
      <c r="A463" s="173">
        <v>42237.149305555555</v>
      </c>
      <c r="B463">
        <v>20.190000000000001</v>
      </c>
      <c r="C463">
        <v>37.1</v>
      </c>
    </row>
    <row r="464" spans="1:3">
      <c r="A464" s="173">
        <v>42237.152777777781</v>
      </c>
      <c r="B464">
        <v>20.22</v>
      </c>
      <c r="C464">
        <v>37</v>
      </c>
    </row>
    <row r="465" spans="1:3">
      <c r="A465" s="173">
        <v>42237.15625</v>
      </c>
      <c r="B465">
        <v>20.23</v>
      </c>
      <c r="C465">
        <v>36.9</v>
      </c>
    </row>
    <row r="466" spans="1:3">
      <c r="A466" s="173">
        <v>42237.159722222219</v>
      </c>
      <c r="B466">
        <v>20.22</v>
      </c>
      <c r="C466">
        <v>36.9</v>
      </c>
    </row>
    <row r="467" spans="1:3">
      <c r="A467" s="173">
        <v>42237.163194444445</v>
      </c>
      <c r="B467">
        <v>20.149999999999999</v>
      </c>
      <c r="C467">
        <v>37.03</v>
      </c>
    </row>
    <row r="468" spans="1:3">
      <c r="A468" s="173">
        <v>42237.166666666664</v>
      </c>
      <c r="B468">
        <v>20.170000000000002</v>
      </c>
      <c r="C468">
        <v>36.83</v>
      </c>
    </row>
    <row r="469" spans="1:3">
      <c r="A469" s="173">
        <v>42237.170138888891</v>
      </c>
      <c r="B469">
        <v>20.2</v>
      </c>
      <c r="C469">
        <v>36.83</v>
      </c>
    </row>
    <row r="470" spans="1:3">
      <c r="A470" s="173">
        <v>42237.173611111109</v>
      </c>
      <c r="B470">
        <v>20.18</v>
      </c>
      <c r="C470">
        <v>36.76</v>
      </c>
    </row>
    <row r="471" spans="1:3">
      <c r="A471" s="173">
        <v>42237.177083333336</v>
      </c>
      <c r="B471">
        <v>20.2</v>
      </c>
      <c r="C471">
        <v>36.71</v>
      </c>
    </row>
    <row r="472" spans="1:3">
      <c r="A472" s="173">
        <v>42237.180555555555</v>
      </c>
      <c r="B472">
        <v>20.190000000000001</v>
      </c>
      <c r="C472">
        <v>36.729999999999997</v>
      </c>
    </row>
    <row r="473" spans="1:3">
      <c r="A473" s="173">
        <v>42237.184027777781</v>
      </c>
      <c r="B473">
        <v>20.149999999999999</v>
      </c>
      <c r="C473">
        <v>36.729999999999997</v>
      </c>
    </row>
    <row r="474" spans="1:3">
      <c r="A474" s="173">
        <v>42237.1875</v>
      </c>
      <c r="B474">
        <v>20.22</v>
      </c>
      <c r="C474">
        <v>36.46</v>
      </c>
    </row>
    <row r="475" spans="1:3">
      <c r="A475" s="173">
        <v>42237.190972222219</v>
      </c>
      <c r="B475">
        <v>20.2</v>
      </c>
      <c r="C475">
        <v>36.44</v>
      </c>
    </row>
    <row r="476" spans="1:3">
      <c r="A476" s="173">
        <v>42237.194444444445</v>
      </c>
      <c r="B476">
        <v>20.18</v>
      </c>
      <c r="C476">
        <v>36.46</v>
      </c>
    </row>
    <row r="477" spans="1:3">
      <c r="A477" s="173">
        <v>42237.197916666664</v>
      </c>
      <c r="B477">
        <v>20.190000000000001</v>
      </c>
      <c r="C477">
        <v>36.39</v>
      </c>
    </row>
    <row r="478" spans="1:3">
      <c r="A478" s="173">
        <v>42237.201388888891</v>
      </c>
      <c r="B478">
        <v>20.2</v>
      </c>
      <c r="C478">
        <v>36.39</v>
      </c>
    </row>
    <row r="479" spans="1:3">
      <c r="A479" s="173">
        <v>42237.204861111109</v>
      </c>
      <c r="B479">
        <v>20.170000000000002</v>
      </c>
      <c r="C479">
        <v>36.36</v>
      </c>
    </row>
    <row r="480" spans="1:3">
      <c r="A480" s="173">
        <v>42237.208333333336</v>
      </c>
      <c r="B480">
        <v>20.190000000000001</v>
      </c>
      <c r="C480">
        <v>36.36</v>
      </c>
    </row>
    <row r="481" spans="1:3">
      <c r="A481" s="173">
        <v>42237.211805555555</v>
      </c>
      <c r="B481">
        <v>20.2</v>
      </c>
      <c r="C481">
        <v>36.29</v>
      </c>
    </row>
    <row r="482" spans="1:3">
      <c r="A482" s="173">
        <v>42237.215277777781</v>
      </c>
      <c r="B482">
        <v>20.190000000000001</v>
      </c>
      <c r="C482">
        <v>36.36</v>
      </c>
    </row>
    <row r="483" spans="1:3">
      <c r="A483" s="173">
        <v>42237.21875</v>
      </c>
      <c r="B483">
        <v>20.22</v>
      </c>
      <c r="C483">
        <v>36.29</v>
      </c>
    </row>
    <row r="484" spans="1:3">
      <c r="A484" s="173">
        <v>42237.222222222219</v>
      </c>
      <c r="B484">
        <v>20.25</v>
      </c>
      <c r="C484">
        <v>36.119999999999997</v>
      </c>
    </row>
    <row r="485" spans="1:3">
      <c r="A485" s="173">
        <v>42237.225694444445</v>
      </c>
      <c r="B485">
        <v>20.22</v>
      </c>
      <c r="C485">
        <v>36.31</v>
      </c>
    </row>
    <row r="486" spans="1:3">
      <c r="A486" s="173">
        <v>42237.229166666664</v>
      </c>
      <c r="B486">
        <v>20.190000000000001</v>
      </c>
      <c r="C486">
        <v>36.409999999999997</v>
      </c>
    </row>
    <row r="487" spans="1:3">
      <c r="A487" s="173">
        <v>42237.232638888891</v>
      </c>
      <c r="B487">
        <v>20.190000000000001</v>
      </c>
      <c r="C487">
        <v>36.29</v>
      </c>
    </row>
    <row r="488" spans="1:3">
      <c r="A488" s="173">
        <v>42237.236111111109</v>
      </c>
      <c r="B488">
        <v>20.170000000000002</v>
      </c>
      <c r="C488">
        <v>36.44</v>
      </c>
    </row>
    <row r="489" spans="1:3">
      <c r="A489" s="173">
        <v>42237.239583333336</v>
      </c>
      <c r="B489">
        <v>20.2</v>
      </c>
      <c r="C489">
        <v>36.31</v>
      </c>
    </row>
    <row r="490" spans="1:3">
      <c r="A490" s="173">
        <v>42237.243055555555</v>
      </c>
      <c r="B490">
        <v>20.190000000000001</v>
      </c>
      <c r="C490">
        <v>36.31</v>
      </c>
    </row>
    <row r="491" spans="1:3">
      <c r="A491" s="173">
        <v>42237.246527777781</v>
      </c>
      <c r="B491">
        <v>20.2</v>
      </c>
      <c r="C491">
        <v>36.22</v>
      </c>
    </row>
    <row r="492" spans="1:3">
      <c r="A492" s="173">
        <v>42237.25</v>
      </c>
      <c r="B492">
        <v>20.2</v>
      </c>
      <c r="C492">
        <v>36.29</v>
      </c>
    </row>
    <row r="493" spans="1:3">
      <c r="A493" s="173">
        <v>42237.253472222219</v>
      </c>
      <c r="B493">
        <v>20.11</v>
      </c>
      <c r="C493">
        <v>36.340000000000003</v>
      </c>
    </row>
    <row r="494" spans="1:3">
      <c r="A494" s="173">
        <v>42237.256944444445</v>
      </c>
      <c r="B494">
        <v>20.13</v>
      </c>
      <c r="C494">
        <v>36.36</v>
      </c>
    </row>
    <row r="495" spans="1:3">
      <c r="A495" s="173">
        <v>42237.260416666664</v>
      </c>
      <c r="B495">
        <v>20.170000000000002</v>
      </c>
      <c r="C495">
        <v>36.29</v>
      </c>
    </row>
    <row r="496" spans="1:3">
      <c r="A496" s="173">
        <v>42237.263888888891</v>
      </c>
      <c r="B496">
        <v>20.170000000000002</v>
      </c>
      <c r="C496">
        <v>36.270000000000003</v>
      </c>
    </row>
    <row r="497" spans="1:3">
      <c r="A497" s="173">
        <v>42237.267361111109</v>
      </c>
      <c r="B497">
        <v>20.18</v>
      </c>
      <c r="C497">
        <v>36.31</v>
      </c>
    </row>
    <row r="498" spans="1:3">
      <c r="A498" s="173">
        <v>42237.270833333336</v>
      </c>
      <c r="B498">
        <v>20.2</v>
      </c>
      <c r="C498">
        <v>36.090000000000003</v>
      </c>
    </row>
    <row r="499" spans="1:3">
      <c r="A499" s="173">
        <v>42237.274305555555</v>
      </c>
      <c r="B499">
        <v>20.170000000000002</v>
      </c>
      <c r="C499">
        <v>36.090000000000003</v>
      </c>
    </row>
    <row r="500" spans="1:3">
      <c r="A500" s="173">
        <v>42237.277777777781</v>
      </c>
      <c r="B500">
        <v>20.190000000000001</v>
      </c>
      <c r="C500">
        <v>36.119999999999997</v>
      </c>
    </row>
    <row r="501" spans="1:3">
      <c r="A501" s="173">
        <v>42237.28125</v>
      </c>
      <c r="B501">
        <v>20.22</v>
      </c>
      <c r="C501">
        <v>36.04</v>
      </c>
    </row>
    <row r="502" spans="1:3">
      <c r="A502" s="173">
        <v>42237.284722222219</v>
      </c>
      <c r="B502">
        <v>20.190000000000001</v>
      </c>
      <c r="C502">
        <v>36.090000000000003</v>
      </c>
    </row>
    <row r="503" spans="1:3">
      <c r="A503" s="173">
        <v>42237.288194444445</v>
      </c>
      <c r="B503">
        <v>20.190000000000001</v>
      </c>
      <c r="C503">
        <v>36.090000000000003</v>
      </c>
    </row>
    <row r="504" spans="1:3">
      <c r="A504" s="173">
        <v>42237.291666666664</v>
      </c>
      <c r="B504">
        <v>20.170000000000002</v>
      </c>
      <c r="C504">
        <v>36.090000000000003</v>
      </c>
    </row>
    <row r="505" spans="1:3">
      <c r="A505" s="173">
        <v>42237.295138888891</v>
      </c>
      <c r="B505">
        <v>20.18</v>
      </c>
      <c r="C505">
        <v>36.17</v>
      </c>
    </row>
    <row r="506" spans="1:3">
      <c r="A506" s="173">
        <v>42237.298611111109</v>
      </c>
      <c r="B506">
        <v>20.170000000000002</v>
      </c>
      <c r="C506">
        <v>36.07</v>
      </c>
    </row>
    <row r="507" spans="1:3">
      <c r="A507" s="173">
        <v>42237.302083333336</v>
      </c>
      <c r="B507">
        <v>20.170000000000002</v>
      </c>
      <c r="C507">
        <v>36.090000000000003</v>
      </c>
    </row>
    <row r="508" spans="1:3">
      <c r="A508" s="173">
        <v>42237.305555555555</v>
      </c>
      <c r="B508">
        <v>20.2</v>
      </c>
      <c r="C508">
        <v>35.97</v>
      </c>
    </row>
    <row r="509" spans="1:3">
      <c r="A509" s="173">
        <v>42237.309027777781</v>
      </c>
      <c r="B509">
        <v>20.190000000000001</v>
      </c>
      <c r="C509">
        <v>35.950000000000003</v>
      </c>
    </row>
    <row r="510" spans="1:3">
      <c r="A510" s="173">
        <v>42237.3125</v>
      </c>
      <c r="B510">
        <v>20.2</v>
      </c>
      <c r="C510">
        <v>35.92</v>
      </c>
    </row>
    <row r="511" spans="1:3">
      <c r="A511" s="173">
        <v>42237.315972222219</v>
      </c>
      <c r="B511">
        <v>20.149999999999999</v>
      </c>
      <c r="C511">
        <v>35.950000000000003</v>
      </c>
    </row>
    <row r="512" spans="1:3">
      <c r="A512" s="173">
        <v>42237.319444444445</v>
      </c>
      <c r="B512">
        <v>20.2</v>
      </c>
      <c r="C512">
        <v>35.82</v>
      </c>
    </row>
    <row r="513" spans="1:3">
      <c r="A513" s="173">
        <v>42237.322916666664</v>
      </c>
      <c r="B513">
        <v>20.18</v>
      </c>
      <c r="C513">
        <v>35.799999999999997</v>
      </c>
    </row>
    <row r="514" spans="1:3">
      <c r="A514" s="173">
        <v>42237.326388888891</v>
      </c>
      <c r="B514">
        <v>20.23</v>
      </c>
      <c r="C514">
        <v>35.75</v>
      </c>
    </row>
    <row r="515" spans="1:3">
      <c r="A515" s="173">
        <v>42237.329861111109</v>
      </c>
      <c r="B515">
        <v>20.239999999999998</v>
      </c>
      <c r="C515">
        <v>35.68</v>
      </c>
    </row>
    <row r="516" spans="1:3">
      <c r="A516" s="173">
        <v>42237.333333333336</v>
      </c>
      <c r="B516">
        <v>20.190000000000001</v>
      </c>
      <c r="C516">
        <v>35.729999999999997</v>
      </c>
    </row>
    <row r="517" spans="1:3">
      <c r="A517" s="173">
        <v>42237.336805555555</v>
      </c>
      <c r="B517">
        <v>20.190000000000001</v>
      </c>
      <c r="C517">
        <v>35.700000000000003</v>
      </c>
    </row>
    <row r="518" spans="1:3">
      <c r="A518" s="173">
        <v>42237.340277777781</v>
      </c>
      <c r="B518">
        <v>20.22</v>
      </c>
      <c r="C518">
        <v>35.58</v>
      </c>
    </row>
    <row r="519" spans="1:3">
      <c r="A519" s="173">
        <v>42237.34375</v>
      </c>
      <c r="B519">
        <v>20.18</v>
      </c>
      <c r="C519">
        <v>35.799999999999997</v>
      </c>
    </row>
    <row r="520" spans="1:3">
      <c r="A520" s="173">
        <v>42237.347222222219</v>
      </c>
      <c r="B520">
        <v>20.14</v>
      </c>
      <c r="C520">
        <v>35.729999999999997</v>
      </c>
    </row>
    <row r="521" spans="1:3">
      <c r="A521" s="173">
        <v>42237.350694444445</v>
      </c>
      <c r="B521">
        <v>20.190000000000001</v>
      </c>
      <c r="C521">
        <v>35.6</v>
      </c>
    </row>
    <row r="522" spans="1:3">
      <c r="A522" s="173">
        <v>42237.354166666664</v>
      </c>
      <c r="B522">
        <v>20.18</v>
      </c>
      <c r="C522">
        <v>35.630000000000003</v>
      </c>
    </row>
    <row r="523" spans="1:3">
      <c r="A523" s="173">
        <v>42237.357638888891</v>
      </c>
      <c r="B523">
        <v>20.190000000000001</v>
      </c>
      <c r="C523">
        <v>35.68</v>
      </c>
    </row>
    <row r="524" spans="1:3">
      <c r="A524" s="173">
        <v>42237.361111111109</v>
      </c>
      <c r="B524">
        <v>20.23</v>
      </c>
      <c r="C524">
        <v>35.5</v>
      </c>
    </row>
    <row r="525" spans="1:3">
      <c r="A525" s="173">
        <v>42237.364583333336</v>
      </c>
      <c r="B525">
        <v>20.2</v>
      </c>
      <c r="C525">
        <v>35.58</v>
      </c>
    </row>
    <row r="526" spans="1:3">
      <c r="A526" s="173">
        <v>42237.368055555555</v>
      </c>
      <c r="B526">
        <v>20.2</v>
      </c>
      <c r="C526">
        <v>35.630000000000003</v>
      </c>
    </row>
    <row r="527" spans="1:3">
      <c r="A527" s="173">
        <v>42237.371527777781</v>
      </c>
      <c r="B527">
        <v>20.190000000000001</v>
      </c>
      <c r="C527">
        <v>35.479999999999997</v>
      </c>
    </row>
    <row r="528" spans="1:3">
      <c r="A528" s="173">
        <v>42237.375</v>
      </c>
      <c r="B528">
        <v>20.2</v>
      </c>
      <c r="C528">
        <v>35.5</v>
      </c>
    </row>
    <row r="529" spans="1:3">
      <c r="A529" s="173">
        <v>42237.378472222219</v>
      </c>
      <c r="B529">
        <v>20.190000000000001</v>
      </c>
      <c r="C529">
        <v>35.58</v>
      </c>
    </row>
    <row r="530" spans="1:3">
      <c r="A530" s="173">
        <v>42237.381944444445</v>
      </c>
      <c r="B530">
        <v>20.149999999999999</v>
      </c>
      <c r="C530">
        <v>35.65</v>
      </c>
    </row>
    <row r="531" spans="1:3">
      <c r="A531" s="173">
        <v>42237.385416666664</v>
      </c>
      <c r="B531">
        <v>20.149999999999999</v>
      </c>
      <c r="C531">
        <v>35.68</v>
      </c>
    </row>
    <row r="532" spans="1:3">
      <c r="A532" s="173">
        <v>42237.388888888891</v>
      </c>
      <c r="B532">
        <v>20.149999999999999</v>
      </c>
      <c r="C532">
        <v>35.85</v>
      </c>
    </row>
    <row r="533" spans="1:3">
      <c r="A533" s="173">
        <v>42237.392361111109</v>
      </c>
      <c r="B533">
        <v>20.2</v>
      </c>
      <c r="C533">
        <v>35.75</v>
      </c>
    </row>
    <row r="534" spans="1:3">
      <c r="A534" s="173">
        <v>42237.395833333336</v>
      </c>
      <c r="B534">
        <v>20.18</v>
      </c>
      <c r="C534">
        <v>35.68</v>
      </c>
    </row>
    <row r="535" spans="1:3">
      <c r="A535" s="173">
        <v>42237.399305555555</v>
      </c>
      <c r="B535">
        <v>20.190000000000001</v>
      </c>
      <c r="C535">
        <v>35.700000000000003</v>
      </c>
    </row>
    <row r="536" spans="1:3">
      <c r="A536" s="173">
        <v>42237.402777777781</v>
      </c>
      <c r="B536">
        <v>20.190000000000001</v>
      </c>
      <c r="C536">
        <v>35.53</v>
      </c>
    </row>
    <row r="537" spans="1:3">
      <c r="A537" s="173">
        <v>42237.40625</v>
      </c>
      <c r="B537">
        <v>20.18</v>
      </c>
      <c r="C537">
        <v>35.770000000000003</v>
      </c>
    </row>
    <row r="538" spans="1:3">
      <c r="A538" s="173">
        <v>42237.409722222219</v>
      </c>
      <c r="B538">
        <v>20.170000000000002</v>
      </c>
      <c r="C538">
        <v>35.799999999999997</v>
      </c>
    </row>
    <row r="539" spans="1:3">
      <c r="A539" s="173">
        <v>42237.413194444445</v>
      </c>
      <c r="B539">
        <v>20.190000000000001</v>
      </c>
      <c r="C539">
        <v>35.9</v>
      </c>
    </row>
    <row r="540" spans="1:3">
      <c r="A540" s="173">
        <v>42237.416666666664</v>
      </c>
      <c r="B540">
        <v>20.149999999999999</v>
      </c>
      <c r="C540">
        <v>35.82</v>
      </c>
    </row>
    <row r="541" spans="1:3">
      <c r="A541" s="173">
        <v>42237.420138888891</v>
      </c>
      <c r="B541">
        <v>20.18</v>
      </c>
      <c r="C541">
        <v>35.97</v>
      </c>
    </row>
    <row r="542" spans="1:3">
      <c r="A542" s="173">
        <v>42237.423611111109</v>
      </c>
      <c r="B542">
        <v>20.170000000000002</v>
      </c>
      <c r="C542">
        <v>36</v>
      </c>
    </row>
    <row r="543" spans="1:3">
      <c r="A543" s="173">
        <v>42237.427083333336</v>
      </c>
      <c r="B543">
        <v>20.18</v>
      </c>
      <c r="C543">
        <v>35.950000000000003</v>
      </c>
    </row>
    <row r="544" spans="1:3">
      <c r="A544" s="173">
        <v>42237.430555555555</v>
      </c>
      <c r="B544">
        <v>20.149999999999999</v>
      </c>
      <c r="C544">
        <v>36.04</v>
      </c>
    </row>
    <row r="545" spans="1:3">
      <c r="A545" s="173">
        <v>42237.434027777781</v>
      </c>
      <c r="B545">
        <v>20.09</v>
      </c>
      <c r="C545">
        <v>36.020000000000003</v>
      </c>
    </row>
    <row r="546" spans="1:3">
      <c r="A546" s="173">
        <v>42237.4375</v>
      </c>
      <c r="B546">
        <v>20.13</v>
      </c>
      <c r="C546">
        <v>36.119999999999997</v>
      </c>
    </row>
    <row r="547" spans="1:3">
      <c r="A547" s="173">
        <v>42237.440972222219</v>
      </c>
      <c r="B547">
        <v>20.149999999999999</v>
      </c>
      <c r="C547">
        <v>35.950000000000003</v>
      </c>
    </row>
    <row r="548" spans="1:3">
      <c r="A548" s="173">
        <v>42237.444444444445</v>
      </c>
      <c r="B548">
        <v>20.149999999999999</v>
      </c>
      <c r="C548">
        <v>36.04</v>
      </c>
    </row>
    <row r="549" spans="1:3">
      <c r="A549" s="173">
        <v>42237.447916666664</v>
      </c>
      <c r="B549">
        <v>20.2</v>
      </c>
      <c r="C549">
        <v>36.090000000000003</v>
      </c>
    </row>
    <row r="550" spans="1:3">
      <c r="A550" s="173">
        <v>42237.451388888891</v>
      </c>
      <c r="B550">
        <v>20.14</v>
      </c>
      <c r="C550">
        <v>36.119999999999997</v>
      </c>
    </row>
    <row r="551" spans="1:3">
      <c r="A551" s="173">
        <v>42237.454861111109</v>
      </c>
      <c r="B551">
        <v>20.12</v>
      </c>
      <c r="C551">
        <v>36.39</v>
      </c>
    </row>
    <row r="552" spans="1:3">
      <c r="A552" s="173">
        <v>42237.458333333336</v>
      </c>
      <c r="B552">
        <v>20.09</v>
      </c>
      <c r="C552">
        <v>36.409999999999997</v>
      </c>
    </row>
    <row r="553" spans="1:3">
      <c r="A553" s="173">
        <v>42237.461805555555</v>
      </c>
      <c r="B553">
        <v>20.12</v>
      </c>
      <c r="C553">
        <v>36.54</v>
      </c>
    </row>
    <row r="554" spans="1:3">
      <c r="A554" s="173">
        <v>42237.465277777781</v>
      </c>
      <c r="B554">
        <v>20.12</v>
      </c>
      <c r="C554">
        <v>36.71</v>
      </c>
    </row>
    <row r="555" spans="1:3">
      <c r="A555" s="173">
        <v>42237.46875</v>
      </c>
      <c r="B555">
        <v>20.11</v>
      </c>
      <c r="C555">
        <v>36.880000000000003</v>
      </c>
    </row>
    <row r="556" spans="1:3">
      <c r="A556" s="173">
        <v>42237.472222222219</v>
      </c>
      <c r="B556">
        <v>20.11</v>
      </c>
      <c r="C556">
        <v>36.9</v>
      </c>
    </row>
    <row r="557" spans="1:3">
      <c r="A557" s="173">
        <v>42237.475694444445</v>
      </c>
      <c r="B557">
        <v>20.12</v>
      </c>
      <c r="C557">
        <v>37.119999999999997</v>
      </c>
    </row>
    <row r="558" spans="1:3">
      <c r="A558" s="173">
        <v>42237.479166666664</v>
      </c>
      <c r="B558">
        <v>20.190000000000001</v>
      </c>
      <c r="C558">
        <v>37.1</v>
      </c>
    </row>
    <row r="559" spans="1:3">
      <c r="A559" s="173">
        <v>42237.482638888891</v>
      </c>
      <c r="B559">
        <v>20.12</v>
      </c>
      <c r="C559">
        <v>37.200000000000003</v>
      </c>
    </row>
    <row r="560" spans="1:3">
      <c r="A560" s="173">
        <v>42237.486111111109</v>
      </c>
      <c r="B560">
        <v>20.12</v>
      </c>
      <c r="C560">
        <v>37.299999999999997</v>
      </c>
    </row>
    <row r="561" spans="1:3">
      <c r="A561" s="173">
        <v>42237.489583333336</v>
      </c>
      <c r="B561">
        <v>20.11</v>
      </c>
      <c r="C561">
        <v>37.42</v>
      </c>
    </row>
    <row r="562" spans="1:3">
      <c r="A562" s="173">
        <v>42237.493055555555</v>
      </c>
      <c r="B562">
        <v>20.13</v>
      </c>
      <c r="C562">
        <v>37.57</v>
      </c>
    </row>
    <row r="563" spans="1:3">
      <c r="A563" s="173">
        <v>42237.496527777781</v>
      </c>
      <c r="B563">
        <v>20.170000000000002</v>
      </c>
      <c r="C563">
        <v>37.49</v>
      </c>
    </row>
    <row r="564" spans="1:3">
      <c r="A564" s="173">
        <v>42237.5</v>
      </c>
      <c r="B564">
        <v>20.079999999999998</v>
      </c>
      <c r="C564">
        <v>37.76</v>
      </c>
    </row>
    <row r="565" spans="1:3">
      <c r="A565" s="173">
        <v>42237.503472222219</v>
      </c>
      <c r="B565">
        <v>20.12</v>
      </c>
      <c r="C565">
        <v>37.86</v>
      </c>
    </row>
    <row r="566" spans="1:3">
      <c r="A566" s="173">
        <v>42237.506944444445</v>
      </c>
      <c r="B566">
        <v>20.13</v>
      </c>
      <c r="C566">
        <v>37.880000000000003</v>
      </c>
    </row>
    <row r="567" spans="1:3">
      <c r="A567" s="173">
        <v>42237.510416666664</v>
      </c>
      <c r="B567">
        <v>20.13</v>
      </c>
      <c r="C567">
        <v>37.909999999999997</v>
      </c>
    </row>
    <row r="568" spans="1:3">
      <c r="A568" s="173">
        <v>42237.513888888891</v>
      </c>
      <c r="B568">
        <v>20.11</v>
      </c>
      <c r="C568">
        <v>38.03</v>
      </c>
    </row>
    <row r="569" spans="1:3">
      <c r="A569" s="173">
        <v>42237.517361111109</v>
      </c>
      <c r="B569">
        <v>20.14</v>
      </c>
      <c r="C569">
        <v>38.06</v>
      </c>
    </row>
    <row r="570" spans="1:3">
      <c r="A570" s="173">
        <v>42237.520833333336</v>
      </c>
      <c r="B570">
        <v>20.09</v>
      </c>
      <c r="C570">
        <v>38.200000000000003</v>
      </c>
    </row>
    <row r="571" spans="1:3">
      <c r="A571" s="173">
        <v>42237.524305555555</v>
      </c>
      <c r="B571">
        <v>20.11</v>
      </c>
      <c r="C571">
        <v>38.299999999999997</v>
      </c>
    </row>
    <row r="572" spans="1:3">
      <c r="A572" s="173">
        <v>42237.527777777781</v>
      </c>
      <c r="B572">
        <v>20.079999999999998</v>
      </c>
      <c r="C572">
        <v>38.380000000000003</v>
      </c>
    </row>
    <row r="573" spans="1:3">
      <c r="A573" s="173">
        <v>42237.53125</v>
      </c>
      <c r="B573">
        <v>20.12</v>
      </c>
      <c r="C573">
        <v>38.47</v>
      </c>
    </row>
    <row r="574" spans="1:3">
      <c r="A574" s="173">
        <v>42237.534722222219</v>
      </c>
      <c r="B574">
        <v>20.079999999999998</v>
      </c>
      <c r="C574">
        <v>38.549999999999997</v>
      </c>
    </row>
    <row r="575" spans="1:3">
      <c r="A575" s="173">
        <v>42237.538194444445</v>
      </c>
      <c r="B575">
        <v>20.059999999999999</v>
      </c>
      <c r="C575">
        <v>38.57</v>
      </c>
    </row>
    <row r="576" spans="1:3">
      <c r="A576" s="173">
        <v>42237.541666666664</v>
      </c>
      <c r="B576">
        <v>20.07</v>
      </c>
      <c r="C576">
        <v>38.67</v>
      </c>
    </row>
    <row r="577" spans="1:1">
      <c r="A577" s="173"/>
    </row>
    <row r="578" spans="1:1">
      <c r="A578" s="173"/>
    </row>
    <row r="579" spans="1:1">
      <c r="A579" s="173"/>
    </row>
    <row r="580" spans="1:1">
      <c r="A580" s="173"/>
    </row>
    <row r="581" spans="1:1">
      <c r="A581" s="173"/>
    </row>
    <row r="582" spans="1:1">
      <c r="A582" s="173"/>
    </row>
    <row r="583" spans="1:1">
      <c r="A583" s="173"/>
    </row>
    <row r="584" spans="1:1">
      <c r="A584" s="173"/>
    </row>
    <row r="585" spans="1:1">
      <c r="A585" s="173"/>
    </row>
    <row r="586" spans="1:1">
      <c r="A586" s="173"/>
    </row>
    <row r="587" spans="1:1">
      <c r="A587" s="173"/>
    </row>
    <row r="588" spans="1:1">
      <c r="A588" s="173"/>
    </row>
    <row r="589" spans="1:1">
      <c r="A589" s="173"/>
    </row>
    <row r="590" spans="1:1">
      <c r="A590" s="173"/>
    </row>
    <row r="591" spans="1:1">
      <c r="A591" s="173"/>
    </row>
    <row r="592" spans="1:1">
      <c r="A592" s="173"/>
    </row>
    <row r="593" spans="1:1">
      <c r="A593" s="173"/>
    </row>
    <row r="594" spans="1:1">
      <c r="A594" s="173"/>
    </row>
    <row r="595" spans="1:1">
      <c r="A595" s="173"/>
    </row>
    <row r="596" spans="1:1">
      <c r="A596" s="173"/>
    </row>
    <row r="597" spans="1:1">
      <c r="A597" s="173"/>
    </row>
    <row r="598" spans="1:1">
      <c r="A598" s="173"/>
    </row>
    <row r="599" spans="1:1">
      <c r="A599" s="173"/>
    </row>
    <row r="600" spans="1:1">
      <c r="A600" s="173"/>
    </row>
    <row r="601" spans="1:1">
      <c r="A601" s="173"/>
    </row>
    <row r="602" spans="1:1">
      <c r="A602" s="173"/>
    </row>
    <row r="603" spans="1:1">
      <c r="A603" s="173"/>
    </row>
    <row r="604" spans="1:1">
      <c r="A604" s="173"/>
    </row>
    <row r="605" spans="1:1">
      <c r="A605" s="173"/>
    </row>
    <row r="606" spans="1:1">
      <c r="A606" s="173"/>
    </row>
    <row r="607" spans="1:1">
      <c r="A607" s="173"/>
    </row>
    <row r="608" spans="1:1">
      <c r="A608" s="173"/>
    </row>
    <row r="609" spans="1:1">
      <c r="A609" s="173"/>
    </row>
    <row r="610" spans="1:1">
      <c r="A610" s="173"/>
    </row>
    <row r="611" spans="1:1">
      <c r="A611" s="173"/>
    </row>
    <row r="612" spans="1:1">
      <c r="A612" s="173"/>
    </row>
    <row r="613" spans="1:1">
      <c r="A613" s="173"/>
    </row>
    <row r="614" spans="1:1">
      <c r="A614" s="173"/>
    </row>
    <row r="615" spans="1:1">
      <c r="A615" s="173"/>
    </row>
    <row r="616" spans="1:1">
      <c r="A616" s="173"/>
    </row>
    <row r="617" spans="1:1">
      <c r="A617" s="173"/>
    </row>
    <row r="618" spans="1:1">
      <c r="A618" s="173"/>
    </row>
    <row r="619" spans="1:1">
      <c r="A619" s="173"/>
    </row>
    <row r="620" spans="1:1">
      <c r="A620" s="173"/>
    </row>
    <row r="621" spans="1:1">
      <c r="A621" s="173"/>
    </row>
    <row r="622" spans="1:1">
      <c r="A622" s="173"/>
    </row>
    <row r="623" spans="1:1">
      <c r="A623" s="173"/>
    </row>
    <row r="624" spans="1:1">
      <c r="A624" s="173"/>
    </row>
    <row r="625" spans="1:1">
      <c r="A625" s="173"/>
    </row>
    <row r="626" spans="1:1">
      <c r="A626" s="173"/>
    </row>
    <row r="627" spans="1:1">
      <c r="A627" s="173"/>
    </row>
    <row r="628" spans="1:1">
      <c r="A628" s="173"/>
    </row>
    <row r="629" spans="1:1">
      <c r="A629" s="173"/>
    </row>
    <row r="630" spans="1:1">
      <c r="A630" s="173"/>
    </row>
    <row r="631" spans="1:1">
      <c r="A631" s="173"/>
    </row>
    <row r="632" spans="1:1">
      <c r="A632" s="173"/>
    </row>
    <row r="633" spans="1:1">
      <c r="A633" s="173"/>
    </row>
    <row r="634" spans="1:1">
      <c r="A634" s="173"/>
    </row>
    <row r="635" spans="1:1">
      <c r="A635" s="173"/>
    </row>
    <row r="636" spans="1:1">
      <c r="A636" s="173"/>
    </row>
    <row r="637" spans="1:1">
      <c r="A637" s="173"/>
    </row>
    <row r="638" spans="1:1">
      <c r="A638" s="173"/>
    </row>
    <row r="639" spans="1:1">
      <c r="A639" s="173"/>
    </row>
    <row r="640" spans="1:1">
      <c r="A640" s="173"/>
    </row>
    <row r="641" spans="1:1">
      <c r="A641" s="173"/>
    </row>
    <row r="642" spans="1:1">
      <c r="A642" s="173"/>
    </row>
    <row r="643" spans="1:1">
      <c r="A643" s="173"/>
    </row>
    <row r="644" spans="1:1">
      <c r="A644" s="173"/>
    </row>
    <row r="645" spans="1:1">
      <c r="A645" s="173"/>
    </row>
    <row r="646" spans="1:1">
      <c r="A646" s="173"/>
    </row>
    <row r="647" spans="1:1">
      <c r="A647" s="173"/>
    </row>
    <row r="648" spans="1:1">
      <c r="A648" s="173"/>
    </row>
    <row r="649" spans="1:1">
      <c r="A649" s="173"/>
    </row>
    <row r="650" spans="1:1">
      <c r="A650" s="173"/>
    </row>
    <row r="651" spans="1:1">
      <c r="A651" s="173"/>
    </row>
    <row r="652" spans="1:1">
      <c r="A652" s="173"/>
    </row>
    <row r="653" spans="1:1">
      <c r="A653" s="173"/>
    </row>
    <row r="654" spans="1:1">
      <c r="A654" s="173"/>
    </row>
    <row r="655" spans="1:1">
      <c r="A655" s="173"/>
    </row>
    <row r="656" spans="1:1">
      <c r="A656" s="173"/>
    </row>
    <row r="657" spans="1:1">
      <c r="A657" s="173"/>
    </row>
    <row r="658" spans="1:1">
      <c r="A658" s="173"/>
    </row>
    <row r="659" spans="1:1">
      <c r="A659" s="173"/>
    </row>
    <row r="660" spans="1:1">
      <c r="A660" s="173"/>
    </row>
    <row r="661" spans="1:1">
      <c r="A661" s="173"/>
    </row>
    <row r="662" spans="1:1">
      <c r="A662" s="173"/>
    </row>
    <row r="663" spans="1:1">
      <c r="A663" s="173"/>
    </row>
    <row r="664" spans="1:1">
      <c r="A664" s="173"/>
    </row>
    <row r="665" spans="1:1">
      <c r="A665" s="173"/>
    </row>
    <row r="666" spans="1:1">
      <c r="A666" s="173"/>
    </row>
    <row r="667" spans="1:1">
      <c r="A667" s="173"/>
    </row>
    <row r="668" spans="1:1">
      <c r="A668" s="173"/>
    </row>
    <row r="669" spans="1:1">
      <c r="A669" s="173"/>
    </row>
    <row r="670" spans="1:1">
      <c r="A670" s="173"/>
    </row>
    <row r="671" spans="1:1">
      <c r="A671" s="173"/>
    </row>
    <row r="672" spans="1:1">
      <c r="A672" s="173"/>
    </row>
    <row r="673" spans="1:1">
      <c r="A673" s="173"/>
    </row>
    <row r="674" spans="1:1">
      <c r="A674" s="173"/>
    </row>
    <row r="675" spans="1:1">
      <c r="A675" s="173"/>
    </row>
    <row r="676" spans="1:1">
      <c r="A676" s="173"/>
    </row>
    <row r="677" spans="1:1">
      <c r="A677" s="173"/>
    </row>
    <row r="678" spans="1:1">
      <c r="A678" s="173"/>
    </row>
    <row r="679" spans="1:1">
      <c r="A679" s="173"/>
    </row>
    <row r="680" spans="1:1">
      <c r="A680" s="173"/>
    </row>
    <row r="681" spans="1:1">
      <c r="A681" s="173"/>
    </row>
    <row r="682" spans="1:1">
      <c r="A682" s="173"/>
    </row>
    <row r="683" spans="1:1">
      <c r="A683" s="173"/>
    </row>
    <row r="684" spans="1:1">
      <c r="A684" s="173"/>
    </row>
    <row r="685" spans="1:1">
      <c r="A685" s="173"/>
    </row>
    <row r="686" spans="1:1">
      <c r="A686" s="173"/>
    </row>
    <row r="687" spans="1:1">
      <c r="A687" s="173"/>
    </row>
    <row r="688" spans="1:1">
      <c r="A688" s="173"/>
    </row>
    <row r="689" spans="1:1">
      <c r="A689" s="173"/>
    </row>
    <row r="690" spans="1:1">
      <c r="A690" s="173"/>
    </row>
    <row r="691" spans="1:1">
      <c r="A691" s="173"/>
    </row>
    <row r="692" spans="1:1">
      <c r="A692" s="173"/>
    </row>
    <row r="693" spans="1:1">
      <c r="A693" s="173"/>
    </row>
    <row r="694" spans="1:1">
      <c r="A694" s="173"/>
    </row>
    <row r="695" spans="1:1">
      <c r="A695" s="173"/>
    </row>
    <row r="696" spans="1:1">
      <c r="A696" s="173"/>
    </row>
    <row r="697" spans="1:1">
      <c r="A697" s="173"/>
    </row>
    <row r="698" spans="1:1">
      <c r="A698" s="173"/>
    </row>
    <row r="699" spans="1:1">
      <c r="A699" s="173"/>
    </row>
    <row r="700" spans="1:1">
      <c r="A700" s="173"/>
    </row>
    <row r="701" spans="1:1">
      <c r="A701" s="173"/>
    </row>
    <row r="702" spans="1:1">
      <c r="A702" s="173"/>
    </row>
    <row r="703" spans="1:1">
      <c r="A703" s="173"/>
    </row>
    <row r="704" spans="1:1">
      <c r="A704" s="173"/>
    </row>
    <row r="705" spans="1:1">
      <c r="A705" s="173"/>
    </row>
    <row r="706" spans="1:1">
      <c r="A706" s="173"/>
    </row>
    <row r="707" spans="1:1">
      <c r="A707" s="173"/>
    </row>
    <row r="708" spans="1:1">
      <c r="A708" s="173"/>
    </row>
    <row r="709" spans="1:1">
      <c r="A709" s="173"/>
    </row>
    <row r="710" spans="1:1">
      <c r="A710" s="173"/>
    </row>
    <row r="711" spans="1:1">
      <c r="A711" s="173"/>
    </row>
    <row r="712" spans="1:1">
      <c r="A712" s="173"/>
    </row>
    <row r="713" spans="1:1">
      <c r="A713" s="173"/>
    </row>
    <row r="714" spans="1:1">
      <c r="A714" s="173"/>
    </row>
    <row r="715" spans="1:1">
      <c r="A715" s="173"/>
    </row>
    <row r="716" spans="1:1">
      <c r="A716" s="173"/>
    </row>
    <row r="717" spans="1:1">
      <c r="A717" s="173"/>
    </row>
    <row r="718" spans="1:1">
      <c r="A718" s="173"/>
    </row>
    <row r="719" spans="1:1">
      <c r="A719" s="173"/>
    </row>
    <row r="720" spans="1:1">
      <c r="A720" s="173"/>
    </row>
    <row r="721" spans="1:1">
      <c r="A721" s="173"/>
    </row>
    <row r="722" spans="1:1">
      <c r="A722" s="173"/>
    </row>
    <row r="723" spans="1:1">
      <c r="A723" s="173"/>
    </row>
    <row r="724" spans="1:1">
      <c r="A724" s="173"/>
    </row>
    <row r="725" spans="1:1">
      <c r="A725" s="173"/>
    </row>
    <row r="726" spans="1:1">
      <c r="A726" s="173"/>
    </row>
    <row r="727" spans="1:1">
      <c r="A727" s="173"/>
    </row>
    <row r="728" spans="1:1">
      <c r="A728" s="173"/>
    </row>
    <row r="729" spans="1:1">
      <c r="A729" s="173"/>
    </row>
    <row r="730" spans="1:1">
      <c r="A730" s="173"/>
    </row>
    <row r="731" spans="1:1">
      <c r="A731" s="173"/>
    </row>
    <row r="732" spans="1:1">
      <c r="A732" s="173"/>
    </row>
    <row r="733" spans="1:1">
      <c r="A733" s="173"/>
    </row>
    <row r="734" spans="1:1">
      <c r="A734" s="173"/>
    </row>
    <row r="735" spans="1:1">
      <c r="A735" s="173"/>
    </row>
    <row r="736" spans="1:1">
      <c r="A736" s="173"/>
    </row>
    <row r="737" spans="1:1">
      <c r="A737" s="173"/>
    </row>
    <row r="738" spans="1:1">
      <c r="A738" s="173"/>
    </row>
    <row r="739" spans="1:1">
      <c r="A739" s="173"/>
    </row>
    <row r="740" spans="1:1">
      <c r="A740" s="173"/>
    </row>
    <row r="741" spans="1:1">
      <c r="A741" s="173"/>
    </row>
    <row r="742" spans="1:1">
      <c r="A742" s="173"/>
    </row>
    <row r="743" spans="1:1">
      <c r="A743" s="173"/>
    </row>
    <row r="744" spans="1:1">
      <c r="A744" s="173"/>
    </row>
    <row r="745" spans="1:1">
      <c r="A745" s="173"/>
    </row>
    <row r="746" spans="1:1">
      <c r="A746" s="173"/>
    </row>
    <row r="747" spans="1:1">
      <c r="A747" s="173"/>
    </row>
    <row r="748" spans="1:1">
      <c r="A748" s="173"/>
    </row>
    <row r="749" spans="1:1">
      <c r="A749" s="173"/>
    </row>
    <row r="750" spans="1:1">
      <c r="A750" s="173"/>
    </row>
    <row r="751" spans="1:1">
      <c r="A751" s="173"/>
    </row>
    <row r="752" spans="1:1">
      <c r="A752" s="173"/>
    </row>
    <row r="753" spans="1:1">
      <c r="A753" s="173"/>
    </row>
    <row r="754" spans="1:1">
      <c r="A754" s="173"/>
    </row>
    <row r="755" spans="1:1">
      <c r="A755" s="173"/>
    </row>
    <row r="756" spans="1:1">
      <c r="A756" s="173"/>
    </row>
    <row r="757" spans="1:1">
      <c r="A757" s="173"/>
    </row>
    <row r="758" spans="1:1">
      <c r="A758" s="173"/>
    </row>
    <row r="759" spans="1:1">
      <c r="A759" s="173"/>
    </row>
    <row r="760" spans="1:1">
      <c r="A760" s="173"/>
    </row>
    <row r="761" spans="1:1">
      <c r="A761" s="173"/>
    </row>
    <row r="762" spans="1:1">
      <c r="A762" s="173"/>
    </row>
    <row r="763" spans="1:1">
      <c r="A763" s="173"/>
    </row>
    <row r="764" spans="1:1">
      <c r="A764" s="173"/>
    </row>
    <row r="765" spans="1:1">
      <c r="A765" s="173"/>
    </row>
    <row r="766" spans="1:1">
      <c r="A766" s="173"/>
    </row>
    <row r="767" spans="1:1">
      <c r="A767" s="173"/>
    </row>
    <row r="768" spans="1:1">
      <c r="A768" s="173"/>
    </row>
    <row r="769" spans="1:1">
      <c r="A769" s="173"/>
    </row>
    <row r="770" spans="1:1">
      <c r="A770" s="173"/>
    </row>
    <row r="771" spans="1:1">
      <c r="A771" s="173"/>
    </row>
    <row r="772" spans="1:1">
      <c r="A772" s="173"/>
    </row>
    <row r="773" spans="1:1">
      <c r="A773" s="173"/>
    </row>
    <row r="774" spans="1:1">
      <c r="A774" s="173"/>
    </row>
    <row r="775" spans="1:1">
      <c r="A775" s="173"/>
    </row>
    <row r="776" spans="1:1">
      <c r="A776" s="173"/>
    </row>
    <row r="777" spans="1:1">
      <c r="A777" s="173"/>
    </row>
    <row r="778" spans="1:1">
      <c r="A778" s="173"/>
    </row>
    <row r="779" spans="1:1">
      <c r="A779" s="173"/>
    </row>
    <row r="780" spans="1:1">
      <c r="A780" s="173"/>
    </row>
    <row r="781" spans="1:1">
      <c r="A781" s="173"/>
    </row>
    <row r="782" spans="1:1">
      <c r="A782" s="173"/>
    </row>
    <row r="783" spans="1:1">
      <c r="A783" s="173"/>
    </row>
    <row r="784" spans="1:1">
      <c r="A784" s="173"/>
    </row>
    <row r="785" spans="1:1">
      <c r="A785" s="173"/>
    </row>
    <row r="786" spans="1:1">
      <c r="A786" s="173"/>
    </row>
    <row r="787" spans="1:1">
      <c r="A787" s="173"/>
    </row>
    <row r="788" spans="1:1">
      <c r="A788" s="173"/>
    </row>
    <row r="789" spans="1:1">
      <c r="A789" s="173"/>
    </row>
    <row r="790" spans="1:1">
      <c r="A790" s="173"/>
    </row>
    <row r="791" spans="1:1">
      <c r="A791" s="173"/>
    </row>
    <row r="792" spans="1:1">
      <c r="A792" s="173"/>
    </row>
    <row r="793" spans="1:1">
      <c r="A793" s="173"/>
    </row>
    <row r="794" spans="1:1">
      <c r="A794" s="173"/>
    </row>
    <row r="795" spans="1:1">
      <c r="A795" s="173"/>
    </row>
    <row r="796" spans="1:1">
      <c r="A796" s="173"/>
    </row>
    <row r="797" spans="1:1">
      <c r="A797" s="173"/>
    </row>
    <row r="798" spans="1:1">
      <c r="A798" s="173"/>
    </row>
    <row r="799" spans="1:1">
      <c r="A799" s="173"/>
    </row>
    <row r="800" spans="1:1">
      <c r="A800" s="173"/>
    </row>
    <row r="801" spans="1:1">
      <c r="A801" s="173"/>
    </row>
    <row r="802" spans="1:1">
      <c r="A802" s="173"/>
    </row>
    <row r="803" spans="1:1">
      <c r="A803" s="173"/>
    </row>
    <row r="804" spans="1:1">
      <c r="A804" s="173"/>
    </row>
    <row r="805" spans="1:1">
      <c r="A805" s="173"/>
    </row>
    <row r="806" spans="1:1">
      <c r="A806" s="173"/>
    </row>
    <row r="807" spans="1:1">
      <c r="A807" s="173"/>
    </row>
    <row r="808" spans="1:1">
      <c r="A808" s="173"/>
    </row>
    <row r="809" spans="1:1">
      <c r="A809" s="173"/>
    </row>
    <row r="810" spans="1:1">
      <c r="A810" s="173"/>
    </row>
    <row r="811" spans="1:1">
      <c r="A811" s="173"/>
    </row>
    <row r="812" spans="1:1">
      <c r="A812" s="173"/>
    </row>
    <row r="813" spans="1:1">
      <c r="A813" s="173"/>
    </row>
    <row r="814" spans="1:1">
      <c r="A814" s="173"/>
    </row>
    <row r="815" spans="1:1">
      <c r="A815" s="173"/>
    </row>
    <row r="816" spans="1:1">
      <c r="A816" s="173"/>
    </row>
    <row r="817" spans="1:1">
      <c r="A817" s="173"/>
    </row>
    <row r="818" spans="1:1">
      <c r="A818" s="173"/>
    </row>
    <row r="819" spans="1:1">
      <c r="A819" s="173"/>
    </row>
    <row r="820" spans="1:1">
      <c r="A820" s="173"/>
    </row>
    <row r="821" spans="1:1">
      <c r="A821" s="173"/>
    </row>
    <row r="822" spans="1:1">
      <c r="A822" s="173"/>
    </row>
    <row r="823" spans="1:1">
      <c r="A823" s="173"/>
    </row>
    <row r="824" spans="1:1">
      <c r="A824" s="173"/>
    </row>
    <row r="825" spans="1:1">
      <c r="A825" s="173"/>
    </row>
    <row r="826" spans="1:1">
      <c r="A826" s="173"/>
    </row>
    <row r="827" spans="1:1">
      <c r="A827" s="173"/>
    </row>
    <row r="828" spans="1:1">
      <c r="A828" s="173"/>
    </row>
    <row r="829" spans="1:1">
      <c r="A829" s="173"/>
    </row>
    <row r="830" spans="1:1">
      <c r="A830" s="173"/>
    </row>
    <row r="831" spans="1:1">
      <c r="A831" s="173"/>
    </row>
    <row r="832" spans="1:1">
      <c r="A832" s="173"/>
    </row>
    <row r="833" spans="1:1">
      <c r="A833" s="173"/>
    </row>
    <row r="834" spans="1:1">
      <c r="A834" s="173"/>
    </row>
    <row r="835" spans="1:1">
      <c r="A835" s="173"/>
    </row>
    <row r="836" spans="1:1">
      <c r="A836" s="173"/>
    </row>
    <row r="837" spans="1:1">
      <c r="A837" s="173"/>
    </row>
    <row r="838" spans="1:1">
      <c r="A838" s="173"/>
    </row>
    <row r="839" spans="1:1">
      <c r="A839" s="173"/>
    </row>
    <row r="840" spans="1:1">
      <c r="A840" s="173"/>
    </row>
    <row r="841" spans="1:1">
      <c r="A841" s="173"/>
    </row>
    <row r="842" spans="1:1">
      <c r="A842" s="173"/>
    </row>
    <row r="843" spans="1:1">
      <c r="A843" s="173"/>
    </row>
    <row r="844" spans="1:1">
      <c r="A844" s="173"/>
    </row>
    <row r="845" spans="1:1">
      <c r="A845" s="173"/>
    </row>
    <row r="846" spans="1:1">
      <c r="A846" s="173"/>
    </row>
    <row r="847" spans="1:1">
      <c r="A847" s="173"/>
    </row>
    <row r="848" spans="1:1">
      <c r="A848" s="173"/>
    </row>
    <row r="849" spans="1:1">
      <c r="A849" s="173"/>
    </row>
    <row r="850" spans="1:1">
      <c r="A850" s="173"/>
    </row>
    <row r="851" spans="1:1">
      <c r="A851" s="173"/>
    </row>
    <row r="852" spans="1:1">
      <c r="A852" s="173"/>
    </row>
    <row r="853" spans="1:1">
      <c r="A853" s="173"/>
    </row>
    <row r="854" spans="1:1">
      <c r="A854" s="173"/>
    </row>
    <row r="855" spans="1:1">
      <c r="A855" s="173"/>
    </row>
    <row r="856" spans="1:1">
      <c r="A856" s="173"/>
    </row>
    <row r="857" spans="1:1">
      <c r="A857" s="173"/>
    </row>
    <row r="858" spans="1:1">
      <c r="A858" s="173"/>
    </row>
    <row r="859" spans="1:1">
      <c r="A859" s="173"/>
    </row>
    <row r="860" spans="1:1">
      <c r="A860" s="173"/>
    </row>
    <row r="861" spans="1:1">
      <c r="A861" s="173"/>
    </row>
    <row r="862" spans="1:1">
      <c r="A862" s="173"/>
    </row>
    <row r="863" spans="1:1">
      <c r="A863" s="173"/>
    </row>
    <row r="864" spans="1:1">
      <c r="A864" s="173"/>
    </row>
    <row r="865" spans="1:1">
      <c r="A865" s="173"/>
    </row>
    <row r="866" spans="1:1">
      <c r="A866" s="173"/>
    </row>
    <row r="867" spans="1:1">
      <c r="A867" s="173"/>
    </row>
    <row r="868" spans="1:1">
      <c r="A868" s="173"/>
    </row>
    <row r="869" spans="1:1">
      <c r="A869" s="173"/>
    </row>
    <row r="870" spans="1:1">
      <c r="A870" s="173"/>
    </row>
    <row r="871" spans="1:1">
      <c r="A871" s="173"/>
    </row>
    <row r="872" spans="1:1">
      <c r="A872" s="173"/>
    </row>
    <row r="873" spans="1:1">
      <c r="A873" s="173"/>
    </row>
    <row r="874" spans="1:1">
      <c r="A874" s="173"/>
    </row>
    <row r="875" spans="1:1">
      <c r="A875" s="173"/>
    </row>
    <row r="876" spans="1:1">
      <c r="A876" s="173"/>
    </row>
    <row r="877" spans="1:1">
      <c r="A877" s="173"/>
    </row>
    <row r="878" spans="1:1">
      <c r="A878" s="173"/>
    </row>
    <row r="879" spans="1:1">
      <c r="A879" s="173"/>
    </row>
    <row r="880" spans="1:1">
      <c r="A880" s="173"/>
    </row>
    <row r="881" spans="1:1">
      <c r="A881" s="173"/>
    </row>
    <row r="882" spans="1:1">
      <c r="A882" s="173"/>
    </row>
    <row r="883" spans="1:1">
      <c r="A883" s="173"/>
    </row>
    <row r="884" spans="1:1">
      <c r="A884" s="173"/>
    </row>
    <row r="885" spans="1:1">
      <c r="A885" s="173"/>
    </row>
    <row r="886" spans="1:1">
      <c r="A886" s="173"/>
    </row>
    <row r="887" spans="1:1">
      <c r="A887" s="173"/>
    </row>
    <row r="888" spans="1:1">
      <c r="A888" s="173"/>
    </row>
    <row r="889" spans="1:1">
      <c r="A889" s="173"/>
    </row>
    <row r="890" spans="1:1">
      <c r="A890" s="173"/>
    </row>
    <row r="891" spans="1:1">
      <c r="A891" s="173"/>
    </row>
    <row r="892" spans="1:1">
      <c r="A892" s="173"/>
    </row>
    <row r="893" spans="1:1">
      <c r="A893" s="173"/>
    </row>
    <row r="894" spans="1:1">
      <c r="A894" s="173"/>
    </row>
    <row r="895" spans="1:1">
      <c r="A895" s="173"/>
    </row>
    <row r="896" spans="1:1">
      <c r="A896" s="173"/>
    </row>
    <row r="897" spans="1:1">
      <c r="A897" s="173"/>
    </row>
    <row r="898" spans="1:1">
      <c r="A898" s="173"/>
    </row>
    <row r="899" spans="1:1">
      <c r="A899" s="173"/>
    </row>
    <row r="900" spans="1:1">
      <c r="A900" s="173"/>
    </row>
    <row r="901" spans="1:1">
      <c r="A901" s="173"/>
    </row>
    <row r="902" spans="1:1">
      <c r="A902" s="173"/>
    </row>
    <row r="903" spans="1:1">
      <c r="A903" s="173"/>
    </row>
    <row r="904" spans="1:1">
      <c r="A904" s="173"/>
    </row>
    <row r="905" spans="1:1">
      <c r="A905" s="173"/>
    </row>
    <row r="906" spans="1:1">
      <c r="A906" s="173"/>
    </row>
    <row r="907" spans="1:1">
      <c r="A907" s="173"/>
    </row>
    <row r="908" spans="1:1">
      <c r="A908" s="173"/>
    </row>
    <row r="909" spans="1:1">
      <c r="A909" s="173"/>
    </row>
    <row r="910" spans="1:1">
      <c r="A910" s="173"/>
    </row>
    <row r="911" spans="1:1">
      <c r="A911" s="173"/>
    </row>
    <row r="912" spans="1:1">
      <c r="A912" s="173"/>
    </row>
    <row r="913" spans="1:1">
      <c r="A913" s="173"/>
    </row>
    <row r="914" spans="1:1">
      <c r="A914" s="173"/>
    </row>
    <row r="915" spans="1:1">
      <c r="A915" s="173"/>
    </row>
    <row r="916" spans="1:1">
      <c r="A916" s="173"/>
    </row>
    <row r="917" spans="1:1">
      <c r="A917" s="173"/>
    </row>
    <row r="918" spans="1:1">
      <c r="A918" s="173"/>
    </row>
    <row r="919" spans="1:1">
      <c r="A919" s="173"/>
    </row>
    <row r="920" spans="1:1">
      <c r="A920" s="173"/>
    </row>
    <row r="921" spans="1:1">
      <c r="A921" s="173"/>
    </row>
    <row r="922" spans="1:1">
      <c r="A922" s="173"/>
    </row>
    <row r="923" spans="1:1">
      <c r="A923" s="173"/>
    </row>
    <row r="924" spans="1:1">
      <c r="A924" s="173"/>
    </row>
    <row r="925" spans="1:1">
      <c r="A925" s="173"/>
    </row>
    <row r="926" spans="1:1">
      <c r="A926" s="173"/>
    </row>
    <row r="927" spans="1:1">
      <c r="A927" s="173"/>
    </row>
    <row r="928" spans="1:1">
      <c r="A928" s="173"/>
    </row>
    <row r="929" spans="1:1">
      <c r="A929" s="173"/>
    </row>
    <row r="930" spans="1:1">
      <c r="A930" s="173"/>
    </row>
    <row r="931" spans="1:1">
      <c r="A931" s="173"/>
    </row>
    <row r="932" spans="1:1">
      <c r="A932" s="173"/>
    </row>
    <row r="933" spans="1:1">
      <c r="A933" s="173"/>
    </row>
    <row r="934" spans="1:1">
      <c r="A934" s="173"/>
    </row>
    <row r="935" spans="1:1">
      <c r="A935" s="173"/>
    </row>
    <row r="936" spans="1:1">
      <c r="A936" s="173"/>
    </row>
    <row r="937" spans="1:1">
      <c r="A937" s="173"/>
    </row>
    <row r="938" spans="1:1">
      <c r="A938" s="173"/>
    </row>
    <row r="939" spans="1:1">
      <c r="A939" s="173"/>
    </row>
    <row r="940" spans="1:1">
      <c r="A940" s="173"/>
    </row>
    <row r="941" spans="1:1">
      <c r="A941" s="173"/>
    </row>
    <row r="942" spans="1:1">
      <c r="A942" s="173"/>
    </row>
    <row r="943" spans="1:1">
      <c r="A943" s="173"/>
    </row>
    <row r="944" spans="1:1">
      <c r="A944" s="173"/>
    </row>
    <row r="945" spans="1:1">
      <c r="A945" s="173"/>
    </row>
    <row r="946" spans="1:1">
      <c r="A946" s="173"/>
    </row>
    <row r="947" spans="1:1">
      <c r="A947" s="173"/>
    </row>
    <row r="948" spans="1:1">
      <c r="A948" s="173"/>
    </row>
    <row r="949" spans="1:1">
      <c r="A949" s="173"/>
    </row>
    <row r="950" spans="1:1">
      <c r="A950" s="173"/>
    </row>
    <row r="951" spans="1:1">
      <c r="A951" s="173"/>
    </row>
    <row r="952" spans="1:1">
      <c r="A952" s="173"/>
    </row>
    <row r="953" spans="1:1">
      <c r="A953" s="173"/>
    </row>
    <row r="954" spans="1:1">
      <c r="A954" s="173"/>
    </row>
    <row r="955" spans="1:1">
      <c r="A955" s="173"/>
    </row>
    <row r="956" spans="1:1">
      <c r="A956" s="173"/>
    </row>
    <row r="957" spans="1:1">
      <c r="A957" s="173"/>
    </row>
    <row r="958" spans="1:1">
      <c r="A958" s="173"/>
    </row>
    <row r="959" spans="1:1">
      <c r="A959" s="173"/>
    </row>
    <row r="960" spans="1:1">
      <c r="A960" s="173"/>
    </row>
    <row r="961" spans="1:1">
      <c r="A961" s="173"/>
    </row>
    <row r="962" spans="1:1">
      <c r="A962" s="173"/>
    </row>
    <row r="963" spans="1:1">
      <c r="A963" s="173"/>
    </row>
    <row r="964" spans="1:1">
      <c r="A964" s="173"/>
    </row>
    <row r="965" spans="1:1">
      <c r="A965" s="173"/>
    </row>
    <row r="966" spans="1:1">
      <c r="A966" s="173"/>
    </row>
    <row r="967" spans="1:1">
      <c r="A967" s="173"/>
    </row>
    <row r="968" spans="1:1">
      <c r="A968" s="173"/>
    </row>
    <row r="969" spans="1:1">
      <c r="A969" s="173"/>
    </row>
    <row r="970" spans="1:1">
      <c r="A970" s="173"/>
    </row>
    <row r="971" spans="1:1">
      <c r="A971" s="173"/>
    </row>
    <row r="972" spans="1:1">
      <c r="A972" s="173"/>
    </row>
    <row r="973" spans="1:1">
      <c r="A973" s="173"/>
    </row>
    <row r="974" spans="1:1">
      <c r="A974" s="173"/>
    </row>
    <row r="975" spans="1:1">
      <c r="A975" s="173"/>
    </row>
    <row r="976" spans="1:1">
      <c r="A976" s="173"/>
    </row>
    <row r="977" spans="1:1">
      <c r="A977" s="173"/>
    </row>
    <row r="978" spans="1:1">
      <c r="A978" s="173"/>
    </row>
    <row r="979" spans="1:1">
      <c r="A979" s="173"/>
    </row>
    <row r="980" spans="1:1">
      <c r="A980" s="173"/>
    </row>
    <row r="981" spans="1:1">
      <c r="A981" s="173"/>
    </row>
    <row r="982" spans="1:1">
      <c r="A982" s="173"/>
    </row>
    <row r="983" spans="1:1">
      <c r="A983" s="173"/>
    </row>
    <row r="984" spans="1:1">
      <c r="A984" s="173"/>
    </row>
    <row r="985" spans="1:1">
      <c r="A985" s="173"/>
    </row>
    <row r="986" spans="1:1">
      <c r="A986" s="173"/>
    </row>
    <row r="987" spans="1:1">
      <c r="A987" s="173"/>
    </row>
    <row r="988" spans="1:1">
      <c r="A988" s="173"/>
    </row>
    <row r="989" spans="1:1">
      <c r="A989" s="173"/>
    </row>
    <row r="990" spans="1:1">
      <c r="A990" s="173"/>
    </row>
    <row r="991" spans="1:1">
      <c r="A991" s="173"/>
    </row>
    <row r="992" spans="1:1">
      <c r="A992" s="173"/>
    </row>
    <row r="993" spans="1:1">
      <c r="A993" s="173"/>
    </row>
    <row r="994" spans="1:1">
      <c r="A994" s="173"/>
    </row>
    <row r="995" spans="1:1">
      <c r="A995" s="173"/>
    </row>
    <row r="996" spans="1:1">
      <c r="A996" s="173"/>
    </row>
    <row r="997" spans="1:1">
      <c r="A997" s="173"/>
    </row>
    <row r="998" spans="1:1">
      <c r="A998" s="173"/>
    </row>
    <row r="999" spans="1:1">
      <c r="A999" s="173"/>
    </row>
    <row r="1000" spans="1:1">
      <c r="A1000" s="173"/>
    </row>
    <row r="1001" spans="1:1">
      <c r="A1001" s="173"/>
    </row>
    <row r="1002" spans="1:1">
      <c r="A1002" s="173"/>
    </row>
    <row r="1003" spans="1:1">
      <c r="A1003" s="173"/>
    </row>
    <row r="1004" spans="1:1">
      <c r="A1004" s="173"/>
    </row>
    <row r="1005" spans="1:1">
      <c r="A1005" s="173"/>
    </row>
    <row r="1006" spans="1:1">
      <c r="A1006" s="173"/>
    </row>
    <row r="1007" spans="1:1">
      <c r="A1007" s="173"/>
    </row>
    <row r="1008" spans="1:1">
      <c r="A1008" s="173"/>
    </row>
    <row r="1009" spans="1:1">
      <c r="A1009" s="173"/>
    </row>
    <row r="1010" spans="1:1">
      <c r="A1010" s="173"/>
    </row>
    <row r="1011" spans="1:1">
      <c r="A1011" s="173"/>
    </row>
    <row r="1012" spans="1:1">
      <c r="A1012" s="173"/>
    </row>
    <row r="1013" spans="1:1">
      <c r="A1013" s="173"/>
    </row>
    <row r="1014" spans="1:1">
      <c r="A1014" s="173"/>
    </row>
    <row r="1015" spans="1:1">
      <c r="A1015" s="173"/>
    </row>
    <row r="1016" spans="1:1">
      <c r="A1016" s="173"/>
    </row>
    <row r="1017" spans="1:1">
      <c r="A1017" s="173"/>
    </row>
    <row r="1018" spans="1:1">
      <c r="A1018" s="173"/>
    </row>
    <row r="1019" spans="1:1">
      <c r="A1019" s="173"/>
    </row>
    <row r="1020" spans="1:1">
      <c r="A1020" s="173"/>
    </row>
    <row r="1021" spans="1:1">
      <c r="A1021" s="173"/>
    </row>
    <row r="1022" spans="1:1">
      <c r="A1022" s="173"/>
    </row>
    <row r="1023" spans="1:1">
      <c r="A1023" s="173"/>
    </row>
    <row r="1024" spans="1:1">
      <c r="A1024" s="173"/>
    </row>
    <row r="1025" spans="1:1">
      <c r="A1025" s="173"/>
    </row>
    <row r="1026" spans="1:1">
      <c r="A1026" s="173"/>
    </row>
    <row r="1027" spans="1:1">
      <c r="A1027" s="173"/>
    </row>
    <row r="1028" spans="1:1">
      <c r="A1028" s="173"/>
    </row>
    <row r="1029" spans="1:1">
      <c r="A1029" s="173"/>
    </row>
    <row r="1030" spans="1:1">
      <c r="A1030" s="173"/>
    </row>
    <row r="1031" spans="1:1">
      <c r="A1031" s="173"/>
    </row>
    <row r="1032" spans="1:1">
      <c r="A1032" s="173"/>
    </row>
    <row r="1033" spans="1:1">
      <c r="A1033" s="173"/>
    </row>
    <row r="1034" spans="1:1">
      <c r="A1034" s="173"/>
    </row>
    <row r="1035" spans="1:1">
      <c r="A1035" s="173"/>
    </row>
    <row r="1036" spans="1:1">
      <c r="A1036" s="173"/>
    </row>
    <row r="1037" spans="1:1">
      <c r="A1037" s="173"/>
    </row>
    <row r="1038" spans="1:1">
      <c r="A1038" s="173"/>
    </row>
    <row r="1039" spans="1:1">
      <c r="A1039" s="173"/>
    </row>
    <row r="1040" spans="1:1">
      <c r="A1040" s="173"/>
    </row>
    <row r="1041" spans="1:1">
      <c r="A1041" s="173"/>
    </row>
    <row r="1042" spans="1:1">
      <c r="A1042" s="173"/>
    </row>
    <row r="1043" spans="1:1">
      <c r="A1043" s="173"/>
    </row>
    <row r="1044" spans="1:1">
      <c r="A1044" s="173"/>
    </row>
    <row r="1045" spans="1:1">
      <c r="A1045" s="173"/>
    </row>
    <row r="1046" spans="1:1">
      <c r="A1046" s="173"/>
    </row>
    <row r="1047" spans="1:1">
      <c r="A1047" s="173"/>
    </row>
    <row r="1048" spans="1:1">
      <c r="A1048" s="173"/>
    </row>
    <row r="1049" spans="1:1">
      <c r="A1049" s="173"/>
    </row>
    <row r="1050" spans="1:1">
      <c r="A1050" s="173"/>
    </row>
    <row r="1051" spans="1:1">
      <c r="A1051" s="173"/>
    </row>
    <row r="1052" spans="1:1">
      <c r="A1052" s="173"/>
    </row>
    <row r="1053" spans="1:1">
      <c r="A1053" s="173"/>
    </row>
    <row r="1054" spans="1:1">
      <c r="A1054" s="173"/>
    </row>
    <row r="1055" spans="1:1">
      <c r="A1055" s="173"/>
    </row>
    <row r="1056" spans="1:1">
      <c r="A1056" s="173"/>
    </row>
    <row r="1057" spans="1:1">
      <c r="A1057" s="173"/>
    </row>
    <row r="1058" spans="1:1">
      <c r="A1058" s="173"/>
    </row>
    <row r="1059" spans="1:1">
      <c r="A1059" s="173"/>
    </row>
    <row r="1060" spans="1:1">
      <c r="A1060" s="173"/>
    </row>
    <row r="1061" spans="1:1">
      <c r="A1061" s="173"/>
    </row>
    <row r="1062" spans="1:1">
      <c r="A1062" s="173"/>
    </row>
    <row r="1063" spans="1:1">
      <c r="A1063" s="173"/>
    </row>
    <row r="1064" spans="1:1">
      <c r="A1064" s="173"/>
    </row>
    <row r="1065" spans="1:1">
      <c r="A1065" s="173"/>
    </row>
    <row r="1066" spans="1:1">
      <c r="A1066" s="173"/>
    </row>
    <row r="1067" spans="1:1">
      <c r="A1067" s="173"/>
    </row>
    <row r="1068" spans="1:1">
      <c r="A1068" s="173"/>
    </row>
    <row r="1069" spans="1:1">
      <c r="A1069" s="173"/>
    </row>
    <row r="1070" spans="1:1">
      <c r="A1070" s="173"/>
    </row>
    <row r="1071" spans="1:1">
      <c r="A1071" s="173"/>
    </row>
    <row r="1072" spans="1:1">
      <c r="A1072" s="173"/>
    </row>
    <row r="1073" spans="1:1">
      <c r="A1073" s="173"/>
    </row>
    <row r="1074" spans="1:1">
      <c r="A1074" s="173"/>
    </row>
    <row r="1075" spans="1:1">
      <c r="A1075" s="173"/>
    </row>
    <row r="1076" spans="1:1">
      <c r="A1076" s="173"/>
    </row>
    <row r="1077" spans="1:1">
      <c r="A1077" s="173"/>
    </row>
    <row r="1078" spans="1:1">
      <c r="A1078" s="173"/>
    </row>
    <row r="1079" spans="1:1">
      <c r="A1079" s="173"/>
    </row>
    <row r="1080" spans="1:1">
      <c r="A1080" s="173"/>
    </row>
    <row r="1081" spans="1:1">
      <c r="A1081" s="173"/>
    </row>
    <row r="1082" spans="1:1">
      <c r="A1082" s="173"/>
    </row>
    <row r="1083" spans="1:1">
      <c r="A1083" s="173"/>
    </row>
    <row r="1084" spans="1:1">
      <c r="A1084" s="173"/>
    </row>
    <row r="1085" spans="1:1">
      <c r="A1085" s="173"/>
    </row>
    <row r="1086" spans="1:1">
      <c r="A1086" s="173"/>
    </row>
    <row r="1087" spans="1:1">
      <c r="A1087" s="173"/>
    </row>
    <row r="1088" spans="1:1">
      <c r="A1088" s="173"/>
    </row>
    <row r="1089" spans="1:1">
      <c r="A1089" s="173"/>
    </row>
    <row r="1090" spans="1:1">
      <c r="A1090" s="173"/>
    </row>
    <row r="1091" spans="1:1">
      <c r="A1091" s="173"/>
    </row>
    <row r="1092" spans="1:1">
      <c r="A1092" s="173"/>
    </row>
    <row r="1093" spans="1:1">
      <c r="A1093" s="173"/>
    </row>
    <row r="1094" spans="1:1">
      <c r="A1094" s="173"/>
    </row>
    <row r="1095" spans="1:1">
      <c r="A1095" s="173"/>
    </row>
    <row r="1096" spans="1:1">
      <c r="A1096" s="173"/>
    </row>
    <row r="1097" spans="1:1">
      <c r="A1097" s="173"/>
    </row>
    <row r="1098" spans="1:1">
      <c r="A1098" s="173"/>
    </row>
    <row r="1099" spans="1:1">
      <c r="A1099" s="173"/>
    </row>
    <row r="1100" spans="1:1">
      <c r="A1100" s="173"/>
    </row>
    <row r="1101" spans="1:1">
      <c r="A1101" s="173"/>
    </row>
    <row r="1102" spans="1:1">
      <c r="A1102" s="173"/>
    </row>
    <row r="1103" spans="1:1">
      <c r="A1103" s="173"/>
    </row>
    <row r="1104" spans="1:1">
      <c r="A1104" s="173"/>
    </row>
    <row r="1105" spans="1:1">
      <c r="A1105" s="173"/>
    </row>
    <row r="1106" spans="1:1">
      <c r="A1106" s="173"/>
    </row>
    <row r="1107" spans="1:1">
      <c r="A1107" s="173"/>
    </row>
    <row r="1108" spans="1:1">
      <c r="A1108" s="173"/>
    </row>
    <row r="1109" spans="1:1">
      <c r="A1109" s="173"/>
    </row>
    <row r="1110" spans="1:1">
      <c r="A1110" s="173"/>
    </row>
    <row r="1111" spans="1:1">
      <c r="A1111" s="173"/>
    </row>
    <row r="1112" spans="1:1">
      <c r="A1112" s="173"/>
    </row>
    <row r="1113" spans="1:1">
      <c r="A1113" s="173"/>
    </row>
    <row r="1114" spans="1:1">
      <c r="A1114" s="173"/>
    </row>
    <row r="1115" spans="1:1">
      <c r="A1115" s="173"/>
    </row>
    <row r="1116" spans="1:1">
      <c r="A1116" s="173"/>
    </row>
    <row r="1117" spans="1:1">
      <c r="A1117" s="173"/>
    </row>
    <row r="1118" spans="1:1">
      <c r="A1118" s="173"/>
    </row>
    <row r="1119" spans="1:1">
      <c r="A1119" s="173"/>
    </row>
    <row r="1120" spans="1:1">
      <c r="A1120" s="173"/>
    </row>
    <row r="1121" spans="1:1">
      <c r="A1121" s="173"/>
    </row>
    <row r="1122" spans="1:1">
      <c r="A1122" s="173"/>
    </row>
    <row r="1123" spans="1:1">
      <c r="A1123" s="173"/>
    </row>
    <row r="1124" spans="1:1">
      <c r="A1124" s="173"/>
    </row>
    <row r="1125" spans="1:1">
      <c r="A1125" s="173"/>
    </row>
    <row r="1126" spans="1:1">
      <c r="A1126" s="173"/>
    </row>
    <row r="1127" spans="1:1">
      <c r="A1127" s="173"/>
    </row>
    <row r="1128" spans="1:1">
      <c r="A1128" s="173"/>
    </row>
    <row r="1129" spans="1:1">
      <c r="A1129" s="173"/>
    </row>
    <row r="1130" spans="1:1">
      <c r="A1130" s="173"/>
    </row>
    <row r="1131" spans="1:1">
      <c r="A1131" s="173"/>
    </row>
    <row r="1132" spans="1:1">
      <c r="A1132" s="173"/>
    </row>
    <row r="1133" spans="1:1">
      <c r="A1133" s="173"/>
    </row>
    <row r="1134" spans="1:1">
      <c r="A1134" s="173"/>
    </row>
    <row r="1135" spans="1:1">
      <c r="A1135" s="173"/>
    </row>
    <row r="1136" spans="1:1">
      <c r="A1136" s="173"/>
    </row>
    <row r="1137" spans="1:1">
      <c r="A1137" s="173"/>
    </row>
    <row r="1138" spans="1:1">
      <c r="A1138" s="173"/>
    </row>
    <row r="1139" spans="1:1">
      <c r="A1139" s="173"/>
    </row>
    <row r="1140" spans="1:1">
      <c r="A1140" s="173"/>
    </row>
    <row r="1141" spans="1:1">
      <c r="A1141" s="173"/>
    </row>
    <row r="1142" spans="1:1">
      <c r="A1142" s="173"/>
    </row>
    <row r="1143" spans="1:1">
      <c r="A1143" s="173"/>
    </row>
    <row r="1144" spans="1:1">
      <c r="A1144" s="173"/>
    </row>
    <row r="1145" spans="1:1">
      <c r="A1145" s="173"/>
    </row>
    <row r="1146" spans="1:1">
      <c r="A1146" s="173"/>
    </row>
    <row r="1147" spans="1:1">
      <c r="A1147" s="173"/>
    </row>
    <row r="1148" spans="1:1">
      <c r="A1148" s="173"/>
    </row>
    <row r="1149" spans="1:1">
      <c r="A1149" s="173"/>
    </row>
    <row r="1150" spans="1:1">
      <c r="A1150" s="173"/>
    </row>
    <row r="1151" spans="1:1">
      <c r="A1151" s="173"/>
    </row>
    <row r="1152" spans="1:1">
      <c r="A1152" s="173"/>
    </row>
    <row r="1153" spans="1:1">
      <c r="A1153" s="173"/>
    </row>
    <row r="1154" spans="1:1">
      <c r="A1154" s="173"/>
    </row>
    <row r="1155" spans="1:1">
      <c r="A1155" s="173"/>
    </row>
    <row r="1156" spans="1:1">
      <c r="A1156" s="173"/>
    </row>
    <row r="1157" spans="1:1">
      <c r="A1157" s="173"/>
    </row>
    <row r="1158" spans="1:1">
      <c r="A1158" s="173"/>
    </row>
    <row r="1159" spans="1:1">
      <c r="A1159" s="173"/>
    </row>
    <row r="1160" spans="1:1">
      <c r="A1160" s="173"/>
    </row>
    <row r="1161" spans="1:1">
      <c r="A1161" s="173"/>
    </row>
    <row r="1162" spans="1:1">
      <c r="A1162" s="173"/>
    </row>
    <row r="1163" spans="1:1">
      <c r="A1163" s="173"/>
    </row>
    <row r="1164" spans="1:1">
      <c r="A1164" s="173"/>
    </row>
    <row r="1165" spans="1:1">
      <c r="A1165" s="173"/>
    </row>
    <row r="1166" spans="1:1">
      <c r="A1166" s="173"/>
    </row>
    <row r="1167" spans="1:1">
      <c r="A1167" s="173"/>
    </row>
    <row r="1168" spans="1:1">
      <c r="A1168" s="173"/>
    </row>
    <row r="1169" spans="1:1">
      <c r="A1169" s="173"/>
    </row>
    <row r="1170" spans="1:1">
      <c r="A1170" s="173"/>
    </row>
    <row r="1171" spans="1:1">
      <c r="A1171" s="173"/>
    </row>
    <row r="1172" spans="1:1">
      <c r="A1172" s="173"/>
    </row>
    <row r="1173" spans="1:1">
      <c r="A1173" s="173"/>
    </row>
    <row r="1174" spans="1:1">
      <c r="A1174" s="173"/>
    </row>
    <row r="1175" spans="1:1">
      <c r="A1175" s="173"/>
    </row>
    <row r="1176" spans="1:1">
      <c r="A1176" s="173"/>
    </row>
    <row r="1177" spans="1:1">
      <c r="A1177" s="173"/>
    </row>
    <row r="1178" spans="1:1">
      <c r="A1178" s="173"/>
    </row>
    <row r="1179" spans="1:1">
      <c r="A1179" s="173"/>
    </row>
    <row r="1180" spans="1:1">
      <c r="A1180" s="173"/>
    </row>
    <row r="1181" spans="1:1">
      <c r="A1181" s="173"/>
    </row>
    <row r="1182" spans="1:1">
      <c r="A1182" s="173"/>
    </row>
    <row r="1183" spans="1:1">
      <c r="A1183" s="173"/>
    </row>
    <row r="1184" spans="1:1">
      <c r="A1184" s="173"/>
    </row>
    <row r="1185" spans="1:1">
      <c r="A1185" s="173"/>
    </row>
    <row r="1186" spans="1:1">
      <c r="A1186" s="173"/>
    </row>
    <row r="1187" spans="1:1">
      <c r="A1187" s="173"/>
    </row>
    <row r="1188" spans="1:1">
      <c r="A1188" s="173"/>
    </row>
    <row r="1189" spans="1:1">
      <c r="A1189" s="173"/>
    </row>
    <row r="1190" spans="1:1">
      <c r="A1190" s="173"/>
    </row>
    <row r="1191" spans="1:1">
      <c r="A1191" s="173"/>
    </row>
    <row r="1192" spans="1:1">
      <c r="A1192" s="173"/>
    </row>
    <row r="1193" spans="1:1">
      <c r="A1193" s="173"/>
    </row>
    <row r="1194" spans="1:1">
      <c r="A1194" s="173"/>
    </row>
    <row r="1195" spans="1:1">
      <c r="A1195" s="173"/>
    </row>
    <row r="1196" spans="1:1">
      <c r="A1196" s="173"/>
    </row>
    <row r="1197" spans="1:1">
      <c r="A1197" s="173"/>
    </row>
    <row r="1198" spans="1:1">
      <c r="A1198" s="173"/>
    </row>
    <row r="1199" spans="1:1">
      <c r="A1199" s="173"/>
    </row>
    <row r="1200" spans="1:1">
      <c r="A1200" s="173"/>
    </row>
    <row r="1201" spans="1:1">
      <c r="A1201" s="173"/>
    </row>
    <row r="1202" spans="1:1">
      <c r="A1202" s="173"/>
    </row>
    <row r="1203" spans="1:1">
      <c r="A1203" s="173"/>
    </row>
    <row r="1204" spans="1:1">
      <c r="A1204" s="173"/>
    </row>
    <row r="1205" spans="1:1">
      <c r="A1205" s="173"/>
    </row>
    <row r="1206" spans="1:1">
      <c r="A1206" s="173"/>
    </row>
    <row r="1207" spans="1:1">
      <c r="A1207" s="173"/>
    </row>
    <row r="1208" spans="1:1">
      <c r="A1208" s="173"/>
    </row>
    <row r="1209" spans="1:1">
      <c r="A1209" s="173"/>
    </row>
    <row r="1210" spans="1:1">
      <c r="A1210" s="173"/>
    </row>
    <row r="1211" spans="1:1">
      <c r="A1211" s="173"/>
    </row>
    <row r="1212" spans="1:1">
      <c r="A1212" s="173"/>
    </row>
    <row r="1213" spans="1:1">
      <c r="A1213" s="173"/>
    </row>
    <row r="1214" spans="1:1">
      <c r="A1214" s="173"/>
    </row>
    <row r="1215" spans="1:1">
      <c r="A1215" s="173"/>
    </row>
    <row r="1216" spans="1:1">
      <c r="A1216" s="173"/>
    </row>
    <row r="1217" spans="1:1">
      <c r="A1217" s="173"/>
    </row>
    <row r="1218" spans="1:1">
      <c r="A1218" s="173"/>
    </row>
    <row r="1219" spans="1:1">
      <c r="A1219" s="173"/>
    </row>
    <row r="1220" spans="1:1">
      <c r="A1220" s="173"/>
    </row>
    <row r="1221" spans="1:1">
      <c r="A1221" s="173"/>
    </row>
    <row r="1222" spans="1:1">
      <c r="A1222" s="173"/>
    </row>
    <row r="1223" spans="1:1">
      <c r="A1223" s="173"/>
    </row>
    <row r="1224" spans="1:1">
      <c r="A1224" s="173"/>
    </row>
    <row r="1225" spans="1:1">
      <c r="A1225" s="173"/>
    </row>
    <row r="1226" spans="1:1">
      <c r="A1226" s="173"/>
    </row>
    <row r="1227" spans="1:1">
      <c r="A1227" s="173"/>
    </row>
    <row r="1228" spans="1:1">
      <c r="A1228" s="173"/>
    </row>
    <row r="1229" spans="1:1">
      <c r="A1229" s="173"/>
    </row>
    <row r="1230" spans="1:1">
      <c r="A1230" s="173"/>
    </row>
    <row r="1231" spans="1:1">
      <c r="A1231" s="173"/>
    </row>
    <row r="1232" spans="1:1">
      <c r="A1232" s="173"/>
    </row>
    <row r="1233" spans="1:1">
      <c r="A1233" s="173"/>
    </row>
    <row r="1234" spans="1:1">
      <c r="A1234" s="173"/>
    </row>
    <row r="1235" spans="1:1">
      <c r="A1235" s="173"/>
    </row>
    <row r="1236" spans="1:1">
      <c r="A1236" s="173"/>
    </row>
    <row r="1237" spans="1:1">
      <c r="A1237" s="173"/>
    </row>
    <row r="1238" spans="1:1">
      <c r="A1238" s="173"/>
    </row>
    <row r="1239" spans="1:1">
      <c r="A1239" s="173"/>
    </row>
    <row r="1240" spans="1:1">
      <c r="A1240" s="173"/>
    </row>
    <row r="1241" spans="1:1">
      <c r="A1241" s="173"/>
    </row>
    <row r="1242" spans="1:1">
      <c r="A1242" s="173"/>
    </row>
    <row r="1243" spans="1:1">
      <c r="A1243" s="173"/>
    </row>
    <row r="1244" spans="1:1">
      <c r="A1244" s="173"/>
    </row>
    <row r="1245" spans="1:1">
      <c r="A1245" s="173"/>
    </row>
    <row r="1246" spans="1:1">
      <c r="A1246" s="173"/>
    </row>
    <row r="1247" spans="1:1">
      <c r="A1247" s="173"/>
    </row>
    <row r="1248" spans="1:1">
      <c r="A1248" s="173"/>
    </row>
    <row r="1249" spans="1:1">
      <c r="A1249" s="173"/>
    </row>
    <row r="1250" spans="1:1">
      <c r="A1250" s="173"/>
    </row>
    <row r="1251" spans="1:1">
      <c r="A1251" s="173"/>
    </row>
    <row r="1252" spans="1:1">
      <c r="A1252" s="173"/>
    </row>
    <row r="1253" spans="1:1">
      <c r="A1253" s="173"/>
    </row>
    <row r="1254" spans="1:1">
      <c r="A1254" s="173"/>
    </row>
    <row r="1255" spans="1:1">
      <c r="A1255" s="173"/>
    </row>
    <row r="1256" spans="1:1">
      <c r="A1256" s="173"/>
    </row>
    <row r="1257" spans="1:1">
      <c r="A1257" s="173"/>
    </row>
    <row r="1258" spans="1:1">
      <c r="A1258" s="173"/>
    </row>
    <row r="1259" spans="1:1">
      <c r="A1259" s="173"/>
    </row>
    <row r="1260" spans="1:1">
      <c r="A1260" s="173"/>
    </row>
    <row r="1261" spans="1:1">
      <c r="A1261" s="173"/>
    </row>
    <row r="1262" spans="1:1">
      <c r="A1262" s="173"/>
    </row>
    <row r="1263" spans="1:1">
      <c r="A1263" s="173"/>
    </row>
    <row r="1264" spans="1:1">
      <c r="A1264" s="173"/>
    </row>
    <row r="1265" spans="1:1">
      <c r="A1265" s="173"/>
    </row>
    <row r="1266" spans="1:1">
      <c r="A1266" s="173"/>
    </row>
    <row r="1267" spans="1:1">
      <c r="A1267" s="173"/>
    </row>
    <row r="1268" spans="1:1">
      <c r="A1268" s="173"/>
    </row>
    <row r="1269" spans="1:1">
      <c r="A1269" s="173"/>
    </row>
    <row r="1270" spans="1:1">
      <c r="A1270" s="173"/>
    </row>
    <row r="1271" spans="1:1">
      <c r="A1271" s="173"/>
    </row>
    <row r="1272" spans="1:1">
      <c r="A1272" s="173"/>
    </row>
    <row r="1273" spans="1:1">
      <c r="A1273" s="173"/>
    </row>
    <row r="1274" spans="1:1">
      <c r="A1274" s="173"/>
    </row>
    <row r="1275" spans="1:1">
      <c r="A1275" s="173"/>
    </row>
    <row r="1276" spans="1:1">
      <c r="A1276" s="173"/>
    </row>
    <row r="1277" spans="1:1">
      <c r="A1277" s="173"/>
    </row>
    <row r="1278" spans="1:1">
      <c r="A1278" s="173"/>
    </row>
    <row r="1279" spans="1:1">
      <c r="A1279" s="173"/>
    </row>
    <row r="1280" spans="1:1">
      <c r="A1280" s="173"/>
    </row>
    <row r="1281" spans="1:1">
      <c r="A1281" s="173"/>
    </row>
    <row r="1282" spans="1:1">
      <c r="A1282" s="173"/>
    </row>
    <row r="1283" spans="1:1">
      <c r="A1283" s="173"/>
    </row>
    <row r="1284" spans="1:1">
      <c r="A1284" s="173"/>
    </row>
    <row r="1285" spans="1:1">
      <c r="A1285" s="173"/>
    </row>
    <row r="1286" spans="1:1">
      <c r="A1286" s="173"/>
    </row>
    <row r="1287" spans="1:1">
      <c r="A1287" s="173"/>
    </row>
    <row r="1288" spans="1:1">
      <c r="A1288" s="173"/>
    </row>
    <row r="1289" spans="1:1">
      <c r="A1289" s="173"/>
    </row>
    <row r="1290" spans="1:1">
      <c r="A1290" s="173"/>
    </row>
    <row r="1291" spans="1:1">
      <c r="A1291" s="173"/>
    </row>
    <row r="1292" spans="1:1">
      <c r="A1292" s="173"/>
    </row>
    <row r="1293" spans="1:1">
      <c r="A1293" s="173"/>
    </row>
    <row r="1294" spans="1:1">
      <c r="A1294" s="173"/>
    </row>
    <row r="1295" spans="1:1">
      <c r="A1295" s="173"/>
    </row>
    <row r="1296" spans="1:1">
      <c r="A1296" s="173"/>
    </row>
    <row r="1297" spans="1:1">
      <c r="A1297" s="173"/>
    </row>
    <row r="1298" spans="1:1">
      <c r="A1298" s="173"/>
    </row>
    <row r="1299" spans="1:1">
      <c r="A1299" s="173"/>
    </row>
    <row r="1300" spans="1:1">
      <c r="A1300" s="173"/>
    </row>
    <row r="1301" spans="1:1">
      <c r="A1301" s="173"/>
    </row>
    <row r="1302" spans="1:1">
      <c r="A1302" s="173"/>
    </row>
    <row r="1303" spans="1:1">
      <c r="A1303" s="173"/>
    </row>
    <row r="1304" spans="1:1">
      <c r="A1304" s="173"/>
    </row>
    <row r="1305" spans="1:1">
      <c r="A1305" s="173"/>
    </row>
    <row r="1306" spans="1:1">
      <c r="A1306" s="173"/>
    </row>
    <row r="1307" spans="1:1">
      <c r="A1307" s="173"/>
    </row>
    <row r="1308" spans="1:1">
      <c r="A1308" s="173"/>
    </row>
    <row r="1309" spans="1:1">
      <c r="A1309" s="173"/>
    </row>
    <row r="1310" spans="1:1">
      <c r="A1310" s="173"/>
    </row>
    <row r="1311" spans="1:1">
      <c r="A1311" s="173"/>
    </row>
    <row r="1312" spans="1:1">
      <c r="A1312" s="173"/>
    </row>
    <row r="1313" spans="1:1">
      <c r="A1313" s="173"/>
    </row>
    <row r="1314" spans="1:1">
      <c r="A1314" s="173"/>
    </row>
    <row r="1315" spans="1:1">
      <c r="A1315" s="173"/>
    </row>
    <row r="1316" spans="1:1">
      <c r="A1316" s="173"/>
    </row>
    <row r="1317" spans="1:1">
      <c r="A1317" s="173"/>
    </row>
    <row r="1318" spans="1:1">
      <c r="A1318" s="173"/>
    </row>
    <row r="1319" spans="1:1">
      <c r="A1319" s="173"/>
    </row>
    <row r="1320" spans="1:1">
      <c r="A1320" s="173"/>
    </row>
    <row r="1321" spans="1:1">
      <c r="A1321" s="173"/>
    </row>
    <row r="1322" spans="1:1">
      <c r="A1322" s="173"/>
    </row>
    <row r="1323" spans="1:1">
      <c r="A1323" s="173"/>
    </row>
    <row r="1324" spans="1:1">
      <c r="A1324" s="173"/>
    </row>
    <row r="1325" spans="1:1">
      <c r="A1325" s="173"/>
    </row>
    <row r="1326" spans="1:1">
      <c r="A1326" s="173"/>
    </row>
    <row r="1327" spans="1:1">
      <c r="A1327" s="173"/>
    </row>
    <row r="1328" spans="1:1">
      <c r="A1328" s="173"/>
    </row>
    <row r="1329" spans="1:1">
      <c r="A1329" s="173"/>
    </row>
    <row r="1330" spans="1:1">
      <c r="A1330" s="173"/>
    </row>
    <row r="1331" spans="1:1">
      <c r="A1331" s="173"/>
    </row>
    <row r="1332" spans="1:1">
      <c r="A1332" s="173"/>
    </row>
    <row r="1333" spans="1:1">
      <c r="A1333" s="173"/>
    </row>
    <row r="1334" spans="1:1">
      <c r="A1334" s="173"/>
    </row>
    <row r="1335" spans="1:1">
      <c r="A1335" s="173"/>
    </row>
    <row r="1336" spans="1:1">
      <c r="A1336" s="173"/>
    </row>
    <row r="1337" spans="1:1">
      <c r="A1337" s="173"/>
    </row>
    <row r="1338" spans="1:1">
      <c r="A1338" s="173"/>
    </row>
    <row r="1339" spans="1:1">
      <c r="A1339" s="173"/>
    </row>
    <row r="1340" spans="1:1">
      <c r="A1340" s="173"/>
    </row>
    <row r="1341" spans="1:1">
      <c r="A1341" s="173"/>
    </row>
    <row r="1342" spans="1:1">
      <c r="A1342" s="173"/>
    </row>
    <row r="1343" spans="1:1">
      <c r="A1343" s="173"/>
    </row>
    <row r="1344" spans="1:1">
      <c r="A1344" s="173"/>
    </row>
    <row r="1345" spans="1:1">
      <c r="A1345" s="173"/>
    </row>
    <row r="1346" spans="1:1">
      <c r="A1346" s="173"/>
    </row>
    <row r="1347" spans="1:1">
      <c r="A1347" s="173"/>
    </row>
    <row r="1348" spans="1:1">
      <c r="A1348" s="173"/>
    </row>
    <row r="1349" spans="1:1">
      <c r="A1349" s="173"/>
    </row>
    <row r="1350" spans="1:1">
      <c r="A1350" s="173"/>
    </row>
    <row r="1351" spans="1:1">
      <c r="A1351" s="173"/>
    </row>
    <row r="1352" spans="1:1">
      <c r="A1352" s="173"/>
    </row>
    <row r="1353" spans="1:1">
      <c r="A1353" s="173"/>
    </row>
    <row r="1354" spans="1:1">
      <c r="A1354" s="173"/>
    </row>
    <row r="1355" spans="1:1">
      <c r="A1355" s="173"/>
    </row>
    <row r="1356" spans="1:1">
      <c r="A1356" s="173"/>
    </row>
    <row r="1357" spans="1:1">
      <c r="A1357" s="173"/>
    </row>
    <row r="1358" spans="1:1">
      <c r="A1358" s="173"/>
    </row>
    <row r="1359" spans="1:1">
      <c r="A1359" s="173"/>
    </row>
    <row r="1360" spans="1:1">
      <c r="A1360" s="173"/>
    </row>
    <row r="1361" spans="1:1">
      <c r="A1361" s="173"/>
    </row>
    <row r="1362" spans="1:1">
      <c r="A1362" s="173"/>
    </row>
    <row r="1363" spans="1:1">
      <c r="A1363" s="173"/>
    </row>
    <row r="1364" spans="1:1">
      <c r="A1364" s="173"/>
    </row>
    <row r="1365" spans="1:1">
      <c r="A1365" s="173"/>
    </row>
    <row r="1366" spans="1:1">
      <c r="A1366" s="173"/>
    </row>
    <row r="1367" spans="1:1">
      <c r="A1367" s="173"/>
    </row>
    <row r="1368" spans="1:1">
      <c r="A1368" s="173"/>
    </row>
    <row r="1369" spans="1:1">
      <c r="A1369" s="173"/>
    </row>
    <row r="1370" spans="1:1">
      <c r="A1370" s="173"/>
    </row>
    <row r="1371" spans="1:1">
      <c r="A1371" s="173"/>
    </row>
    <row r="1372" spans="1:1">
      <c r="A1372" s="173"/>
    </row>
    <row r="1373" spans="1:1">
      <c r="A1373" s="173"/>
    </row>
    <row r="1374" spans="1:1">
      <c r="A1374" s="173"/>
    </row>
    <row r="1375" spans="1:1">
      <c r="A1375" s="173"/>
    </row>
    <row r="1376" spans="1:1">
      <c r="A1376" s="173"/>
    </row>
    <row r="1377" spans="1:1">
      <c r="A1377" s="173"/>
    </row>
    <row r="1378" spans="1:1">
      <c r="A1378" s="173"/>
    </row>
    <row r="1379" spans="1:1">
      <c r="A1379" s="173"/>
    </row>
    <row r="1380" spans="1:1">
      <c r="A1380" s="173"/>
    </row>
    <row r="1381" spans="1:1">
      <c r="A1381" s="173"/>
    </row>
    <row r="1382" spans="1:1">
      <c r="A1382" s="173"/>
    </row>
    <row r="1383" spans="1:1">
      <c r="A1383" s="173"/>
    </row>
    <row r="1384" spans="1:1">
      <c r="A1384" s="173"/>
    </row>
    <row r="1385" spans="1:1">
      <c r="A1385" s="173"/>
    </row>
    <row r="1386" spans="1:1">
      <c r="A1386" s="173"/>
    </row>
    <row r="1387" spans="1:1">
      <c r="A1387" s="173"/>
    </row>
    <row r="1388" spans="1:1">
      <c r="A1388" s="173"/>
    </row>
    <row r="1389" spans="1:1">
      <c r="A1389" s="173"/>
    </row>
    <row r="1390" spans="1:1">
      <c r="A1390" s="173"/>
    </row>
    <row r="1391" spans="1:1">
      <c r="A1391" s="173"/>
    </row>
    <row r="1392" spans="1:1">
      <c r="A1392" s="173"/>
    </row>
    <row r="1393" spans="1:1">
      <c r="A1393" s="173"/>
    </row>
    <row r="1394" spans="1:1">
      <c r="A1394" s="173"/>
    </row>
    <row r="1395" spans="1:1">
      <c r="A1395" s="173"/>
    </row>
    <row r="1396" spans="1:1">
      <c r="A1396" s="173"/>
    </row>
    <row r="1397" spans="1:1">
      <c r="A1397" s="173"/>
    </row>
    <row r="1398" spans="1:1">
      <c r="A1398" s="173"/>
    </row>
    <row r="1399" spans="1:1">
      <c r="A1399" s="173"/>
    </row>
    <row r="1400" spans="1:1">
      <c r="A1400" s="173"/>
    </row>
    <row r="1401" spans="1:1">
      <c r="A1401" s="173"/>
    </row>
    <row r="1402" spans="1:1">
      <c r="A1402" s="173"/>
    </row>
    <row r="1403" spans="1:1">
      <c r="A1403" s="173"/>
    </row>
    <row r="1404" spans="1:1">
      <c r="A1404" s="173"/>
    </row>
    <row r="1405" spans="1:1">
      <c r="A1405" s="173"/>
    </row>
    <row r="1406" spans="1:1">
      <c r="A1406" s="173"/>
    </row>
    <row r="1407" spans="1:1">
      <c r="A1407" s="173"/>
    </row>
    <row r="1408" spans="1:1">
      <c r="A1408" s="173"/>
    </row>
    <row r="1409" spans="1:1">
      <c r="A1409" s="173"/>
    </row>
    <row r="1410" spans="1:1">
      <c r="A1410" s="173"/>
    </row>
    <row r="1411" spans="1:1">
      <c r="A1411" s="173"/>
    </row>
    <row r="1412" spans="1:1">
      <c r="A1412" s="173"/>
    </row>
    <row r="1413" spans="1:1">
      <c r="A1413" s="173"/>
    </row>
    <row r="1414" spans="1:1">
      <c r="A1414" s="173"/>
    </row>
    <row r="1415" spans="1:1">
      <c r="A1415" s="173"/>
    </row>
    <row r="1416" spans="1:1">
      <c r="A1416" s="173"/>
    </row>
    <row r="1417" spans="1:1">
      <c r="A1417" s="173"/>
    </row>
    <row r="1418" spans="1:1">
      <c r="A1418" s="173"/>
    </row>
    <row r="1419" spans="1:1">
      <c r="A1419" s="173"/>
    </row>
    <row r="1420" spans="1:1">
      <c r="A1420" s="173"/>
    </row>
    <row r="1421" spans="1:1">
      <c r="A1421" s="173"/>
    </row>
    <row r="1422" spans="1:1">
      <c r="A1422" s="173"/>
    </row>
    <row r="1423" spans="1:1">
      <c r="A1423" s="173"/>
    </row>
    <row r="1424" spans="1:1">
      <c r="A1424" s="173"/>
    </row>
    <row r="1425" spans="1:1">
      <c r="A1425" s="173"/>
    </row>
    <row r="1426" spans="1:1">
      <c r="A1426" s="173"/>
    </row>
    <row r="1427" spans="1:1">
      <c r="A1427" s="173"/>
    </row>
    <row r="1428" spans="1:1">
      <c r="A1428" s="173"/>
    </row>
    <row r="1429" spans="1:1">
      <c r="A1429" s="173"/>
    </row>
    <row r="1430" spans="1:1">
      <c r="A1430" s="173"/>
    </row>
    <row r="1431" spans="1:1">
      <c r="A1431" s="173"/>
    </row>
    <row r="1432" spans="1:1">
      <c r="A1432" s="173"/>
    </row>
    <row r="1433" spans="1:1">
      <c r="A1433" s="173"/>
    </row>
    <row r="1434" spans="1:1">
      <c r="A1434" s="173"/>
    </row>
    <row r="1435" spans="1:1">
      <c r="A1435" s="173"/>
    </row>
    <row r="1436" spans="1:1">
      <c r="A1436" s="173"/>
    </row>
    <row r="1437" spans="1:1">
      <c r="A1437" s="173"/>
    </row>
    <row r="1438" spans="1:1">
      <c r="A1438" s="173"/>
    </row>
    <row r="1439" spans="1:1">
      <c r="A1439" s="173"/>
    </row>
    <row r="1440" spans="1:1">
      <c r="A1440" s="173"/>
    </row>
    <row r="1441" spans="1:1">
      <c r="A1441" s="173"/>
    </row>
    <row r="1442" spans="1:1">
      <c r="A1442" s="173"/>
    </row>
    <row r="1443" spans="1:1">
      <c r="A1443" s="173"/>
    </row>
    <row r="1444" spans="1:1">
      <c r="A1444" s="173"/>
    </row>
    <row r="1445" spans="1:1">
      <c r="A1445" s="173"/>
    </row>
    <row r="1446" spans="1:1">
      <c r="A1446" s="173"/>
    </row>
    <row r="1447" spans="1:1">
      <c r="A1447" s="173"/>
    </row>
    <row r="1448" spans="1:1">
      <c r="A1448" s="173"/>
    </row>
    <row r="1449" spans="1:1">
      <c r="A1449" s="173"/>
    </row>
    <row r="1450" spans="1:1">
      <c r="A1450" s="173"/>
    </row>
    <row r="1451" spans="1:1">
      <c r="A1451" s="173"/>
    </row>
    <row r="1452" spans="1:1">
      <c r="A1452" s="173"/>
    </row>
    <row r="1453" spans="1:1">
      <c r="A1453" s="173"/>
    </row>
    <row r="1454" spans="1:1">
      <c r="A1454" s="173"/>
    </row>
    <row r="1455" spans="1:1">
      <c r="A1455" s="173"/>
    </row>
    <row r="1456" spans="1:1">
      <c r="A1456" s="173"/>
    </row>
    <row r="1457" spans="1:1">
      <c r="A1457" s="173"/>
    </row>
    <row r="1458" spans="1:1">
      <c r="A1458" s="173"/>
    </row>
    <row r="1459" spans="1:1">
      <c r="A1459" s="173"/>
    </row>
    <row r="1460" spans="1:1">
      <c r="A1460" s="173"/>
    </row>
    <row r="1461" spans="1:1">
      <c r="A1461" s="173"/>
    </row>
    <row r="1462" spans="1:1">
      <c r="A1462" s="173"/>
    </row>
    <row r="1463" spans="1:1">
      <c r="A1463" s="173"/>
    </row>
    <row r="1464" spans="1:1">
      <c r="A1464" s="173"/>
    </row>
    <row r="1465" spans="1:1">
      <c r="A1465" s="173"/>
    </row>
    <row r="1466" spans="1:1">
      <c r="A1466" s="173"/>
    </row>
    <row r="1467" spans="1:1">
      <c r="A1467" s="173"/>
    </row>
    <row r="1468" spans="1:1">
      <c r="A1468" s="173"/>
    </row>
    <row r="1469" spans="1:1">
      <c r="A1469" s="173"/>
    </row>
    <row r="1470" spans="1:1">
      <c r="A1470" s="173"/>
    </row>
    <row r="1471" spans="1:1">
      <c r="A1471" s="173"/>
    </row>
    <row r="1472" spans="1:1">
      <c r="A1472" s="173"/>
    </row>
    <row r="1473" spans="1:1">
      <c r="A1473" s="173"/>
    </row>
    <row r="1474" spans="1:1">
      <c r="A1474" s="173"/>
    </row>
    <row r="1475" spans="1:1">
      <c r="A1475" s="173"/>
    </row>
    <row r="1476" spans="1:1">
      <c r="A1476" s="173"/>
    </row>
    <row r="1477" spans="1:1">
      <c r="A1477" s="173"/>
    </row>
    <row r="1478" spans="1:1">
      <c r="A1478" s="173"/>
    </row>
    <row r="1479" spans="1:1">
      <c r="A1479" s="173"/>
    </row>
    <row r="1480" spans="1:1">
      <c r="A1480" s="173"/>
    </row>
    <row r="1481" spans="1:1">
      <c r="A1481" s="173"/>
    </row>
    <row r="1482" spans="1:1">
      <c r="A1482" s="173"/>
    </row>
    <row r="1483" spans="1:1">
      <c r="A1483" s="173"/>
    </row>
    <row r="1484" spans="1:1">
      <c r="A1484" s="173"/>
    </row>
    <row r="1485" spans="1:1">
      <c r="A1485" s="173"/>
    </row>
    <row r="1486" spans="1:1">
      <c r="A1486" s="173"/>
    </row>
    <row r="1487" spans="1:1">
      <c r="A1487" s="173"/>
    </row>
    <row r="1488" spans="1:1">
      <c r="A1488" s="173"/>
    </row>
    <row r="1489" spans="1:1">
      <c r="A1489" s="173"/>
    </row>
    <row r="1490" spans="1:1">
      <c r="A1490" s="173"/>
    </row>
    <row r="1491" spans="1:1">
      <c r="A1491" s="173"/>
    </row>
    <row r="1492" spans="1:1">
      <c r="A1492" s="173"/>
    </row>
    <row r="1493" spans="1:1">
      <c r="A1493" s="173"/>
    </row>
    <row r="1494" spans="1:1">
      <c r="A1494" s="173"/>
    </row>
    <row r="1495" spans="1:1">
      <c r="A1495" s="173"/>
    </row>
    <row r="1496" spans="1:1">
      <c r="A1496" s="173"/>
    </row>
    <row r="1497" spans="1:1">
      <c r="A1497" s="173"/>
    </row>
    <row r="1498" spans="1:1">
      <c r="A1498" s="173"/>
    </row>
    <row r="1499" spans="1:1">
      <c r="A1499" s="173"/>
    </row>
    <row r="1500" spans="1:1">
      <c r="A1500" s="173"/>
    </row>
    <row r="1501" spans="1:1">
      <c r="A1501" s="173"/>
    </row>
    <row r="1502" spans="1:1">
      <c r="A1502" s="173"/>
    </row>
    <row r="1503" spans="1:1">
      <c r="A1503" s="173"/>
    </row>
    <row r="1504" spans="1:1">
      <c r="A1504" s="173"/>
    </row>
    <row r="1505" spans="1:1">
      <c r="A1505" s="173"/>
    </row>
    <row r="1506" spans="1:1">
      <c r="A1506" s="173"/>
    </row>
    <row r="1507" spans="1:1">
      <c r="A1507" s="173"/>
    </row>
    <row r="1508" spans="1:1">
      <c r="A1508" s="173"/>
    </row>
    <row r="1509" spans="1:1">
      <c r="A1509" s="173"/>
    </row>
    <row r="1510" spans="1:1">
      <c r="A1510" s="173"/>
    </row>
    <row r="1511" spans="1:1">
      <c r="A1511" s="173"/>
    </row>
    <row r="1512" spans="1:1">
      <c r="A1512" s="173"/>
    </row>
    <row r="1513" spans="1:1">
      <c r="A1513" s="173"/>
    </row>
    <row r="1514" spans="1:1">
      <c r="A1514" s="173"/>
    </row>
    <row r="1515" spans="1:1">
      <c r="A1515" s="173"/>
    </row>
    <row r="1516" spans="1:1">
      <c r="A1516" s="173"/>
    </row>
    <row r="1517" spans="1:1">
      <c r="A1517" s="173"/>
    </row>
    <row r="1518" spans="1:1">
      <c r="A1518" s="173"/>
    </row>
    <row r="1519" spans="1:1">
      <c r="A1519" s="173"/>
    </row>
    <row r="1520" spans="1:1">
      <c r="A1520" s="173"/>
    </row>
    <row r="1521" spans="1:1">
      <c r="A1521" s="173"/>
    </row>
    <row r="1522" spans="1:1">
      <c r="A1522" s="173"/>
    </row>
    <row r="1523" spans="1:1">
      <c r="A1523" s="173"/>
    </row>
    <row r="1524" spans="1:1">
      <c r="A1524" s="173"/>
    </row>
    <row r="1525" spans="1:1">
      <c r="A1525" s="173"/>
    </row>
    <row r="1526" spans="1:1">
      <c r="A1526" s="173"/>
    </row>
    <row r="1527" spans="1:1">
      <c r="A1527" s="173"/>
    </row>
    <row r="1528" spans="1:1">
      <c r="A1528" s="173"/>
    </row>
    <row r="1529" spans="1:1">
      <c r="A1529" s="173"/>
    </row>
    <row r="1530" spans="1:1">
      <c r="A1530" s="173"/>
    </row>
    <row r="1531" spans="1:1">
      <c r="A1531" s="173"/>
    </row>
    <row r="1532" spans="1:1">
      <c r="A1532" s="173"/>
    </row>
    <row r="1533" spans="1:1">
      <c r="A1533" s="173"/>
    </row>
    <row r="1534" spans="1:1">
      <c r="A1534" s="173"/>
    </row>
    <row r="1535" spans="1:1">
      <c r="A1535" s="173"/>
    </row>
    <row r="1536" spans="1:1">
      <c r="A1536" s="173"/>
    </row>
    <row r="1537" spans="1:1">
      <c r="A1537" s="173"/>
    </row>
    <row r="1538" spans="1:1">
      <c r="A1538" s="173"/>
    </row>
    <row r="1539" spans="1:1">
      <c r="A1539" s="173"/>
    </row>
    <row r="1540" spans="1:1">
      <c r="A1540" s="173"/>
    </row>
    <row r="1541" spans="1:1">
      <c r="A1541" s="173"/>
    </row>
    <row r="1542" spans="1:1">
      <c r="A1542" s="173"/>
    </row>
    <row r="1543" spans="1:1">
      <c r="A1543" s="173"/>
    </row>
    <row r="1544" spans="1:1">
      <c r="A1544" s="173"/>
    </row>
    <row r="1545" spans="1:1">
      <c r="A1545" s="173"/>
    </row>
    <row r="1546" spans="1:1">
      <c r="A1546" s="173"/>
    </row>
    <row r="1547" spans="1:1">
      <c r="A1547" s="173"/>
    </row>
    <row r="1548" spans="1:1">
      <c r="A1548" s="173"/>
    </row>
    <row r="1549" spans="1:1">
      <c r="A1549" s="173"/>
    </row>
    <row r="1550" spans="1:1">
      <c r="A1550" s="173"/>
    </row>
    <row r="1551" spans="1:1">
      <c r="A1551" s="173"/>
    </row>
    <row r="1552" spans="1:1">
      <c r="A1552" s="173"/>
    </row>
    <row r="1553" spans="1:1">
      <c r="A1553" s="173"/>
    </row>
    <row r="1554" spans="1:1">
      <c r="A1554" s="173"/>
    </row>
    <row r="1555" spans="1:1">
      <c r="A1555" s="173"/>
    </row>
    <row r="1556" spans="1:1">
      <c r="A1556" s="173"/>
    </row>
    <row r="1557" spans="1:1">
      <c r="A1557" s="173"/>
    </row>
    <row r="1558" spans="1:1">
      <c r="A1558" s="173"/>
    </row>
    <row r="1559" spans="1:1">
      <c r="A1559" s="173"/>
    </row>
    <row r="1560" spans="1:1">
      <c r="A1560" s="173"/>
    </row>
    <row r="1561" spans="1:1">
      <c r="A1561" s="173"/>
    </row>
    <row r="1562" spans="1:1">
      <c r="A1562" s="173"/>
    </row>
    <row r="1563" spans="1:1">
      <c r="A1563" s="173"/>
    </row>
    <row r="1564" spans="1:1">
      <c r="A1564" s="173"/>
    </row>
    <row r="1565" spans="1:1">
      <c r="A1565" s="173"/>
    </row>
    <row r="1566" spans="1:1">
      <c r="A1566" s="173"/>
    </row>
    <row r="1567" spans="1:1">
      <c r="A1567" s="173"/>
    </row>
    <row r="1568" spans="1:1">
      <c r="A1568" s="173"/>
    </row>
    <row r="1569" spans="1:1">
      <c r="A1569" s="173"/>
    </row>
    <row r="1570" spans="1:1">
      <c r="A1570" s="173"/>
    </row>
    <row r="1571" spans="1:1">
      <c r="A1571" s="173"/>
    </row>
    <row r="1572" spans="1:1">
      <c r="A1572" s="173"/>
    </row>
    <row r="1573" spans="1:1">
      <c r="A1573" s="173"/>
    </row>
    <row r="1574" spans="1:1">
      <c r="A1574" s="173"/>
    </row>
    <row r="1575" spans="1:1">
      <c r="A1575" s="173"/>
    </row>
    <row r="1576" spans="1:1">
      <c r="A1576" s="173"/>
    </row>
    <row r="1577" spans="1:1">
      <c r="A1577" s="173"/>
    </row>
    <row r="1578" spans="1:1">
      <c r="A1578" s="173"/>
    </row>
    <row r="1579" spans="1:1">
      <c r="A1579" s="173"/>
    </row>
    <row r="1580" spans="1:1">
      <c r="A1580" s="173"/>
    </row>
    <row r="1581" spans="1:1">
      <c r="A1581" s="173"/>
    </row>
    <row r="1582" spans="1:1">
      <c r="A1582" s="173"/>
    </row>
    <row r="1583" spans="1:1">
      <c r="A1583" s="173"/>
    </row>
    <row r="1584" spans="1:1">
      <c r="A1584" s="173"/>
    </row>
    <row r="1585" spans="1:1">
      <c r="A1585" s="173"/>
    </row>
    <row r="1586" spans="1:1">
      <c r="A1586" s="173"/>
    </row>
    <row r="1587" spans="1:1">
      <c r="A1587" s="173"/>
    </row>
    <row r="1588" spans="1:1">
      <c r="A1588" s="173"/>
    </row>
    <row r="1589" spans="1:1">
      <c r="A1589" s="173"/>
    </row>
    <row r="1590" spans="1:1">
      <c r="A1590" s="173"/>
    </row>
    <row r="1591" spans="1:1">
      <c r="A1591" s="173"/>
    </row>
    <row r="1592" spans="1:1">
      <c r="A1592" s="173"/>
    </row>
    <row r="1593" spans="1:1">
      <c r="A1593" s="173"/>
    </row>
    <row r="1594" spans="1:1">
      <c r="A1594" s="173"/>
    </row>
    <row r="1595" spans="1:1">
      <c r="A1595" s="173"/>
    </row>
    <row r="1596" spans="1:1">
      <c r="A1596" s="173"/>
    </row>
    <row r="1597" spans="1:1">
      <c r="A1597" s="173"/>
    </row>
    <row r="1598" spans="1:1">
      <c r="A1598" s="173"/>
    </row>
    <row r="1599" spans="1:1">
      <c r="A1599" s="173"/>
    </row>
    <row r="1600" spans="1:1">
      <c r="A1600" s="173"/>
    </row>
    <row r="1601" spans="1:1">
      <c r="A1601" s="173"/>
    </row>
    <row r="1602" spans="1:1">
      <c r="A1602" s="173"/>
    </row>
    <row r="1603" spans="1:1">
      <c r="A1603" s="173"/>
    </row>
    <row r="1604" spans="1:1">
      <c r="A1604" s="173"/>
    </row>
    <row r="1605" spans="1:1">
      <c r="A1605" s="173"/>
    </row>
    <row r="1606" spans="1:1">
      <c r="A1606" s="173"/>
    </row>
    <row r="1607" spans="1:1">
      <c r="A1607" s="173"/>
    </row>
    <row r="1608" spans="1:1">
      <c r="A1608" s="173"/>
    </row>
    <row r="1609" spans="1:1">
      <c r="A1609" s="173"/>
    </row>
    <row r="1610" spans="1:1">
      <c r="A1610" s="173"/>
    </row>
    <row r="1611" spans="1:1">
      <c r="A1611" s="173"/>
    </row>
    <row r="1612" spans="1:1">
      <c r="A1612" s="173"/>
    </row>
    <row r="1613" spans="1:1">
      <c r="A1613" s="173"/>
    </row>
    <row r="1614" spans="1:1">
      <c r="A1614" s="173"/>
    </row>
    <row r="1615" spans="1:1">
      <c r="A1615" s="173"/>
    </row>
    <row r="1616" spans="1:1">
      <c r="A1616" s="173"/>
    </row>
    <row r="1617" spans="1:1">
      <c r="A1617" s="173"/>
    </row>
    <row r="1618" spans="1:1">
      <c r="A1618" s="173"/>
    </row>
    <row r="1619" spans="1:1">
      <c r="A1619" s="173"/>
    </row>
    <row r="1620" spans="1:1">
      <c r="A1620" s="173"/>
    </row>
    <row r="1621" spans="1:1">
      <c r="A1621" s="173"/>
    </row>
    <row r="1622" spans="1:1">
      <c r="A1622" s="173"/>
    </row>
    <row r="1623" spans="1:1">
      <c r="A1623" s="173"/>
    </row>
    <row r="1624" spans="1:1">
      <c r="A1624" s="173"/>
    </row>
    <row r="1625" spans="1:1">
      <c r="A1625" s="173"/>
    </row>
    <row r="1626" spans="1:1">
      <c r="A1626" s="173"/>
    </row>
    <row r="1627" spans="1:1">
      <c r="A1627" s="173"/>
    </row>
    <row r="1628" spans="1:1">
      <c r="A1628" s="173"/>
    </row>
    <row r="1629" spans="1:1">
      <c r="A1629" s="173"/>
    </row>
    <row r="1630" spans="1:1">
      <c r="A1630" s="173"/>
    </row>
    <row r="1631" spans="1:1">
      <c r="A1631" s="173"/>
    </row>
    <row r="1632" spans="1:1">
      <c r="A1632" s="173"/>
    </row>
    <row r="1633" spans="1:1">
      <c r="A1633" s="173"/>
    </row>
    <row r="1634" spans="1:1">
      <c r="A1634" s="173"/>
    </row>
    <row r="1635" spans="1:1">
      <c r="A1635" s="173"/>
    </row>
    <row r="1636" spans="1:1">
      <c r="A1636" s="173"/>
    </row>
    <row r="1637" spans="1:1">
      <c r="A1637" s="173"/>
    </row>
    <row r="1638" spans="1:1">
      <c r="A1638" s="173"/>
    </row>
    <row r="1639" spans="1:1">
      <c r="A1639" s="173"/>
    </row>
    <row r="1640" spans="1:1">
      <c r="A1640" s="173"/>
    </row>
    <row r="1641" spans="1:1">
      <c r="A1641" s="173"/>
    </row>
    <row r="1642" spans="1:1">
      <c r="A1642" s="173"/>
    </row>
    <row r="1643" spans="1:1">
      <c r="A1643" s="173"/>
    </row>
    <row r="1644" spans="1:1">
      <c r="A1644" s="173"/>
    </row>
    <row r="1645" spans="1:1">
      <c r="A1645" s="173"/>
    </row>
    <row r="1646" spans="1:1">
      <c r="A1646" s="173"/>
    </row>
    <row r="1647" spans="1:1">
      <c r="A1647" s="173"/>
    </row>
    <row r="1648" spans="1:1">
      <c r="A1648" s="173"/>
    </row>
    <row r="1649" spans="1:1">
      <c r="A1649" s="173"/>
    </row>
    <row r="1650" spans="1:1">
      <c r="A1650" s="173"/>
    </row>
    <row r="1651" spans="1:1">
      <c r="A1651" s="173"/>
    </row>
    <row r="1652" spans="1:1">
      <c r="A1652" s="173"/>
    </row>
    <row r="1653" spans="1:1">
      <c r="A1653" s="173"/>
    </row>
    <row r="1654" spans="1:1">
      <c r="A1654" s="173"/>
    </row>
    <row r="1655" spans="1:1">
      <c r="A1655" s="173"/>
    </row>
    <row r="1656" spans="1:1">
      <c r="A1656" s="173"/>
    </row>
    <row r="1657" spans="1:1">
      <c r="A1657" s="173"/>
    </row>
    <row r="1658" spans="1:1">
      <c r="A1658" s="173"/>
    </row>
    <row r="1659" spans="1:1">
      <c r="A1659" s="173"/>
    </row>
    <row r="1660" spans="1:1">
      <c r="A1660" s="173"/>
    </row>
    <row r="1661" spans="1:1">
      <c r="A1661" s="173"/>
    </row>
    <row r="1662" spans="1:1">
      <c r="A1662" s="173"/>
    </row>
    <row r="1663" spans="1:1">
      <c r="A1663" s="173"/>
    </row>
    <row r="1664" spans="1:1">
      <c r="A1664" s="173"/>
    </row>
    <row r="1665" spans="1:1">
      <c r="A1665" s="173"/>
    </row>
    <row r="1666" spans="1:1">
      <c r="A1666" s="173"/>
    </row>
    <row r="1667" spans="1:1">
      <c r="A1667" s="173"/>
    </row>
    <row r="1668" spans="1:1">
      <c r="A1668" s="173"/>
    </row>
    <row r="1669" spans="1:1">
      <c r="A1669" s="173"/>
    </row>
    <row r="1670" spans="1:1">
      <c r="A1670" s="173"/>
    </row>
    <row r="1671" spans="1:1">
      <c r="A1671" s="173"/>
    </row>
    <row r="1672" spans="1:1">
      <c r="A1672" s="173"/>
    </row>
    <row r="1673" spans="1:1">
      <c r="A1673" s="173"/>
    </row>
    <row r="1674" spans="1:1">
      <c r="A1674" s="173"/>
    </row>
    <row r="1675" spans="1:1">
      <c r="A1675" s="173"/>
    </row>
    <row r="1676" spans="1:1">
      <c r="A1676" s="173"/>
    </row>
    <row r="1677" spans="1:1">
      <c r="A1677" s="173"/>
    </row>
    <row r="1678" spans="1:1">
      <c r="A1678" s="173"/>
    </row>
    <row r="1679" spans="1:1">
      <c r="A1679" s="173"/>
    </row>
    <row r="1680" spans="1:1">
      <c r="A1680" s="173"/>
    </row>
    <row r="1681" spans="1:1">
      <c r="A1681" s="173"/>
    </row>
    <row r="1682" spans="1:1">
      <c r="A1682" s="173"/>
    </row>
    <row r="1683" spans="1:1">
      <c r="A1683" s="173"/>
    </row>
    <row r="1684" spans="1:1">
      <c r="A1684" s="173"/>
    </row>
    <row r="1685" spans="1:1">
      <c r="A1685" s="173"/>
    </row>
    <row r="1686" spans="1:1">
      <c r="A1686" s="173"/>
    </row>
    <row r="1687" spans="1:1">
      <c r="A1687" s="173"/>
    </row>
    <row r="1688" spans="1:1">
      <c r="A1688" s="173"/>
    </row>
    <row r="1689" spans="1:1">
      <c r="A1689" s="173"/>
    </row>
    <row r="1690" spans="1:1">
      <c r="A1690" s="173"/>
    </row>
    <row r="1691" spans="1:1">
      <c r="A1691" s="173"/>
    </row>
    <row r="1692" spans="1:1">
      <c r="A1692" s="173"/>
    </row>
    <row r="1693" spans="1:1">
      <c r="A1693" s="173"/>
    </row>
    <row r="1694" spans="1:1">
      <c r="A1694" s="173"/>
    </row>
    <row r="1695" spans="1:1">
      <c r="A1695" s="173"/>
    </row>
    <row r="1696" spans="1:1">
      <c r="A1696" s="173"/>
    </row>
    <row r="1697" spans="1:1">
      <c r="A1697" s="173"/>
    </row>
    <row r="1698" spans="1:1">
      <c r="A1698" s="173"/>
    </row>
    <row r="1699" spans="1:1">
      <c r="A1699" s="173"/>
    </row>
    <row r="1700" spans="1:1">
      <c r="A1700" s="173"/>
    </row>
    <row r="1701" spans="1:1">
      <c r="A1701" s="173"/>
    </row>
    <row r="1702" spans="1:1">
      <c r="A1702" s="173"/>
    </row>
    <row r="1703" spans="1:1">
      <c r="A1703" s="173"/>
    </row>
    <row r="1704" spans="1:1">
      <c r="A1704" s="173"/>
    </row>
    <row r="1705" spans="1:1">
      <c r="A1705" s="173"/>
    </row>
    <row r="1706" spans="1:1">
      <c r="A1706" s="173"/>
    </row>
    <row r="1707" spans="1:1">
      <c r="A1707" s="173"/>
    </row>
    <row r="1708" spans="1:1">
      <c r="A1708" s="173"/>
    </row>
    <row r="1709" spans="1:1">
      <c r="A1709" s="173"/>
    </row>
    <row r="1710" spans="1:1">
      <c r="A1710" s="173"/>
    </row>
    <row r="1711" spans="1:1">
      <c r="A1711" s="173"/>
    </row>
    <row r="1712" spans="1:1">
      <c r="A1712" s="173"/>
    </row>
    <row r="1713" spans="1:1">
      <c r="A1713" s="173"/>
    </row>
    <row r="1714" spans="1:1">
      <c r="A1714" s="173"/>
    </row>
    <row r="1715" spans="1:1">
      <c r="A1715" s="173"/>
    </row>
    <row r="1716" spans="1:1">
      <c r="A1716" s="173"/>
    </row>
    <row r="1717" spans="1:1">
      <c r="A1717" s="173"/>
    </row>
    <row r="1718" spans="1:1">
      <c r="A1718" s="173"/>
    </row>
    <row r="1719" spans="1:1">
      <c r="A1719" s="173"/>
    </row>
    <row r="1720" spans="1:1">
      <c r="A1720" s="173"/>
    </row>
    <row r="1721" spans="1:1">
      <c r="A1721" s="173"/>
    </row>
    <row r="1722" spans="1:1">
      <c r="A1722" s="173"/>
    </row>
    <row r="1723" spans="1:1">
      <c r="A1723" s="173"/>
    </row>
    <row r="1724" spans="1:1">
      <c r="A1724" s="173"/>
    </row>
    <row r="1725" spans="1:1">
      <c r="A1725" s="173"/>
    </row>
    <row r="1726" spans="1:1">
      <c r="A1726" s="173"/>
    </row>
    <row r="1727" spans="1:1">
      <c r="A1727" s="173"/>
    </row>
    <row r="1728" spans="1:1">
      <c r="A1728" s="173"/>
    </row>
    <row r="1729" spans="1:1">
      <c r="A1729" s="173"/>
    </row>
    <row r="1730" spans="1:1">
      <c r="A1730" s="173"/>
    </row>
    <row r="1731" spans="1:1">
      <c r="A1731" s="173"/>
    </row>
    <row r="1732" spans="1:1">
      <c r="A1732" s="173"/>
    </row>
    <row r="1733" spans="1:1">
      <c r="A1733" s="173"/>
    </row>
    <row r="1734" spans="1:1">
      <c r="A1734" s="173"/>
    </row>
    <row r="1735" spans="1:1">
      <c r="A1735" s="173"/>
    </row>
    <row r="1736" spans="1:1">
      <c r="A1736" s="173"/>
    </row>
    <row r="1737" spans="1:1">
      <c r="A1737" s="173"/>
    </row>
    <row r="1738" spans="1:1">
      <c r="A1738" s="173"/>
    </row>
    <row r="1739" spans="1:1">
      <c r="A1739" s="173"/>
    </row>
    <row r="1740" spans="1:1">
      <c r="A1740" s="173"/>
    </row>
    <row r="1741" spans="1:1">
      <c r="A1741" s="173"/>
    </row>
    <row r="1742" spans="1:1">
      <c r="A1742" s="173"/>
    </row>
    <row r="1743" spans="1:1">
      <c r="A1743" s="173"/>
    </row>
    <row r="1744" spans="1:1">
      <c r="A1744" s="173"/>
    </row>
    <row r="1745" spans="1:1">
      <c r="A1745" s="173"/>
    </row>
    <row r="1746" spans="1:1">
      <c r="A1746" s="173"/>
    </row>
    <row r="1747" spans="1:1">
      <c r="A1747" s="173"/>
    </row>
    <row r="1748" spans="1:1">
      <c r="A1748" s="173"/>
    </row>
    <row r="1749" spans="1:1">
      <c r="A1749" s="173"/>
    </row>
    <row r="1750" spans="1:1">
      <c r="A1750" s="173"/>
    </row>
    <row r="1751" spans="1:1">
      <c r="A1751" s="173"/>
    </row>
    <row r="1752" spans="1:1">
      <c r="A1752" s="173"/>
    </row>
    <row r="1753" spans="1:1">
      <c r="A1753" s="173"/>
    </row>
    <row r="1754" spans="1:1">
      <c r="A1754" s="173"/>
    </row>
    <row r="1755" spans="1:1">
      <c r="A1755" s="173"/>
    </row>
    <row r="1756" spans="1:1">
      <c r="A1756" s="173"/>
    </row>
    <row r="1757" spans="1:1">
      <c r="A1757" s="173"/>
    </row>
    <row r="1758" spans="1:1">
      <c r="A1758" s="173"/>
    </row>
    <row r="1759" spans="1:1">
      <c r="A1759" s="173"/>
    </row>
    <row r="1760" spans="1:1">
      <c r="A1760" s="173"/>
    </row>
    <row r="1761" spans="1:1">
      <c r="A1761" s="173"/>
    </row>
    <row r="1762" spans="1:1">
      <c r="A1762" s="173"/>
    </row>
    <row r="1763" spans="1:1">
      <c r="A1763" s="173"/>
    </row>
    <row r="1764" spans="1:1">
      <c r="A1764" s="173"/>
    </row>
    <row r="1765" spans="1:1">
      <c r="A1765" s="173"/>
    </row>
    <row r="1766" spans="1:1">
      <c r="A1766" s="173"/>
    </row>
    <row r="1767" spans="1:1">
      <c r="A1767" s="173"/>
    </row>
    <row r="1768" spans="1:1">
      <c r="A1768" s="173"/>
    </row>
    <row r="1769" spans="1:1">
      <c r="A1769" s="173"/>
    </row>
    <row r="1770" spans="1:1">
      <c r="A1770" s="173"/>
    </row>
    <row r="1771" spans="1:1">
      <c r="A1771" s="173"/>
    </row>
    <row r="1772" spans="1:1">
      <c r="A1772" s="173"/>
    </row>
    <row r="1773" spans="1:1">
      <c r="A1773" s="173"/>
    </row>
    <row r="1774" spans="1:1">
      <c r="A1774" s="173"/>
    </row>
    <row r="1775" spans="1:1">
      <c r="A1775" s="173"/>
    </row>
    <row r="1776" spans="1:1">
      <c r="A1776" s="173"/>
    </row>
    <row r="1777" spans="1:1">
      <c r="A1777" s="173"/>
    </row>
    <row r="1778" spans="1:1">
      <c r="A1778" s="173"/>
    </row>
    <row r="1779" spans="1:1">
      <c r="A1779" s="173"/>
    </row>
    <row r="1780" spans="1:1">
      <c r="A1780" s="173"/>
    </row>
    <row r="1781" spans="1:1">
      <c r="A1781" s="173"/>
    </row>
    <row r="1782" spans="1:1">
      <c r="A1782" s="173"/>
    </row>
    <row r="1783" spans="1:1">
      <c r="A1783" s="173"/>
    </row>
    <row r="1784" spans="1:1">
      <c r="A1784" s="173"/>
    </row>
    <row r="1785" spans="1:1">
      <c r="A1785" s="173"/>
    </row>
    <row r="1786" spans="1:1">
      <c r="A1786" s="173"/>
    </row>
    <row r="1787" spans="1:1">
      <c r="A1787" s="173"/>
    </row>
    <row r="1788" spans="1:1">
      <c r="A1788" s="173"/>
    </row>
    <row r="1789" spans="1:1">
      <c r="A1789" s="173"/>
    </row>
    <row r="1790" spans="1:1">
      <c r="A1790" s="173"/>
    </row>
    <row r="1791" spans="1:1">
      <c r="A1791" s="173"/>
    </row>
    <row r="1792" spans="1:1">
      <c r="A1792" s="173"/>
    </row>
    <row r="1793" spans="1:1">
      <c r="A1793" s="173"/>
    </row>
    <row r="1794" spans="1:1">
      <c r="A1794" s="173"/>
    </row>
    <row r="1795" spans="1:1">
      <c r="A1795" s="173"/>
    </row>
    <row r="1796" spans="1:1">
      <c r="A1796" s="173"/>
    </row>
    <row r="1797" spans="1:1">
      <c r="A1797" s="173"/>
    </row>
    <row r="1798" spans="1:1">
      <c r="A1798" s="173"/>
    </row>
    <row r="1799" spans="1:1">
      <c r="A1799" s="173"/>
    </row>
    <row r="1800" spans="1:1">
      <c r="A1800" s="173"/>
    </row>
    <row r="1801" spans="1:1">
      <c r="A1801" s="173"/>
    </row>
    <row r="1802" spans="1:1">
      <c r="A1802" s="173"/>
    </row>
    <row r="1803" spans="1:1">
      <c r="A1803" s="173"/>
    </row>
    <row r="1804" spans="1:1">
      <c r="A1804" s="173"/>
    </row>
    <row r="1805" spans="1:1">
      <c r="A1805" s="173"/>
    </row>
    <row r="1806" spans="1:1">
      <c r="A1806" s="173"/>
    </row>
    <row r="1807" spans="1:1">
      <c r="A1807" s="173"/>
    </row>
    <row r="1808" spans="1:1">
      <c r="A1808" s="173"/>
    </row>
    <row r="1809" spans="1:1">
      <c r="A1809" s="173"/>
    </row>
    <row r="1810" spans="1:1">
      <c r="A1810" s="173"/>
    </row>
    <row r="1811" spans="1:1">
      <c r="A1811" s="173"/>
    </row>
    <row r="1812" spans="1:1">
      <c r="A1812" s="173"/>
    </row>
    <row r="1813" spans="1:1">
      <c r="A1813" s="173"/>
    </row>
    <row r="1814" spans="1:1">
      <c r="A1814" s="173"/>
    </row>
    <row r="1815" spans="1:1">
      <c r="A1815" s="173"/>
    </row>
    <row r="1816" spans="1:1">
      <c r="A1816" s="173"/>
    </row>
    <row r="1817" spans="1:1">
      <c r="A1817" s="173"/>
    </row>
    <row r="1818" spans="1:1">
      <c r="A1818" s="173"/>
    </row>
    <row r="1819" spans="1:1">
      <c r="A1819" s="173"/>
    </row>
    <row r="1820" spans="1:1">
      <c r="A1820" s="173"/>
    </row>
    <row r="1821" spans="1:1">
      <c r="A1821" s="173"/>
    </row>
    <row r="1822" spans="1:1">
      <c r="A1822" s="173"/>
    </row>
    <row r="1823" spans="1:1">
      <c r="A1823" s="173"/>
    </row>
    <row r="1824" spans="1:1">
      <c r="A1824" s="173"/>
    </row>
    <row r="1825" spans="1:1">
      <c r="A1825" s="173"/>
    </row>
    <row r="1826" spans="1:1">
      <c r="A1826" s="173"/>
    </row>
    <row r="1827" spans="1:1">
      <c r="A1827" s="173"/>
    </row>
    <row r="1828" spans="1:1">
      <c r="A1828" s="173"/>
    </row>
    <row r="1829" spans="1:1">
      <c r="A1829" s="173"/>
    </row>
    <row r="1830" spans="1:1">
      <c r="A1830" s="173"/>
    </row>
    <row r="1831" spans="1:1">
      <c r="A1831" s="173"/>
    </row>
    <row r="1832" spans="1:1">
      <c r="A1832" s="173"/>
    </row>
    <row r="1833" spans="1:1">
      <c r="A1833" s="173"/>
    </row>
    <row r="1834" spans="1:1">
      <c r="A1834" s="173"/>
    </row>
    <row r="1835" spans="1:1">
      <c r="A1835" s="173"/>
    </row>
    <row r="1836" spans="1:1">
      <c r="A1836" s="173"/>
    </row>
    <row r="1837" spans="1:1">
      <c r="A1837" s="173"/>
    </row>
    <row r="1838" spans="1:1">
      <c r="A1838" s="173"/>
    </row>
    <row r="1839" spans="1:1">
      <c r="A1839" s="173"/>
    </row>
    <row r="1840" spans="1:1">
      <c r="A1840" s="173"/>
    </row>
    <row r="1841" spans="1:1">
      <c r="A1841" s="173"/>
    </row>
    <row r="1842" spans="1:1">
      <c r="A1842" s="173"/>
    </row>
    <row r="1843" spans="1:1">
      <c r="A1843" s="173"/>
    </row>
    <row r="1844" spans="1:1">
      <c r="A1844" s="173"/>
    </row>
    <row r="1845" spans="1:1">
      <c r="A1845" s="173"/>
    </row>
    <row r="1846" spans="1:1">
      <c r="A1846" s="173"/>
    </row>
    <row r="1847" spans="1:1">
      <c r="A1847" s="173"/>
    </row>
    <row r="1848" spans="1:1">
      <c r="A1848" s="173"/>
    </row>
    <row r="1849" spans="1:1">
      <c r="A1849" s="173"/>
    </row>
    <row r="1850" spans="1:1">
      <c r="A1850" s="173"/>
    </row>
    <row r="1851" spans="1:1">
      <c r="A1851" s="173"/>
    </row>
    <row r="1852" spans="1:1">
      <c r="A1852" s="173"/>
    </row>
    <row r="1853" spans="1:1">
      <c r="A1853" s="173"/>
    </row>
    <row r="1854" spans="1:1">
      <c r="A1854" s="173"/>
    </row>
    <row r="1855" spans="1:1">
      <c r="A1855" s="173"/>
    </row>
    <row r="1856" spans="1:1">
      <c r="A1856" s="173"/>
    </row>
    <row r="1857" spans="1:1">
      <c r="A1857" s="173"/>
    </row>
    <row r="1858" spans="1:1">
      <c r="A1858" s="173"/>
    </row>
    <row r="1859" spans="1:1">
      <c r="A1859" s="173"/>
    </row>
    <row r="1860" spans="1:1">
      <c r="A1860" s="173"/>
    </row>
    <row r="1861" spans="1:1">
      <c r="A1861" s="173"/>
    </row>
    <row r="1862" spans="1:1">
      <c r="A1862" s="173"/>
    </row>
    <row r="1863" spans="1:1">
      <c r="A1863" s="173"/>
    </row>
    <row r="1864" spans="1:1">
      <c r="A1864" s="173"/>
    </row>
    <row r="1865" spans="1:1">
      <c r="A1865" s="173"/>
    </row>
    <row r="1866" spans="1:1">
      <c r="A1866" s="173"/>
    </row>
    <row r="1867" spans="1:1">
      <c r="A1867" s="173"/>
    </row>
    <row r="1868" spans="1:1">
      <c r="A1868" s="173"/>
    </row>
    <row r="1869" spans="1:1">
      <c r="A1869" s="173"/>
    </row>
    <row r="1870" spans="1:1">
      <c r="A1870" s="173"/>
    </row>
    <row r="1871" spans="1:1">
      <c r="A1871" s="173"/>
    </row>
    <row r="1872" spans="1:1">
      <c r="A1872" s="173"/>
    </row>
    <row r="1873" spans="1:1">
      <c r="A1873" s="173"/>
    </row>
    <row r="1874" spans="1:1">
      <c r="A1874" s="173"/>
    </row>
    <row r="1875" spans="1:1">
      <c r="A1875" s="173"/>
    </row>
    <row r="1876" spans="1:1">
      <c r="A1876" s="173"/>
    </row>
    <row r="1877" spans="1:1">
      <c r="A1877" s="173"/>
    </row>
    <row r="1878" spans="1:1">
      <c r="A1878" s="173"/>
    </row>
    <row r="1879" spans="1:1">
      <c r="A1879" s="173"/>
    </row>
    <row r="1880" spans="1:1">
      <c r="A1880" s="173"/>
    </row>
    <row r="1881" spans="1:1">
      <c r="A1881" s="173"/>
    </row>
    <row r="1882" spans="1:1">
      <c r="A1882" s="173"/>
    </row>
    <row r="1883" spans="1:1">
      <c r="A1883" s="173"/>
    </row>
    <row r="1884" spans="1:1">
      <c r="A1884" s="173"/>
    </row>
    <row r="1885" spans="1:1">
      <c r="A1885" s="173"/>
    </row>
    <row r="1886" spans="1:1">
      <c r="A1886" s="173"/>
    </row>
    <row r="1887" spans="1:1">
      <c r="A1887" s="173"/>
    </row>
    <row r="1888" spans="1:1">
      <c r="A1888" s="173"/>
    </row>
    <row r="1889" spans="1:1">
      <c r="A1889" s="173"/>
    </row>
    <row r="1890" spans="1:1">
      <c r="A1890" s="173"/>
    </row>
    <row r="1891" spans="1:1">
      <c r="A1891" s="173"/>
    </row>
    <row r="1892" spans="1:1">
      <c r="A1892" s="173"/>
    </row>
    <row r="1893" spans="1:1">
      <c r="A1893" s="173"/>
    </row>
    <row r="1894" spans="1:1">
      <c r="A1894" s="173"/>
    </row>
    <row r="1895" spans="1:1">
      <c r="A1895" s="173"/>
    </row>
    <row r="1896" spans="1:1">
      <c r="A1896" s="173"/>
    </row>
    <row r="1897" spans="1:1">
      <c r="A1897" s="173"/>
    </row>
    <row r="1898" spans="1:1">
      <c r="A1898" s="173"/>
    </row>
    <row r="1899" spans="1:1">
      <c r="A1899" s="173"/>
    </row>
    <row r="1900" spans="1:1">
      <c r="A1900" s="173"/>
    </row>
    <row r="1901" spans="1:1">
      <c r="A1901" s="173"/>
    </row>
    <row r="1902" spans="1:1">
      <c r="A1902" s="173"/>
    </row>
    <row r="1903" spans="1:1">
      <c r="A1903" s="173"/>
    </row>
    <row r="1904" spans="1:1">
      <c r="A1904" s="173"/>
    </row>
    <row r="1905" spans="1:1">
      <c r="A1905" s="173"/>
    </row>
    <row r="1906" spans="1:1">
      <c r="A1906" s="173"/>
    </row>
    <row r="1907" spans="1:1">
      <c r="A1907" s="173"/>
    </row>
    <row r="1908" spans="1:1">
      <c r="A1908" s="173"/>
    </row>
    <row r="1909" spans="1:1">
      <c r="A1909" s="173"/>
    </row>
    <row r="1910" spans="1:1">
      <c r="A1910" s="173"/>
    </row>
    <row r="1911" spans="1:1">
      <c r="A1911" s="173"/>
    </row>
    <row r="1912" spans="1:1">
      <c r="A1912" s="173"/>
    </row>
    <row r="1913" spans="1:1">
      <c r="A1913" s="173"/>
    </row>
    <row r="1914" spans="1:1">
      <c r="A1914" s="173"/>
    </row>
    <row r="1915" spans="1:1">
      <c r="A1915" s="173"/>
    </row>
    <row r="1916" spans="1:1">
      <c r="A1916" s="173"/>
    </row>
    <row r="1917" spans="1:1">
      <c r="A1917" s="173"/>
    </row>
    <row r="1918" spans="1:1">
      <c r="A1918" s="173"/>
    </row>
    <row r="1919" spans="1:1">
      <c r="A1919" s="173"/>
    </row>
    <row r="1920" spans="1:1">
      <c r="A1920" s="173"/>
    </row>
    <row r="1921" spans="1:1">
      <c r="A1921" s="173"/>
    </row>
    <row r="1922" spans="1:1">
      <c r="A1922" s="173"/>
    </row>
    <row r="1923" spans="1:1">
      <c r="A1923" s="173"/>
    </row>
    <row r="1924" spans="1:1">
      <c r="A1924" s="173"/>
    </row>
    <row r="1925" spans="1:1">
      <c r="A1925" s="173"/>
    </row>
    <row r="1926" spans="1:1">
      <c r="A1926" s="173"/>
    </row>
    <row r="1927" spans="1:1">
      <c r="A1927" s="173"/>
    </row>
    <row r="1928" spans="1:1">
      <c r="A1928" s="173"/>
    </row>
    <row r="1929" spans="1:1">
      <c r="A1929" s="173"/>
    </row>
    <row r="1930" spans="1:1">
      <c r="A1930" s="173"/>
    </row>
    <row r="1931" spans="1:1">
      <c r="A1931" s="173"/>
    </row>
    <row r="1932" spans="1:1">
      <c r="A1932" s="173"/>
    </row>
    <row r="1933" spans="1:1">
      <c r="A1933" s="173"/>
    </row>
    <row r="1934" spans="1:1">
      <c r="A1934" s="173"/>
    </row>
    <row r="1935" spans="1:1">
      <c r="A1935" s="173"/>
    </row>
    <row r="1936" spans="1:1">
      <c r="A1936" s="173"/>
    </row>
    <row r="1937" spans="1:1">
      <c r="A1937" s="173"/>
    </row>
    <row r="1938" spans="1:1">
      <c r="A1938" s="173"/>
    </row>
    <row r="1939" spans="1:1">
      <c r="A1939" s="173"/>
    </row>
    <row r="1940" spans="1:1">
      <c r="A1940" s="173"/>
    </row>
    <row r="1941" spans="1:1">
      <c r="A1941" s="173"/>
    </row>
    <row r="1942" spans="1:1">
      <c r="A1942" s="173"/>
    </row>
    <row r="1943" spans="1:1">
      <c r="A1943" s="173"/>
    </row>
    <row r="1944" spans="1:1">
      <c r="A1944" s="173"/>
    </row>
    <row r="1945" spans="1:1">
      <c r="A1945" s="173"/>
    </row>
    <row r="1946" spans="1:1">
      <c r="A1946" s="173"/>
    </row>
    <row r="1947" spans="1:1">
      <c r="A1947" s="173"/>
    </row>
    <row r="1948" spans="1:1">
      <c r="A1948" s="173"/>
    </row>
    <row r="1949" spans="1:1">
      <c r="A1949" s="173"/>
    </row>
    <row r="1950" spans="1:1">
      <c r="A1950" s="173"/>
    </row>
    <row r="1951" spans="1:1">
      <c r="A1951" s="173"/>
    </row>
    <row r="1952" spans="1:1">
      <c r="A1952" s="173"/>
    </row>
    <row r="1953" spans="1:1">
      <c r="A1953" s="173"/>
    </row>
    <row r="1954" spans="1:1">
      <c r="A1954" s="173"/>
    </row>
    <row r="1955" spans="1:1">
      <c r="A1955" s="173"/>
    </row>
    <row r="1956" spans="1:1">
      <c r="A1956" s="173"/>
    </row>
    <row r="1957" spans="1:1">
      <c r="A1957" s="173"/>
    </row>
    <row r="1958" spans="1:1">
      <c r="A1958" s="173"/>
    </row>
    <row r="1959" spans="1:1">
      <c r="A1959" s="173"/>
    </row>
    <row r="1960" spans="1:1">
      <c r="A1960" s="173"/>
    </row>
    <row r="1961" spans="1:1">
      <c r="A1961" s="173"/>
    </row>
    <row r="1962" spans="1:1">
      <c r="A1962" s="173"/>
    </row>
    <row r="1963" spans="1:1">
      <c r="A1963" s="173"/>
    </row>
    <row r="1964" spans="1:1">
      <c r="A1964" s="173"/>
    </row>
    <row r="1965" spans="1:1">
      <c r="A1965" s="173"/>
    </row>
    <row r="1966" spans="1:1">
      <c r="A1966" s="173"/>
    </row>
    <row r="1967" spans="1:1">
      <c r="A1967" s="173"/>
    </row>
    <row r="1968" spans="1:1">
      <c r="A1968" s="173"/>
    </row>
    <row r="1969" spans="1:1">
      <c r="A1969" s="173"/>
    </row>
    <row r="1970" spans="1:1">
      <c r="A1970" s="173"/>
    </row>
    <row r="1971" spans="1:1">
      <c r="A1971" s="173"/>
    </row>
    <row r="1972" spans="1:1">
      <c r="A1972" s="173"/>
    </row>
    <row r="1973" spans="1:1">
      <c r="A1973" s="173"/>
    </row>
    <row r="1974" spans="1:1">
      <c r="A1974" s="173"/>
    </row>
    <row r="1975" spans="1:1">
      <c r="A1975" s="173"/>
    </row>
    <row r="1976" spans="1:1">
      <c r="A1976" s="173"/>
    </row>
    <row r="1977" spans="1:1">
      <c r="A1977" s="173"/>
    </row>
    <row r="1978" spans="1:1">
      <c r="A1978" s="173"/>
    </row>
    <row r="1979" spans="1:1">
      <c r="A1979" s="173"/>
    </row>
    <row r="1980" spans="1:1">
      <c r="A1980" s="173"/>
    </row>
    <row r="1981" spans="1:1">
      <c r="A1981" s="173"/>
    </row>
    <row r="1982" spans="1:1">
      <c r="A1982" s="173"/>
    </row>
    <row r="1983" spans="1:1">
      <c r="A1983" s="173"/>
    </row>
    <row r="1984" spans="1:1">
      <c r="A1984" s="173"/>
    </row>
    <row r="1985" spans="1:1">
      <c r="A1985" s="173"/>
    </row>
    <row r="1986" spans="1:1">
      <c r="A1986" s="173"/>
    </row>
    <row r="1987" spans="1:1">
      <c r="A1987" s="173"/>
    </row>
    <row r="1988" spans="1:1">
      <c r="A1988" s="173"/>
    </row>
    <row r="1989" spans="1:1">
      <c r="A1989" s="173"/>
    </row>
    <row r="1990" spans="1:1">
      <c r="A1990" s="173"/>
    </row>
    <row r="1991" spans="1:1">
      <c r="A1991" s="173"/>
    </row>
    <row r="1992" spans="1:1">
      <c r="A1992" s="173"/>
    </row>
    <row r="1993" spans="1:1">
      <c r="A1993" s="173"/>
    </row>
    <row r="1994" spans="1:1">
      <c r="A1994" s="173"/>
    </row>
    <row r="1995" spans="1:1">
      <c r="A1995" s="173"/>
    </row>
    <row r="1996" spans="1:1">
      <c r="A1996" s="173"/>
    </row>
    <row r="1997" spans="1:1">
      <c r="A1997" s="173"/>
    </row>
    <row r="1998" spans="1:1">
      <c r="A1998" s="173"/>
    </row>
    <row r="1999" spans="1:1">
      <c r="A1999" s="173"/>
    </row>
    <row r="2000" spans="1:1">
      <c r="A2000" s="173"/>
    </row>
    <row r="2001" spans="1:1">
      <c r="A2001" s="173"/>
    </row>
    <row r="2002" spans="1:1">
      <c r="A2002" s="173"/>
    </row>
    <row r="2003" spans="1:1">
      <c r="A2003" s="173"/>
    </row>
    <row r="2004" spans="1:1">
      <c r="A2004" s="173"/>
    </row>
    <row r="2005" spans="1:1">
      <c r="A2005" s="173"/>
    </row>
    <row r="2006" spans="1:1">
      <c r="A2006" s="173"/>
    </row>
    <row r="2007" spans="1:1">
      <c r="A2007" s="173"/>
    </row>
    <row r="2008" spans="1:1">
      <c r="A2008" s="173"/>
    </row>
    <row r="2009" spans="1:1">
      <c r="A2009" s="173"/>
    </row>
    <row r="2010" spans="1:1">
      <c r="A2010" s="173"/>
    </row>
    <row r="2011" spans="1:1">
      <c r="A2011" s="173"/>
    </row>
    <row r="2012" spans="1:1">
      <c r="A2012" s="173"/>
    </row>
    <row r="2013" spans="1:1">
      <c r="A2013" s="173"/>
    </row>
    <row r="2014" spans="1:1">
      <c r="A2014" s="173"/>
    </row>
    <row r="2015" spans="1:1">
      <c r="A2015" s="173"/>
    </row>
    <row r="2016" spans="1:1">
      <c r="A2016" s="17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F67"/>
  <sheetViews>
    <sheetView showGridLines="0" workbookViewId="0">
      <selection activeCell="C5" sqref="C5"/>
    </sheetView>
  </sheetViews>
  <sheetFormatPr defaultRowHeight="12.75"/>
  <cols>
    <col min="1" max="1" width="10.28515625" customWidth="1"/>
    <col min="2" max="2" width="11.140625" customWidth="1"/>
    <col min="3" max="3" width="14.5703125" customWidth="1"/>
    <col min="4" max="4" width="12.28515625" customWidth="1"/>
    <col min="5" max="5" width="6.5703125" customWidth="1"/>
    <col min="6" max="6" width="12.85546875" customWidth="1"/>
    <col min="7" max="7" width="12.5703125" customWidth="1"/>
    <col min="12" max="12" width="10.28515625" customWidth="1"/>
    <col min="13" max="13" width="11.140625" customWidth="1"/>
    <col min="14" max="14" width="14.5703125" customWidth="1"/>
    <col min="15" max="15" width="12.28515625" customWidth="1"/>
    <col min="16" max="16" width="6.5703125" customWidth="1"/>
    <col min="17" max="17" width="12.85546875" customWidth="1"/>
    <col min="18" max="18" width="12.5703125" customWidth="1"/>
  </cols>
  <sheetData>
    <row r="1" spans="1:32" ht="13.5" thickBot="1">
      <c r="A1" s="165" t="s">
        <v>424</v>
      </c>
      <c r="V1" s="240" t="s">
        <v>423</v>
      </c>
    </row>
    <row r="2" spans="1:32" ht="15.75" thickTop="1">
      <c r="A2" s="207" t="str">
        <f>L2</f>
        <v>Dial</v>
      </c>
      <c r="B2" s="208" t="str">
        <f t="shared" ref="B2:B66" si="0">M2</f>
        <v>Dial</v>
      </c>
      <c r="C2" s="208" t="str">
        <f t="shared" ref="C2:C66" si="1">N2</f>
        <v>Capacitance</v>
      </c>
      <c r="D2" s="208" t="str">
        <f t="shared" ref="D2:D66" si="2">O2</f>
        <v xml:space="preserve">Expanded </v>
      </c>
      <c r="E2" s="235" t="str">
        <f t="shared" ref="E2:E66" si="3">P2</f>
        <v>k</v>
      </c>
      <c r="F2" s="208" t="str">
        <f t="shared" ref="F2:F66" si="4">Q2</f>
        <v>Loss angle</v>
      </c>
      <c r="G2" s="208" t="str">
        <f t="shared" ref="G2:G66" si="5">R2</f>
        <v xml:space="preserve">Expanded </v>
      </c>
      <c r="H2" s="236" t="str">
        <f t="shared" ref="H2:H66" si="6">S2</f>
        <v>k</v>
      </c>
      <c r="K2" s="82" t="s">
        <v>353</v>
      </c>
      <c r="L2" s="207" t="s">
        <v>341</v>
      </c>
      <c r="M2" s="208" t="s">
        <v>341</v>
      </c>
      <c r="N2" s="208" t="s">
        <v>34</v>
      </c>
      <c r="O2" s="208" t="s">
        <v>129</v>
      </c>
      <c r="P2" s="235" t="s">
        <v>17</v>
      </c>
      <c r="Q2" s="208" t="s">
        <v>107</v>
      </c>
      <c r="R2" s="208" t="s">
        <v>129</v>
      </c>
      <c r="S2" s="236" t="s">
        <v>17</v>
      </c>
      <c r="T2" s="237"/>
      <c r="U2" s="233" t="s">
        <v>413</v>
      </c>
      <c r="W2" s="177" t="s">
        <v>341</v>
      </c>
      <c r="X2" s="182" t="s">
        <v>342</v>
      </c>
      <c r="Y2" s="182" t="s">
        <v>34</v>
      </c>
      <c r="Z2" s="182" t="s">
        <v>129</v>
      </c>
      <c r="AA2" s="196" t="s">
        <v>17</v>
      </c>
      <c r="AB2" s="182" t="s">
        <v>107</v>
      </c>
      <c r="AC2" s="182" t="s">
        <v>129</v>
      </c>
      <c r="AD2" s="202" t="s">
        <v>17</v>
      </c>
    </row>
    <row r="3" spans="1:32" ht="15">
      <c r="A3" s="209" t="str">
        <f>L3</f>
        <v>Label</v>
      </c>
      <c r="B3" s="158" t="str">
        <f>M3</f>
        <v>Setting</v>
      </c>
      <c r="C3" s="158" t="str">
        <f t="shared" si="1"/>
        <v>change</v>
      </c>
      <c r="D3" s="158" t="str">
        <f t="shared" si="2"/>
        <v>uncertainty</v>
      </c>
      <c r="E3" s="159"/>
      <c r="F3" s="158"/>
      <c r="G3" s="158" t="str">
        <f t="shared" si="5"/>
        <v>uncertainty</v>
      </c>
      <c r="H3" s="210"/>
      <c r="K3" s="82"/>
      <c r="L3" s="209" t="s">
        <v>16</v>
      </c>
      <c r="M3" s="158" t="s">
        <v>342</v>
      </c>
      <c r="N3" s="158" t="s">
        <v>132</v>
      </c>
      <c r="O3" s="158" t="s">
        <v>130</v>
      </c>
      <c r="P3" s="159"/>
      <c r="Q3" s="158"/>
      <c r="R3" s="158" t="s">
        <v>130</v>
      </c>
      <c r="S3" s="210"/>
      <c r="T3" s="163"/>
      <c r="W3" s="178"/>
      <c r="X3" s="183"/>
      <c r="Y3" s="183" t="s">
        <v>132</v>
      </c>
      <c r="Z3" s="183" t="s">
        <v>130</v>
      </c>
      <c r="AA3" s="188"/>
      <c r="AB3" s="183"/>
      <c r="AC3" s="183" t="s">
        <v>130</v>
      </c>
      <c r="AD3" s="203"/>
    </row>
    <row r="4" spans="1:32" ht="15">
      <c r="A4" s="211"/>
      <c r="B4" s="160"/>
      <c r="C4" s="160"/>
      <c r="D4" s="160"/>
      <c r="E4" s="161"/>
      <c r="F4" s="160" t="str">
        <f t="shared" si="4"/>
        <v>(milliradian)</v>
      </c>
      <c r="G4" s="160" t="str">
        <f t="shared" si="5"/>
        <v>(milliradian)</v>
      </c>
      <c r="H4" s="212"/>
      <c r="K4" s="82"/>
      <c r="L4" s="211"/>
      <c r="M4" s="160"/>
      <c r="N4" s="160"/>
      <c r="O4" s="160"/>
      <c r="P4" s="161"/>
      <c r="Q4" s="160" t="s">
        <v>133</v>
      </c>
      <c r="R4" s="160" t="s">
        <v>133</v>
      </c>
      <c r="S4" s="212"/>
      <c r="T4" s="163"/>
      <c r="W4" s="179"/>
      <c r="X4" s="184"/>
      <c r="Y4" s="184"/>
      <c r="Z4" s="184"/>
      <c r="AA4" s="197"/>
      <c r="AB4" s="184" t="s">
        <v>133</v>
      </c>
      <c r="AC4" s="184" t="s">
        <v>133</v>
      </c>
      <c r="AD4" s="204"/>
    </row>
    <row r="5" spans="1:32" ht="15">
      <c r="A5" s="209" t="str">
        <f t="shared" ref="A5:A66" si="7">L5</f>
        <v>1pF</v>
      </c>
      <c r="B5" s="158">
        <f t="shared" si="0"/>
        <v>10</v>
      </c>
      <c r="C5" s="159" t="e">
        <f>TEXT(N5,"0.0")&amp;" pF"</f>
        <v>#N/A</v>
      </c>
      <c r="D5" s="159" t="e">
        <f>TEXT(O5,"0.0")&amp;" pF"</f>
        <v>#N/A</v>
      </c>
      <c r="E5" s="159" t="e">
        <f t="shared" si="3"/>
        <v>#N/A</v>
      </c>
      <c r="F5" s="213">
        <f t="shared" si="4"/>
        <v>9.2023612139707944E-2</v>
      </c>
      <c r="G5" s="213" t="e">
        <f t="shared" si="5"/>
        <v>#N/A</v>
      </c>
      <c r="H5" s="210" t="e">
        <f t="shared" si="6"/>
        <v>#N/A</v>
      </c>
      <c r="K5" t="s">
        <v>355</v>
      </c>
      <c r="L5" s="209" t="s">
        <v>343</v>
      </c>
      <c r="M5" s="158">
        <v>10</v>
      </c>
      <c r="N5" s="159" t="e">
        <f t="shared" ref="N5:N14" si="8">VLOOKUP(K5,Rangex,5,FALSE)</f>
        <v>#N/A</v>
      </c>
      <c r="O5" s="159" t="e">
        <f t="shared" ref="O5:O14" si="9">VLOOKUP($K5,ub_uncertainty,2,FALSE)</f>
        <v>#N/A</v>
      </c>
      <c r="P5" s="159" t="e">
        <f t="shared" ref="P5:P14" si="10">VLOOKUP($K5,ub_uncertainty,3,FALSE)</f>
        <v>#N/A</v>
      </c>
      <c r="Q5" s="213">
        <f t="shared" ref="Q5:Q14" si="11">VLOOKUP(K5,Andeen,9,FALSE)</f>
        <v>9.2023612139707944E-2</v>
      </c>
      <c r="R5" s="213" t="e">
        <f t="shared" ref="R5:R14" si="12">VLOOKUP(K5,ub_uncertainty,6,FALSE)</f>
        <v>#N/A</v>
      </c>
      <c r="S5" s="210" t="e">
        <f t="shared" ref="S5:S14" si="13">VLOOKUP(K5,ub_uncertainty,5,FALSE)</f>
        <v>#N/A</v>
      </c>
      <c r="T5" s="163"/>
      <c r="U5" s="84" t="e">
        <f>(N5-Y5)/O5</f>
        <v>#N/A</v>
      </c>
      <c r="V5" s="84" t="e">
        <f>(Q5-AB5)/R5</f>
        <v>#N/A</v>
      </c>
      <c r="W5" s="178" t="s">
        <v>343</v>
      </c>
      <c r="X5" s="183">
        <v>10</v>
      </c>
      <c r="Y5" s="188">
        <v>10.3</v>
      </c>
      <c r="Z5" s="188">
        <v>1.2</v>
      </c>
      <c r="AA5" s="188">
        <v>2.4696100868213162</v>
      </c>
      <c r="AB5" s="190">
        <v>0.21829371087479849</v>
      </c>
      <c r="AC5" s="190">
        <v>0.20369517920224095</v>
      </c>
      <c r="AD5" s="203">
        <v>2.1403870158886953</v>
      </c>
      <c r="AF5" t="e">
        <f>O5/Z5</f>
        <v>#N/A</v>
      </c>
    </row>
    <row r="6" spans="1:32" ht="15">
      <c r="A6" s="209" t="str">
        <f t="shared" si="7"/>
        <v>DIV</v>
      </c>
      <c r="B6" s="158">
        <f t="shared" si="0"/>
        <v>20</v>
      </c>
      <c r="C6" s="159" t="e">
        <f t="shared" si="1"/>
        <v>#N/A</v>
      </c>
      <c r="D6" s="159" t="e">
        <f t="shared" si="2"/>
        <v>#N/A</v>
      </c>
      <c r="E6" s="159" t="e">
        <f t="shared" si="3"/>
        <v>#N/A</v>
      </c>
      <c r="F6" s="213">
        <f t="shared" si="4"/>
        <v>0.13260558181787208</v>
      </c>
      <c r="G6" s="213" t="e">
        <f t="shared" si="5"/>
        <v>#N/A</v>
      </c>
      <c r="H6" s="210" t="e">
        <f t="shared" si="6"/>
        <v>#N/A</v>
      </c>
      <c r="K6" t="s">
        <v>356</v>
      </c>
      <c r="L6" s="209" t="s">
        <v>344</v>
      </c>
      <c r="M6" s="158">
        <v>20</v>
      </c>
      <c r="N6" s="159" t="e">
        <f t="shared" si="8"/>
        <v>#N/A</v>
      </c>
      <c r="O6" s="159" t="e">
        <f t="shared" si="9"/>
        <v>#N/A</v>
      </c>
      <c r="P6" s="159" t="e">
        <f t="shared" si="10"/>
        <v>#N/A</v>
      </c>
      <c r="Q6" s="213">
        <f t="shared" si="11"/>
        <v>0.13260558181787208</v>
      </c>
      <c r="R6" s="213" t="e">
        <f t="shared" si="12"/>
        <v>#N/A</v>
      </c>
      <c r="S6" s="210" t="e">
        <f t="shared" si="13"/>
        <v>#N/A</v>
      </c>
      <c r="T6" s="163"/>
      <c r="U6" s="84" t="e">
        <f t="shared" ref="U6:U66" si="14">(N6-Y6)/O6</f>
        <v>#N/A</v>
      </c>
      <c r="V6" s="84" t="e">
        <f t="shared" ref="V6:V66" si="15">(Q6-AB6)/R6</f>
        <v>#N/A</v>
      </c>
      <c r="W6" s="178" t="s">
        <v>344</v>
      </c>
      <c r="X6" s="183">
        <v>20</v>
      </c>
      <c r="Y6" s="188">
        <v>21.016783150833682</v>
      </c>
      <c r="Z6" s="188">
        <v>1.2348063085685228</v>
      </c>
      <c r="AA6" s="188">
        <v>2.4696011632552595</v>
      </c>
      <c r="AB6" s="190">
        <v>0.29117794196833929</v>
      </c>
      <c r="AC6" s="190">
        <v>0.11728770772950052</v>
      </c>
      <c r="AD6" s="203">
        <v>2.1437641648384163</v>
      </c>
    </row>
    <row r="7" spans="1:32" ht="15">
      <c r="A7" s="209"/>
      <c r="B7" s="158">
        <f t="shared" si="0"/>
        <v>30</v>
      </c>
      <c r="C7" s="159" t="e">
        <f t="shared" si="1"/>
        <v>#N/A</v>
      </c>
      <c r="D7" s="159" t="e">
        <f t="shared" si="2"/>
        <v>#N/A</v>
      </c>
      <c r="E7" s="159" t="e">
        <f t="shared" si="3"/>
        <v>#N/A</v>
      </c>
      <c r="F7" s="213">
        <f t="shared" si="4"/>
        <v>5.2216667656395321E-2</v>
      </c>
      <c r="G7" s="213" t="e">
        <f t="shared" si="5"/>
        <v>#N/A</v>
      </c>
      <c r="H7" s="210" t="e">
        <f t="shared" si="6"/>
        <v>#N/A</v>
      </c>
      <c r="K7" t="s">
        <v>357</v>
      </c>
      <c r="L7" s="209"/>
      <c r="M7" s="158">
        <v>30</v>
      </c>
      <c r="N7" s="159" t="e">
        <f t="shared" si="8"/>
        <v>#N/A</v>
      </c>
      <c r="O7" s="159" t="e">
        <f t="shared" si="9"/>
        <v>#N/A</v>
      </c>
      <c r="P7" s="159" t="e">
        <f t="shared" si="10"/>
        <v>#N/A</v>
      </c>
      <c r="Q7" s="213">
        <f t="shared" si="11"/>
        <v>5.2216667656395321E-2</v>
      </c>
      <c r="R7" s="213" t="e">
        <f t="shared" si="12"/>
        <v>#N/A</v>
      </c>
      <c r="S7" s="210" t="e">
        <f t="shared" si="13"/>
        <v>#N/A</v>
      </c>
      <c r="T7" s="163"/>
      <c r="U7" s="84" t="e">
        <f t="shared" si="14"/>
        <v>#N/A</v>
      </c>
      <c r="V7" s="84" t="e">
        <f t="shared" si="15"/>
        <v>#N/A</v>
      </c>
      <c r="W7" s="178"/>
      <c r="X7" s="183">
        <v>30</v>
      </c>
      <c r="Y7" s="188">
        <v>31.698184465924587</v>
      </c>
      <c r="Z7" s="188">
        <v>1.2348061171292968</v>
      </c>
      <c r="AA7" s="188">
        <v>2.4695862060719711</v>
      </c>
      <c r="AB7" s="190">
        <v>0.27444679119813609</v>
      </c>
      <c r="AC7" s="190">
        <v>8.9296431685813679E-2</v>
      </c>
      <c r="AD7" s="203">
        <v>2.1459764178796372</v>
      </c>
    </row>
    <row r="8" spans="1:32" ht="15">
      <c r="A8" s="209"/>
      <c r="B8" s="158">
        <f t="shared" si="0"/>
        <v>40</v>
      </c>
      <c r="C8" s="159" t="e">
        <f t="shared" si="1"/>
        <v>#N/A</v>
      </c>
      <c r="D8" s="159" t="e">
        <f t="shared" si="2"/>
        <v>#N/A</v>
      </c>
      <c r="E8" s="159" t="e">
        <f t="shared" si="3"/>
        <v>#N/A</v>
      </c>
      <c r="F8" s="213">
        <f t="shared" si="4"/>
        <v>4.9208650436167019E-2</v>
      </c>
      <c r="G8" s="213" t="e">
        <f t="shared" si="5"/>
        <v>#N/A</v>
      </c>
      <c r="H8" s="210" t="e">
        <f t="shared" si="6"/>
        <v>#N/A</v>
      </c>
      <c r="K8" t="s">
        <v>358</v>
      </c>
      <c r="L8" s="209"/>
      <c r="M8" s="158">
        <v>40</v>
      </c>
      <c r="N8" s="159" t="e">
        <f t="shared" si="8"/>
        <v>#N/A</v>
      </c>
      <c r="O8" s="159" t="e">
        <f t="shared" si="9"/>
        <v>#N/A</v>
      </c>
      <c r="P8" s="159" t="e">
        <f t="shared" si="10"/>
        <v>#N/A</v>
      </c>
      <c r="Q8" s="213">
        <f t="shared" si="11"/>
        <v>4.9208650436167019E-2</v>
      </c>
      <c r="R8" s="213" t="e">
        <f t="shared" si="12"/>
        <v>#N/A</v>
      </c>
      <c r="S8" s="210" t="e">
        <f t="shared" si="13"/>
        <v>#N/A</v>
      </c>
      <c r="T8" s="163"/>
      <c r="U8" s="84" t="e">
        <f t="shared" si="14"/>
        <v>#N/A</v>
      </c>
      <c r="V8" s="84" t="e">
        <f t="shared" si="15"/>
        <v>#N/A</v>
      </c>
      <c r="W8" s="178"/>
      <c r="X8" s="183">
        <v>40</v>
      </c>
      <c r="Y8" s="188">
        <v>41.812553859655992</v>
      </c>
      <c r="Z8" s="188">
        <v>1.2348058649260472</v>
      </c>
      <c r="AA8" s="188">
        <v>2.4695664714567451</v>
      </c>
      <c r="AB8" s="190">
        <v>0.29797830198877456</v>
      </c>
      <c r="AC8" s="190">
        <v>7.5986823895112132E-2</v>
      </c>
      <c r="AD8" s="203">
        <v>2.1474286186744638</v>
      </c>
    </row>
    <row r="9" spans="1:32" ht="15">
      <c r="A9" s="209"/>
      <c r="B9" s="158">
        <f t="shared" si="0"/>
        <v>50</v>
      </c>
      <c r="C9" s="159" t="e">
        <f t="shared" si="1"/>
        <v>#N/A</v>
      </c>
      <c r="D9" s="159" t="e">
        <f t="shared" si="2"/>
        <v>#N/A</v>
      </c>
      <c r="E9" s="159" t="e">
        <f t="shared" si="3"/>
        <v>#N/A</v>
      </c>
      <c r="F9" s="213">
        <f t="shared" si="4"/>
        <v>3.8302674462593361E-2</v>
      </c>
      <c r="G9" s="213" t="e">
        <f t="shared" si="5"/>
        <v>#N/A</v>
      </c>
      <c r="H9" s="210" t="e">
        <f t="shared" si="6"/>
        <v>#N/A</v>
      </c>
      <c r="K9" t="s">
        <v>359</v>
      </c>
      <c r="L9" s="209"/>
      <c r="M9" s="158">
        <v>50</v>
      </c>
      <c r="N9" s="159" t="e">
        <f t="shared" si="8"/>
        <v>#N/A</v>
      </c>
      <c r="O9" s="159" t="e">
        <f t="shared" si="9"/>
        <v>#N/A</v>
      </c>
      <c r="P9" s="159" t="e">
        <f t="shared" si="10"/>
        <v>#N/A</v>
      </c>
      <c r="Q9" s="213">
        <f t="shared" si="11"/>
        <v>3.8302674462593361E-2</v>
      </c>
      <c r="R9" s="213" t="e">
        <f t="shared" si="12"/>
        <v>#N/A</v>
      </c>
      <c r="S9" s="210" t="e">
        <f t="shared" si="13"/>
        <v>#N/A</v>
      </c>
      <c r="T9" s="163"/>
      <c r="U9" s="84" t="e">
        <f t="shared" si="14"/>
        <v>#N/A</v>
      </c>
      <c r="V9" s="84" t="e">
        <f t="shared" si="15"/>
        <v>#N/A</v>
      </c>
      <c r="W9" s="178"/>
      <c r="X9" s="183">
        <v>50</v>
      </c>
      <c r="Y9" s="188">
        <v>51.556955522625849</v>
      </c>
      <c r="Z9" s="188">
        <v>1.2348053753541812</v>
      </c>
      <c r="AA9" s="188">
        <v>2.4695280761768985</v>
      </c>
      <c r="AB9" s="190">
        <v>3.1034171856253935E-2</v>
      </c>
      <c r="AC9" s="190">
        <v>9.5175931670200636E-2</v>
      </c>
      <c r="AD9" s="203">
        <v>2.0671691684039026</v>
      </c>
    </row>
    <row r="10" spans="1:32" ht="15">
      <c r="A10" s="209"/>
      <c r="B10" s="158">
        <f t="shared" si="0"/>
        <v>60</v>
      </c>
      <c r="C10" s="159" t="e">
        <f t="shared" si="1"/>
        <v>#N/A</v>
      </c>
      <c r="D10" s="159" t="e">
        <f t="shared" si="2"/>
        <v>#N/A</v>
      </c>
      <c r="E10" s="159" t="e">
        <f t="shared" si="3"/>
        <v>#N/A</v>
      </c>
      <c r="F10" s="213">
        <f t="shared" si="4"/>
        <v>3.2946100619726103E-2</v>
      </c>
      <c r="G10" s="213" t="e">
        <f t="shared" si="5"/>
        <v>#N/A</v>
      </c>
      <c r="H10" s="210" t="e">
        <f t="shared" si="6"/>
        <v>#N/A</v>
      </c>
      <c r="K10" t="s">
        <v>360</v>
      </c>
      <c r="L10" s="209"/>
      <c r="M10" s="158">
        <v>60</v>
      </c>
      <c r="N10" s="159" t="e">
        <f t="shared" si="8"/>
        <v>#N/A</v>
      </c>
      <c r="O10" s="159" t="e">
        <f t="shared" si="9"/>
        <v>#N/A</v>
      </c>
      <c r="P10" s="159" t="e">
        <f t="shared" si="10"/>
        <v>#N/A</v>
      </c>
      <c r="Q10" s="213">
        <f t="shared" si="11"/>
        <v>3.2946100619726103E-2</v>
      </c>
      <c r="R10" s="213" t="e">
        <f t="shared" si="12"/>
        <v>#N/A</v>
      </c>
      <c r="S10" s="210" t="e">
        <f t="shared" si="13"/>
        <v>#N/A</v>
      </c>
      <c r="T10" s="163"/>
      <c r="U10" s="84" t="e">
        <f t="shared" si="14"/>
        <v>#N/A</v>
      </c>
      <c r="V10" s="84" t="e">
        <f t="shared" si="15"/>
        <v>#N/A</v>
      </c>
      <c r="W10" s="178"/>
      <c r="X10" s="183">
        <v>60</v>
      </c>
      <c r="Y10" s="188">
        <v>61.695323284659949</v>
      </c>
      <c r="Z10" s="188">
        <v>1.2348049551069349</v>
      </c>
      <c r="AA10" s="188">
        <v>2.4694950125196962</v>
      </c>
      <c r="AB10" s="190">
        <v>2.2692546473181609E-2</v>
      </c>
      <c r="AC10" s="190">
        <v>8.3241045819243534E-2</v>
      </c>
      <c r="AD10" s="203">
        <v>2.0645766098571277</v>
      </c>
    </row>
    <row r="11" spans="1:32" ht="15">
      <c r="A11" s="209"/>
      <c r="B11" s="158">
        <f t="shared" si="0"/>
        <v>70</v>
      </c>
      <c r="C11" s="159" t="e">
        <f t="shared" si="1"/>
        <v>#N/A</v>
      </c>
      <c r="D11" s="159" t="e">
        <f t="shared" si="2"/>
        <v>#N/A</v>
      </c>
      <c r="E11" s="159" t="e">
        <f t="shared" si="3"/>
        <v>#N/A</v>
      </c>
      <c r="F11" s="213">
        <f t="shared" si="4"/>
        <v>4.8452420239664153E-2</v>
      </c>
      <c r="G11" s="213" t="e">
        <f t="shared" si="5"/>
        <v>#N/A</v>
      </c>
      <c r="H11" s="210" t="e">
        <f t="shared" si="6"/>
        <v>#N/A</v>
      </c>
      <c r="K11" t="s">
        <v>361</v>
      </c>
      <c r="L11" s="209"/>
      <c r="M11" s="158">
        <v>70</v>
      </c>
      <c r="N11" s="159" t="e">
        <f t="shared" si="8"/>
        <v>#N/A</v>
      </c>
      <c r="O11" s="159" t="e">
        <f t="shared" si="9"/>
        <v>#N/A</v>
      </c>
      <c r="P11" s="159" t="e">
        <f t="shared" si="10"/>
        <v>#N/A</v>
      </c>
      <c r="Q11" s="213">
        <f t="shared" si="11"/>
        <v>4.8452420239664153E-2</v>
      </c>
      <c r="R11" s="213" t="e">
        <f t="shared" si="12"/>
        <v>#N/A</v>
      </c>
      <c r="S11" s="210" t="e">
        <f t="shared" si="13"/>
        <v>#N/A</v>
      </c>
      <c r="T11" s="163"/>
      <c r="U11" s="84" t="e">
        <f t="shared" si="14"/>
        <v>#N/A</v>
      </c>
      <c r="V11" s="84" t="e">
        <f t="shared" si="15"/>
        <v>#N/A</v>
      </c>
      <c r="W11" s="178"/>
      <c r="X11" s="183">
        <v>70</v>
      </c>
      <c r="Y11" s="188">
        <v>70.424500933573199</v>
      </c>
      <c r="Z11" s="188">
        <v>1.2348045418067435</v>
      </c>
      <c r="AA11" s="188">
        <v>2.4694624022620526</v>
      </c>
      <c r="AB11" s="190">
        <v>1.4199846971436223E-2</v>
      </c>
      <c r="AC11" s="190">
        <v>7.5890683705522183E-2</v>
      </c>
      <c r="AD11" s="203">
        <v>2.0639216163060348</v>
      </c>
    </row>
    <row r="12" spans="1:32" ht="15">
      <c r="A12" s="209"/>
      <c r="B12" s="158">
        <f t="shared" si="0"/>
        <v>80</v>
      </c>
      <c r="C12" s="159" t="e">
        <f t="shared" si="1"/>
        <v>#N/A</v>
      </c>
      <c r="D12" s="159" t="e">
        <f t="shared" si="2"/>
        <v>#N/A</v>
      </c>
      <c r="E12" s="159" t="e">
        <f t="shared" si="3"/>
        <v>#N/A</v>
      </c>
      <c r="F12" s="213">
        <f t="shared" si="4"/>
        <v>4.7990273867916919E-2</v>
      </c>
      <c r="G12" s="213" t="e">
        <f t="shared" si="5"/>
        <v>#N/A</v>
      </c>
      <c r="H12" s="210" t="e">
        <f t="shared" si="6"/>
        <v>#N/A</v>
      </c>
      <c r="K12" t="s">
        <v>362</v>
      </c>
      <c r="L12" s="209"/>
      <c r="M12" s="158">
        <v>80</v>
      </c>
      <c r="N12" s="159" t="e">
        <f t="shared" si="8"/>
        <v>#N/A</v>
      </c>
      <c r="O12" s="159" t="e">
        <f t="shared" si="9"/>
        <v>#N/A</v>
      </c>
      <c r="P12" s="159" t="e">
        <f t="shared" si="10"/>
        <v>#N/A</v>
      </c>
      <c r="Q12" s="213">
        <f t="shared" si="11"/>
        <v>4.7990273867916919E-2</v>
      </c>
      <c r="R12" s="213" t="e">
        <f t="shared" si="12"/>
        <v>#N/A</v>
      </c>
      <c r="S12" s="210" t="e">
        <f t="shared" si="13"/>
        <v>#N/A</v>
      </c>
      <c r="T12" s="163"/>
      <c r="U12" s="84" t="e">
        <f t="shared" si="14"/>
        <v>#N/A</v>
      </c>
      <c r="V12" s="84" t="e">
        <f t="shared" si="15"/>
        <v>#N/A</v>
      </c>
      <c r="W12" s="178"/>
      <c r="X12" s="183">
        <v>80</v>
      </c>
      <c r="Y12" s="188">
        <v>80.28483118570837</v>
      </c>
      <c r="Z12" s="188">
        <v>1.2348040179716695</v>
      </c>
      <c r="AA12" s="188">
        <v>2.46942093613128</v>
      </c>
      <c r="AB12" s="190">
        <v>6.2279332317667097E-3</v>
      </c>
      <c r="AC12" s="190">
        <v>6.9657284780941561E-2</v>
      </c>
      <c r="AD12" s="203">
        <v>2.0645210451722864</v>
      </c>
    </row>
    <row r="13" spans="1:32" ht="15">
      <c r="A13" s="209"/>
      <c r="B13" s="158">
        <f t="shared" si="0"/>
        <v>90</v>
      </c>
      <c r="C13" s="159" t="e">
        <f t="shared" si="1"/>
        <v>#N/A</v>
      </c>
      <c r="D13" s="159" t="e">
        <f t="shared" si="2"/>
        <v>#N/A</v>
      </c>
      <c r="E13" s="159" t="e">
        <f t="shared" si="3"/>
        <v>#N/A</v>
      </c>
      <c r="F13" s="213">
        <f t="shared" si="4"/>
        <v>4.1556491292210951E-2</v>
      </c>
      <c r="G13" s="213" t="e">
        <f t="shared" si="5"/>
        <v>#N/A</v>
      </c>
      <c r="H13" s="210" t="e">
        <f t="shared" si="6"/>
        <v>#N/A</v>
      </c>
      <c r="K13" t="s">
        <v>363</v>
      </c>
      <c r="L13" s="209"/>
      <c r="M13" s="158">
        <v>90</v>
      </c>
      <c r="N13" s="159" t="e">
        <f t="shared" si="8"/>
        <v>#N/A</v>
      </c>
      <c r="O13" s="159" t="e">
        <f t="shared" si="9"/>
        <v>#N/A</v>
      </c>
      <c r="P13" s="159" t="e">
        <f t="shared" si="10"/>
        <v>#N/A</v>
      </c>
      <c r="Q13" s="213">
        <f t="shared" si="11"/>
        <v>4.1556491292210951E-2</v>
      </c>
      <c r="R13" s="213" t="e">
        <f t="shared" si="12"/>
        <v>#N/A</v>
      </c>
      <c r="S13" s="210" t="e">
        <f t="shared" si="13"/>
        <v>#N/A</v>
      </c>
      <c r="T13" s="163"/>
      <c r="U13" s="84" t="e">
        <f t="shared" si="14"/>
        <v>#N/A</v>
      </c>
      <c r="V13" s="84" t="e">
        <f t="shared" si="15"/>
        <v>#N/A</v>
      </c>
      <c r="W13" s="178"/>
      <c r="X13" s="183">
        <v>90</v>
      </c>
      <c r="Y13" s="188">
        <v>90.423198947742492</v>
      </c>
      <c r="Z13" s="188">
        <v>1.2348034167308324</v>
      </c>
      <c r="AA13" s="188">
        <v>2.4693731549645732</v>
      </c>
      <c r="AB13" s="190">
        <v>0</v>
      </c>
      <c r="AC13" s="190">
        <v>6.4791011201062385E-2</v>
      </c>
      <c r="AD13" s="203">
        <v>2.0662292410902494</v>
      </c>
    </row>
    <row r="14" spans="1:32" ht="15">
      <c r="A14" s="209"/>
      <c r="B14" s="158" t="str">
        <f t="shared" si="0"/>
        <v>'100'</v>
      </c>
      <c r="C14" s="159" t="e">
        <f t="shared" si="1"/>
        <v>#N/A</v>
      </c>
      <c r="D14" s="159" t="e">
        <f t="shared" si="2"/>
        <v>#N/A</v>
      </c>
      <c r="E14" s="159" t="e">
        <f t="shared" si="3"/>
        <v>#N/A</v>
      </c>
      <c r="F14" s="213">
        <f t="shared" si="4"/>
        <v>2.5055796580639025E-2</v>
      </c>
      <c r="G14" s="213" t="e">
        <f t="shared" si="5"/>
        <v>#N/A</v>
      </c>
      <c r="H14" s="210" t="e">
        <f t="shared" si="6"/>
        <v>#N/A</v>
      </c>
      <c r="K14" t="s">
        <v>364</v>
      </c>
      <c r="L14" s="209"/>
      <c r="M14" s="158" t="s">
        <v>345</v>
      </c>
      <c r="N14" s="159" t="e">
        <f t="shared" si="8"/>
        <v>#N/A</v>
      </c>
      <c r="O14" s="159" t="e">
        <f t="shared" si="9"/>
        <v>#N/A</v>
      </c>
      <c r="P14" s="159" t="e">
        <f t="shared" si="10"/>
        <v>#N/A</v>
      </c>
      <c r="Q14" s="213">
        <f t="shared" si="11"/>
        <v>2.5055796580639025E-2</v>
      </c>
      <c r="R14" s="213" t="e">
        <f t="shared" si="12"/>
        <v>#N/A</v>
      </c>
      <c r="S14" s="210" t="e">
        <f t="shared" si="13"/>
        <v>#N/A</v>
      </c>
      <c r="T14" s="163"/>
      <c r="U14" s="84" t="e">
        <f t="shared" si="14"/>
        <v>#N/A</v>
      </c>
      <c r="V14" s="84" t="e">
        <f t="shared" si="15"/>
        <v>#N/A</v>
      </c>
      <c r="W14" s="178"/>
      <c r="X14" s="183" t="s">
        <v>345</v>
      </c>
      <c r="Y14" s="188">
        <v>100.26852717596226</v>
      </c>
      <c r="Z14" s="188">
        <v>1.2348027725885997</v>
      </c>
      <c r="AA14" s="188">
        <v>2.4693217385776922</v>
      </c>
      <c r="AB14" s="190">
        <v>-1.0970729110199485E-2</v>
      </c>
      <c r="AC14" s="190">
        <v>6.1101744594989099E-2</v>
      </c>
      <c r="AD14" s="203">
        <v>2.0686282846512829</v>
      </c>
    </row>
    <row r="15" spans="1:32" ht="15">
      <c r="A15" s="209"/>
      <c r="B15" s="214"/>
      <c r="C15" s="214"/>
      <c r="D15" s="214"/>
      <c r="E15" s="215"/>
      <c r="F15" s="214"/>
      <c r="G15" s="214"/>
      <c r="H15" s="216"/>
      <c r="K15" s="82"/>
      <c r="L15" s="209"/>
      <c r="M15" s="214"/>
      <c r="N15" s="214"/>
      <c r="O15" s="214"/>
      <c r="P15" s="215"/>
      <c r="Q15" s="214"/>
      <c r="R15" s="214"/>
      <c r="S15" s="216"/>
      <c r="T15" s="238"/>
      <c r="U15" s="84"/>
      <c r="V15" s="84"/>
      <c r="W15" s="178"/>
      <c r="X15" s="185"/>
      <c r="Y15" s="185"/>
      <c r="Z15" s="185"/>
      <c r="AA15" s="198"/>
      <c r="AB15" s="185"/>
      <c r="AC15" s="185"/>
      <c r="AD15" s="205"/>
    </row>
    <row r="16" spans="1:32" ht="15">
      <c r="A16" s="209" t="str">
        <f t="shared" si="7"/>
        <v>100pF</v>
      </c>
      <c r="B16" s="158">
        <f t="shared" si="0"/>
        <v>1</v>
      </c>
      <c r="C16" s="162" t="e">
        <f>TEXT(N16,"0.000")&amp;" pF"</f>
        <v>#N/A</v>
      </c>
      <c r="D16" s="162" t="e">
        <f>TEXT(O16,"0.000")&amp;" pF"</f>
        <v>#N/A</v>
      </c>
      <c r="E16" s="159" t="e">
        <f t="shared" si="3"/>
        <v>#N/A</v>
      </c>
      <c r="F16" s="213">
        <f t="shared" si="4"/>
        <v>0.32281757708029457</v>
      </c>
      <c r="G16" s="213" t="e">
        <f t="shared" si="5"/>
        <v>#N/A</v>
      </c>
      <c r="H16" s="210" t="e">
        <f t="shared" si="6"/>
        <v>#N/A</v>
      </c>
      <c r="K16" s="165" t="s">
        <v>365</v>
      </c>
      <c r="L16" s="209" t="s">
        <v>346</v>
      </c>
      <c r="M16" s="158">
        <v>1</v>
      </c>
      <c r="N16" s="162" t="e">
        <f t="shared" ref="N16:N25" si="16">VLOOKUP(K16,Rangex,5,FALSE)</f>
        <v>#N/A</v>
      </c>
      <c r="O16" s="162" t="e">
        <f t="shared" ref="O16:O25" si="17">VLOOKUP($K16,ub_uncertainty,2,FALSE)</f>
        <v>#N/A</v>
      </c>
      <c r="P16" s="159" t="e">
        <f t="shared" ref="P16:P25" si="18">VLOOKUP($K16,ub_uncertainty,3,FALSE)</f>
        <v>#N/A</v>
      </c>
      <c r="Q16" s="213">
        <f t="shared" ref="Q16:Q25" si="19">VLOOKUP(K16,Andeen,9,FALSE)</f>
        <v>0.32281757708029457</v>
      </c>
      <c r="R16" s="213" t="e">
        <f t="shared" ref="R16:R25" si="20">VLOOKUP(K16,ub_uncertainty,6,FALSE)</f>
        <v>#N/A</v>
      </c>
      <c r="S16" s="210" t="e">
        <f t="shared" ref="S16:S25" si="21">VLOOKUP(K16,ub_uncertainty,5,FALSE)</f>
        <v>#N/A</v>
      </c>
      <c r="T16" s="163"/>
      <c r="U16" s="84" t="e">
        <f t="shared" si="14"/>
        <v>#N/A</v>
      </c>
      <c r="V16" s="241" t="e">
        <f t="shared" si="15"/>
        <v>#N/A</v>
      </c>
      <c r="W16" s="178" t="s">
        <v>346</v>
      </c>
      <c r="X16" s="183">
        <v>1</v>
      </c>
      <c r="Y16" s="189">
        <v>96.977000000000004</v>
      </c>
      <c r="Z16" s="189">
        <v>1.4999999999999999E-2</v>
      </c>
      <c r="AA16" s="188">
        <v>2.1078899662362414</v>
      </c>
      <c r="AB16" s="190">
        <v>3.5060430296589624E-2</v>
      </c>
      <c r="AC16" s="190">
        <v>6.2242066293902276E-2</v>
      </c>
      <c r="AD16" s="203">
        <v>2.0677604743544173</v>
      </c>
    </row>
    <row r="17" spans="1:30" ht="15">
      <c r="A17" s="209" t="str">
        <f t="shared" si="7"/>
        <v>STEPS</v>
      </c>
      <c r="B17" s="158">
        <f t="shared" si="0"/>
        <v>2</v>
      </c>
      <c r="C17" s="162" t="e">
        <f t="shared" si="1"/>
        <v>#N/A</v>
      </c>
      <c r="D17" s="162" t="e">
        <f t="shared" si="2"/>
        <v>#N/A</v>
      </c>
      <c r="E17" s="159" t="e">
        <f t="shared" si="3"/>
        <v>#N/A</v>
      </c>
      <c r="F17" s="162">
        <f t="shared" si="4"/>
        <v>4.7647547780302842E-2</v>
      </c>
      <c r="G17" s="162" t="e">
        <f t="shared" si="5"/>
        <v>#N/A</v>
      </c>
      <c r="H17" s="210" t="e">
        <f t="shared" si="6"/>
        <v>#N/A</v>
      </c>
      <c r="K17" s="165" t="s">
        <v>366</v>
      </c>
      <c r="L17" s="209" t="s">
        <v>347</v>
      </c>
      <c r="M17" s="158">
        <v>2</v>
      </c>
      <c r="N17" s="162" t="e">
        <f t="shared" si="16"/>
        <v>#N/A</v>
      </c>
      <c r="O17" s="162" t="e">
        <f t="shared" si="17"/>
        <v>#N/A</v>
      </c>
      <c r="P17" s="159" t="e">
        <f t="shared" si="18"/>
        <v>#N/A</v>
      </c>
      <c r="Q17" s="162">
        <f t="shared" si="19"/>
        <v>4.7647547780302842E-2</v>
      </c>
      <c r="R17" s="162" t="e">
        <f t="shared" si="20"/>
        <v>#N/A</v>
      </c>
      <c r="S17" s="210" t="e">
        <f t="shared" si="21"/>
        <v>#N/A</v>
      </c>
      <c r="T17" s="163"/>
      <c r="U17" s="84" t="e">
        <f t="shared" si="14"/>
        <v>#N/A</v>
      </c>
      <c r="V17" s="84" t="e">
        <f t="shared" si="15"/>
        <v>#N/A</v>
      </c>
      <c r="W17" s="178" t="s">
        <v>347</v>
      </c>
      <c r="X17" s="183">
        <v>2</v>
      </c>
      <c r="Y17" s="189">
        <v>195.83942059654578</v>
      </c>
      <c r="Z17" s="189">
        <v>3.0609080776182476E-2</v>
      </c>
      <c r="AA17" s="188">
        <v>2.1248714774906956</v>
      </c>
      <c r="AB17" s="189">
        <v>-1.0212623518292263E-3</v>
      </c>
      <c r="AC17" s="189">
        <v>4.6049262462747542E-2</v>
      </c>
      <c r="AD17" s="203">
        <v>2.0992751371596077</v>
      </c>
    </row>
    <row r="18" spans="1:30" ht="15">
      <c r="A18" s="209"/>
      <c r="B18" s="158">
        <f t="shared" si="0"/>
        <v>3</v>
      </c>
      <c r="C18" s="213" t="e">
        <f t="shared" si="1"/>
        <v>#N/A</v>
      </c>
      <c r="D18" s="213" t="e">
        <f t="shared" si="2"/>
        <v>#N/A</v>
      </c>
      <c r="E18" s="159" t="e">
        <f t="shared" si="3"/>
        <v>#N/A</v>
      </c>
      <c r="F18" s="162">
        <f t="shared" si="4"/>
        <v>0.13934662507516088</v>
      </c>
      <c r="G18" s="162" t="e">
        <f t="shared" si="5"/>
        <v>#N/A</v>
      </c>
      <c r="H18" s="210" t="e">
        <f t="shared" si="6"/>
        <v>#N/A</v>
      </c>
      <c r="K18" s="165" t="s">
        <v>367</v>
      </c>
      <c r="L18" s="209"/>
      <c r="M18" s="158">
        <v>3</v>
      </c>
      <c r="N18" s="213" t="e">
        <f t="shared" si="16"/>
        <v>#N/A</v>
      </c>
      <c r="O18" s="213" t="e">
        <f t="shared" si="17"/>
        <v>#N/A</v>
      </c>
      <c r="P18" s="159" t="e">
        <f t="shared" si="18"/>
        <v>#N/A</v>
      </c>
      <c r="Q18" s="162">
        <f t="shared" si="19"/>
        <v>0.13934662507516088</v>
      </c>
      <c r="R18" s="162" t="e">
        <f t="shared" si="20"/>
        <v>#N/A</v>
      </c>
      <c r="S18" s="210" t="e">
        <f t="shared" si="21"/>
        <v>#N/A</v>
      </c>
      <c r="T18" s="163"/>
      <c r="U18" s="84" t="e">
        <f t="shared" si="14"/>
        <v>#N/A</v>
      </c>
      <c r="V18" s="241" t="e">
        <f t="shared" si="15"/>
        <v>#N/A</v>
      </c>
      <c r="W18" s="178"/>
      <c r="X18" s="183">
        <v>3</v>
      </c>
      <c r="Y18" s="190">
        <v>292.67648483558992</v>
      </c>
      <c r="Z18" s="190">
        <v>4.5488012185065776E-2</v>
      </c>
      <c r="AA18" s="188">
        <v>2.1304495614354257</v>
      </c>
      <c r="AB18" s="189">
        <v>6.1502407559147565E-3</v>
      </c>
      <c r="AC18" s="189">
        <v>4.1629830253542603E-2</v>
      </c>
      <c r="AD18" s="203">
        <v>2.1198569873137667</v>
      </c>
    </row>
    <row r="19" spans="1:30" ht="15">
      <c r="A19" s="209"/>
      <c r="B19" s="158">
        <f t="shared" si="0"/>
        <v>4</v>
      </c>
      <c r="C19" s="213" t="e">
        <f t="shared" si="1"/>
        <v>#N/A</v>
      </c>
      <c r="D19" s="213" t="e">
        <f t="shared" si="2"/>
        <v>#N/A</v>
      </c>
      <c r="E19" s="159" t="e">
        <f t="shared" si="3"/>
        <v>#N/A</v>
      </c>
      <c r="F19" s="162">
        <f t="shared" si="4"/>
        <v>4.9769957795642417E-2</v>
      </c>
      <c r="G19" s="162" t="e">
        <f t="shared" si="5"/>
        <v>#N/A</v>
      </c>
      <c r="H19" s="210" t="e">
        <f t="shared" si="6"/>
        <v>#N/A</v>
      </c>
      <c r="K19" s="165" t="s">
        <v>368</v>
      </c>
      <c r="L19" s="209"/>
      <c r="M19" s="158">
        <v>4</v>
      </c>
      <c r="N19" s="213" t="e">
        <f t="shared" si="16"/>
        <v>#N/A</v>
      </c>
      <c r="O19" s="213" t="e">
        <f t="shared" si="17"/>
        <v>#N/A</v>
      </c>
      <c r="P19" s="159" t="e">
        <f t="shared" si="18"/>
        <v>#N/A</v>
      </c>
      <c r="Q19" s="162">
        <f t="shared" si="19"/>
        <v>4.9769957795642417E-2</v>
      </c>
      <c r="R19" s="162" t="e">
        <f t="shared" si="20"/>
        <v>#N/A</v>
      </c>
      <c r="S19" s="210" t="e">
        <f t="shared" si="21"/>
        <v>#N/A</v>
      </c>
      <c r="T19" s="163"/>
      <c r="U19" s="84" t="e">
        <f t="shared" si="14"/>
        <v>#N/A</v>
      </c>
      <c r="V19" s="84" t="e">
        <f t="shared" si="15"/>
        <v>#N/A</v>
      </c>
      <c r="W19" s="178"/>
      <c r="X19" s="183">
        <v>4</v>
      </c>
      <c r="Y19" s="190">
        <v>392.24891810187717</v>
      </c>
      <c r="Z19" s="190">
        <v>6.0820211107660734E-2</v>
      </c>
      <c r="AA19" s="188">
        <v>2.1329603293559556</v>
      </c>
      <c r="AB19" s="189">
        <v>-8.6681138086021209E-3</v>
      </c>
      <c r="AC19" s="189">
        <v>3.9571525280563E-2</v>
      </c>
      <c r="AD19" s="203">
        <v>2.1314530064351911</v>
      </c>
    </row>
    <row r="20" spans="1:30" ht="15">
      <c r="A20" s="209"/>
      <c r="B20" s="158">
        <f t="shared" si="0"/>
        <v>5</v>
      </c>
      <c r="C20" s="213" t="e">
        <f t="shared" si="1"/>
        <v>#N/A</v>
      </c>
      <c r="D20" s="213" t="e">
        <f t="shared" si="2"/>
        <v>#N/A</v>
      </c>
      <c r="E20" s="159" t="e">
        <f t="shared" si="3"/>
        <v>#N/A</v>
      </c>
      <c r="F20" s="162">
        <f t="shared" si="4"/>
        <v>0.10453234242116739</v>
      </c>
      <c r="G20" s="162" t="e">
        <f t="shared" si="5"/>
        <v>#N/A</v>
      </c>
      <c r="H20" s="210" t="e">
        <f t="shared" si="6"/>
        <v>#N/A</v>
      </c>
      <c r="K20" s="165" t="s">
        <v>369</v>
      </c>
      <c r="L20" s="209"/>
      <c r="M20" s="158">
        <v>5</v>
      </c>
      <c r="N20" s="213" t="e">
        <f t="shared" si="16"/>
        <v>#N/A</v>
      </c>
      <c r="O20" s="213" t="e">
        <f t="shared" si="17"/>
        <v>#N/A</v>
      </c>
      <c r="P20" s="159" t="e">
        <f t="shared" si="18"/>
        <v>#N/A</v>
      </c>
      <c r="Q20" s="162">
        <f t="shared" si="19"/>
        <v>0.10453234242116739</v>
      </c>
      <c r="R20" s="162" t="e">
        <f t="shared" si="20"/>
        <v>#N/A</v>
      </c>
      <c r="S20" s="210" t="e">
        <f t="shared" si="21"/>
        <v>#N/A</v>
      </c>
      <c r="T20" s="163"/>
      <c r="U20" s="84" t="e">
        <f t="shared" si="14"/>
        <v>#N/A</v>
      </c>
      <c r="V20" s="241" t="e">
        <f t="shared" si="15"/>
        <v>#N/A</v>
      </c>
      <c r="W20" s="178"/>
      <c r="X20" s="183">
        <v>5</v>
      </c>
      <c r="Y20" s="190">
        <v>489.04397667395813</v>
      </c>
      <c r="Z20" s="190">
        <v>7.5741589716227881E-2</v>
      </c>
      <c r="AA20" s="188">
        <v>2.1342269948080235</v>
      </c>
      <c r="AB20" s="189">
        <v>-5.9300386746063754E-3</v>
      </c>
      <c r="AC20" s="189">
        <v>3.8444850616812833E-2</v>
      </c>
      <c r="AD20" s="203">
        <v>2.1379387412258706</v>
      </c>
    </row>
    <row r="21" spans="1:30" ht="15">
      <c r="A21" s="209"/>
      <c r="B21" s="158">
        <f t="shared" si="0"/>
        <v>6</v>
      </c>
      <c r="C21" s="213" t="e">
        <f t="shared" si="1"/>
        <v>#N/A</v>
      </c>
      <c r="D21" s="213" t="e">
        <f t="shared" si="2"/>
        <v>#N/A</v>
      </c>
      <c r="E21" s="159" t="e">
        <f t="shared" si="3"/>
        <v>#N/A</v>
      </c>
      <c r="F21" s="162">
        <f t="shared" si="4"/>
        <v>9.4743309749210233E-2</v>
      </c>
      <c r="G21" s="162" t="e">
        <f t="shared" si="5"/>
        <v>#N/A</v>
      </c>
      <c r="H21" s="210" t="e">
        <f t="shared" si="6"/>
        <v>#N/A</v>
      </c>
      <c r="K21" s="165" t="s">
        <v>370</v>
      </c>
      <c r="L21" s="209"/>
      <c r="M21" s="158">
        <v>6</v>
      </c>
      <c r="N21" s="213" t="e">
        <f t="shared" si="16"/>
        <v>#N/A</v>
      </c>
      <c r="O21" s="213" t="e">
        <f t="shared" si="17"/>
        <v>#N/A</v>
      </c>
      <c r="P21" s="159" t="e">
        <f t="shared" si="18"/>
        <v>#N/A</v>
      </c>
      <c r="Q21" s="162">
        <f t="shared" si="19"/>
        <v>9.4743309749210233E-2</v>
      </c>
      <c r="R21" s="162" t="e">
        <f t="shared" si="20"/>
        <v>#N/A</v>
      </c>
      <c r="S21" s="210" t="e">
        <f t="shared" si="21"/>
        <v>#N/A</v>
      </c>
      <c r="T21" s="163"/>
      <c r="U21" s="84" t="e">
        <f t="shared" si="14"/>
        <v>#N/A</v>
      </c>
      <c r="V21" s="241" t="e">
        <f t="shared" si="15"/>
        <v>#N/A</v>
      </c>
      <c r="W21" s="178"/>
      <c r="X21" s="183">
        <v>6</v>
      </c>
      <c r="Y21" s="190">
        <v>592.009867749911</v>
      </c>
      <c r="Z21" s="190">
        <v>9.1624752575172094E-2</v>
      </c>
      <c r="AA21" s="188">
        <v>2.1350075316785193</v>
      </c>
      <c r="AB21" s="189">
        <v>-1.064189687008632E-2</v>
      </c>
      <c r="AC21" s="189">
        <v>3.7683034725429082E-2</v>
      </c>
      <c r="AD21" s="203">
        <v>2.1421643348321564</v>
      </c>
    </row>
    <row r="22" spans="1:30" ht="15">
      <c r="A22" s="209"/>
      <c r="B22" s="158">
        <f t="shared" si="0"/>
        <v>7</v>
      </c>
      <c r="C22" s="213" t="e">
        <f t="shared" si="1"/>
        <v>#N/A</v>
      </c>
      <c r="D22" s="213" t="e">
        <f t="shared" si="2"/>
        <v>#N/A</v>
      </c>
      <c r="E22" s="159" t="e">
        <f t="shared" si="3"/>
        <v>#N/A</v>
      </c>
      <c r="F22" s="162">
        <f t="shared" si="4"/>
        <v>5.0105754748969604E-2</v>
      </c>
      <c r="G22" s="162" t="e">
        <f t="shared" si="5"/>
        <v>#N/A</v>
      </c>
      <c r="H22" s="210" t="e">
        <f t="shared" si="6"/>
        <v>#N/A</v>
      </c>
      <c r="K22" s="165" t="s">
        <v>371</v>
      </c>
      <c r="L22" s="209"/>
      <c r="M22" s="158">
        <v>7</v>
      </c>
      <c r="N22" s="213" t="e">
        <f t="shared" si="16"/>
        <v>#N/A</v>
      </c>
      <c r="O22" s="213" t="e">
        <f t="shared" si="17"/>
        <v>#N/A</v>
      </c>
      <c r="P22" s="159" t="e">
        <f t="shared" si="18"/>
        <v>#N/A</v>
      </c>
      <c r="Q22" s="162">
        <f t="shared" si="19"/>
        <v>5.0105754748969604E-2</v>
      </c>
      <c r="R22" s="162" t="e">
        <f t="shared" si="20"/>
        <v>#N/A</v>
      </c>
      <c r="S22" s="210" t="e">
        <f t="shared" si="21"/>
        <v>#N/A</v>
      </c>
      <c r="T22" s="163"/>
      <c r="U22" s="84" t="e">
        <f t="shared" si="14"/>
        <v>#N/A</v>
      </c>
      <c r="V22" s="84" t="e">
        <f t="shared" si="15"/>
        <v>#N/A</v>
      </c>
      <c r="W22" s="178"/>
      <c r="X22" s="183">
        <v>7</v>
      </c>
      <c r="Y22" s="190">
        <v>690.89620845580021</v>
      </c>
      <c r="Z22" s="190">
        <v>0.10688502859971501</v>
      </c>
      <c r="AA22" s="188">
        <v>2.1354761395475177</v>
      </c>
      <c r="AB22" s="189">
        <v>-4.1975186138909016E-3</v>
      </c>
      <c r="AC22" s="189">
        <v>3.7180687253343322E-2</v>
      </c>
      <c r="AD22" s="203">
        <v>2.1447883425351537</v>
      </c>
    </row>
    <row r="23" spans="1:30" ht="15">
      <c r="A23" s="209"/>
      <c r="B23" s="158">
        <f t="shared" si="0"/>
        <v>8</v>
      </c>
      <c r="C23" s="213" t="e">
        <f t="shared" si="1"/>
        <v>#N/A</v>
      </c>
      <c r="D23" s="213" t="e">
        <f t="shared" si="2"/>
        <v>#N/A</v>
      </c>
      <c r="E23" s="159" t="e">
        <f t="shared" si="3"/>
        <v>#N/A</v>
      </c>
      <c r="F23" s="162">
        <f t="shared" si="4"/>
        <v>8.3687958615363683E-2</v>
      </c>
      <c r="G23" s="162" t="e">
        <f t="shared" si="5"/>
        <v>#N/A</v>
      </c>
      <c r="H23" s="210" t="e">
        <f t="shared" si="6"/>
        <v>#N/A</v>
      </c>
      <c r="K23" s="165" t="s">
        <v>372</v>
      </c>
      <c r="L23" s="209"/>
      <c r="M23" s="158">
        <v>8</v>
      </c>
      <c r="N23" s="213" t="e">
        <f t="shared" si="16"/>
        <v>#N/A</v>
      </c>
      <c r="O23" s="213" t="e">
        <f t="shared" si="17"/>
        <v>#N/A</v>
      </c>
      <c r="P23" s="159" t="e">
        <f t="shared" si="18"/>
        <v>#N/A</v>
      </c>
      <c r="Q23" s="162">
        <f t="shared" si="19"/>
        <v>8.3687958615363683E-2</v>
      </c>
      <c r="R23" s="162" t="e">
        <f t="shared" si="20"/>
        <v>#N/A</v>
      </c>
      <c r="S23" s="210" t="e">
        <f t="shared" si="21"/>
        <v>#N/A</v>
      </c>
      <c r="T23" s="163"/>
      <c r="U23" s="84" t="e">
        <f t="shared" si="14"/>
        <v>#N/A</v>
      </c>
      <c r="V23" s="241" t="e">
        <f t="shared" si="15"/>
        <v>#N/A</v>
      </c>
      <c r="W23" s="178"/>
      <c r="X23" s="183">
        <v>8</v>
      </c>
      <c r="Y23" s="190">
        <v>787.72327134556747</v>
      </c>
      <c r="Z23" s="190">
        <v>0.12183157209622629</v>
      </c>
      <c r="AA23" s="188">
        <v>2.1357854052283822</v>
      </c>
      <c r="AB23" s="189">
        <v>7.4900683003448626E-3</v>
      </c>
      <c r="AC23" s="189">
        <v>3.6819149895865981E-2</v>
      </c>
      <c r="AD23" s="203">
        <v>2.1465566934566822</v>
      </c>
    </row>
    <row r="24" spans="1:30" ht="15">
      <c r="A24" s="209"/>
      <c r="B24" s="158">
        <f t="shared" si="0"/>
        <v>9</v>
      </c>
      <c r="C24" s="213" t="e">
        <f t="shared" si="1"/>
        <v>#N/A</v>
      </c>
      <c r="D24" s="213" t="e">
        <f t="shared" si="2"/>
        <v>#N/A</v>
      </c>
      <c r="E24" s="159" t="e">
        <f t="shared" si="3"/>
        <v>#N/A</v>
      </c>
      <c r="F24" s="162">
        <f t="shared" si="4"/>
        <v>5.0687545443315697E-2</v>
      </c>
      <c r="G24" s="162" t="e">
        <f t="shared" si="5"/>
        <v>#N/A</v>
      </c>
      <c r="H24" s="210" t="e">
        <f t="shared" si="6"/>
        <v>#N/A</v>
      </c>
      <c r="K24" s="165" t="s">
        <v>373</v>
      </c>
      <c r="L24" s="209"/>
      <c r="M24" s="158">
        <v>9</v>
      </c>
      <c r="N24" s="213" t="e">
        <f t="shared" si="16"/>
        <v>#N/A</v>
      </c>
      <c r="O24" s="213" t="e">
        <f t="shared" si="17"/>
        <v>#N/A</v>
      </c>
      <c r="P24" s="159" t="e">
        <f t="shared" si="18"/>
        <v>#N/A</v>
      </c>
      <c r="Q24" s="162">
        <f t="shared" si="19"/>
        <v>5.0687545443315697E-2</v>
      </c>
      <c r="R24" s="162" t="e">
        <f t="shared" si="20"/>
        <v>#N/A</v>
      </c>
      <c r="S24" s="210" t="e">
        <f t="shared" si="21"/>
        <v>#N/A</v>
      </c>
      <c r="T24" s="163"/>
      <c r="U24" s="84" t="e">
        <f t="shared" si="14"/>
        <v>#N/A</v>
      </c>
      <c r="V24" s="84" t="e">
        <f t="shared" si="15"/>
        <v>#N/A</v>
      </c>
      <c r="W24" s="178"/>
      <c r="X24" s="183">
        <v>9</v>
      </c>
      <c r="Y24" s="190">
        <v>887.34571135823933</v>
      </c>
      <c r="Z24" s="190">
        <v>0.13721256521806771</v>
      </c>
      <c r="AA24" s="188">
        <v>2.1360097468191461</v>
      </c>
      <c r="AB24" s="189">
        <v>2.3215701325896489E-2</v>
      </c>
      <c r="AC24" s="189">
        <v>3.6534558198688949E-2</v>
      </c>
      <c r="AD24" s="203">
        <v>2.1478578024816706</v>
      </c>
    </row>
    <row r="25" spans="1:30" ht="15.75" thickBot="1">
      <c r="A25" s="209"/>
      <c r="B25" s="158" t="str">
        <f t="shared" si="0"/>
        <v>X</v>
      </c>
      <c r="C25" s="213" t="e">
        <f t="shared" si="1"/>
        <v>#N/A</v>
      </c>
      <c r="D25" s="213" t="e">
        <f t="shared" si="2"/>
        <v>#N/A</v>
      </c>
      <c r="E25" s="159" t="e">
        <f t="shared" si="3"/>
        <v>#N/A</v>
      </c>
      <c r="F25" s="162">
        <f t="shared" si="4"/>
        <v>7.7225646377689944E-2</v>
      </c>
      <c r="G25" s="162" t="e">
        <f t="shared" si="5"/>
        <v>#N/A</v>
      </c>
      <c r="H25" s="210" t="e">
        <f t="shared" si="6"/>
        <v>#N/A</v>
      </c>
      <c r="K25" s="165" t="s">
        <v>374</v>
      </c>
      <c r="L25" s="209"/>
      <c r="M25" s="158" t="s">
        <v>348</v>
      </c>
      <c r="N25" s="213" t="e">
        <f t="shared" si="16"/>
        <v>#N/A</v>
      </c>
      <c r="O25" s="213" t="e">
        <f t="shared" si="17"/>
        <v>#N/A</v>
      </c>
      <c r="P25" s="159" t="e">
        <f t="shared" si="18"/>
        <v>#N/A</v>
      </c>
      <c r="Q25" s="162">
        <f t="shared" si="19"/>
        <v>7.7225646377689944E-2</v>
      </c>
      <c r="R25" s="162" t="e">
        <f t="shared" si="20"/>
        <v>#N/A</v>
      </c>
      <c r="S25" s="210" t="e">
        <f t="shared" si="21"/>
        <v>#N/A</v>
      </c>
      <c r="T25" s="163"/>
      <c r="U25" s="84" t="e">
        <f t="shared" si="14"/>
        <v>#N/A</v>
      </c>
      <c r="V25" s="84" t="e">
        <f t="shared" si="15"/>
        <v>#N/A</v>
      </c>
      <c r="W25" s="178"/>
      <c r="X25" s="183" t="s">
        <v>348</v>
      </c>
      <c r="Y25" s="190">
        <v>983.95474483376927</v>
      </c>
      <c r="Z25" s="190">
        <v>0.1521303961941462</v>
      </c>
      <c r="AA25" s="188">
        <v>2.136168757054195</v>
      </c>
      <c r="AB25" s="189">
        <v>2.5916270142961714E-2</v>
      </c>
      <c r="AC25" s="189">
        <v>3.6316721525046385E-2</v>
      </c>
      <c r="AD25" s="203">
        <v>2.1487896085713123</v>
      </c>
    </row>
    <row r="26" spans="1:30" ht="15.75" thickTop="1">
      <c r="A26" s="207" t="str">
        <f>L26</f>
        <v>Dial</v>
      </c>
      <c r="B26" s="208" t="str">
        <f t="shared" ref="B26" si="22">M26</f>
        <v>Dial</v>
      </c>
      <c r="C26" s="208" t="str">
        <f t="shared" ref="C26:C27" si="23">N26</f>
        <v>Capacitance</v>
      </c>
      <c r="D26" s="208" t="str">
        <f t="shared" ref="D26:D27" si="24">O26</f>
        <v xml:space="preserve">Expanded </v>
      </c>
      <c r="E26" s="235" t="str">
        <f t="shared" ref="E26" si="25">P26</f>
        <v>k</v>
      </c>
      <c r="F26" s="208" t="str">
        <f t="shared" ref="F26" si="26">Q26</f>
        <v>Loss angle</v>
      </c>
      <c r="G26" s="208" t="str">
        <f t="shared" ref="G26:G28" si="27">R26</f>
        <v xml:space="preserve">Expanded </v>
      </c>
      <c r="H26" s="236" t="str">
        <f t="shared" ref="H26" si="28">S26</f>
        <v>k</v>
      </c>
      <c r="K26" s="165"/>
      <c r="L26" s="207" t="s">
        <v>341</v>
      </c>
      <c r="M26" s="208" t="s">
        <v>341</v>
      </c>
      <c r="N26" s="208" t="s">
        <v>34</v>
      </c>
      <c r="O26" s="208" t="s">
        <v>129</v>
      </c>
      <c r="P26" s="235" t="s">
        <v>17</v>
      </c>
      <c r="Q26" s="208" t="s">
        <v>107</v>
      </c>
      <c r="R26" s="208" t="s">
        <v>129</v>
      </c>
      <c r="S26" s="236" t="s">
        <v>17</v>
      </c>
      <c r="T26" s="163"/>
      <c r="U26" s="84"/>
      <c r="V26" s="84"/>
      <c r="W26" s="178"/>
      <c r="X26" s="183"/>
      <c r="Y26" s="190"/>
      <c r="Z26" s="190"/>
      <c r="AA26" s="188"/>
      <c r="AB26" s="189"/>
      <c r="AC26" s="189"/>
      <c r="AD26" s="203"/>
    </row>
    <row r="27" spans="1:30" ht="15">
      <c r="A27" s="209" t="str">
        <f>L27</f>
        <v>Label</v>
      </c>
      <c r="B27" s="158" t="str">
        <f>M27</f>
        <v>Setting</v>
      </c>
      <c r="C27" s="158" t="str">
        <f t="shared" si="23"/>
        <v>change</v>
      </c>
      <c r="D27" s="158" t="str">
        <f t="shared" si="24"/>
        <v>uncertainty</v>
      </c>
      <c r="E27" s="159"/>
      <c r="F27" s="158"/>
      <c r="G27" s="158" t="str">
        <f t="shared" si="27"/>
        <v>uncertainty</v>
      </c>
      <c r="H27" s="210"/>
      <c r="K27" s="165"/>
      <c r="L27" s="209" t="s">
        <v>16</v>
      </c>
      <c r="M27" s="158" t="s">
        <v>342</v>
      </c>
      <c r="N27" s="158" t="s">
        <v>132</v>
      </c>
      <c r="O27" s="158" t="s">
        <v>130</v>
      </c>
      <c r="P27" s="159"/>
      <c r="Q27" s="158"/>
      <c r="R27" s="158" t="s">
        <v>130</v>
      </c>
      <c r="S27" s="210"/>
      <c r="T27" s="163"/>
      <c r="U27" s="84"/>
      <c r="V27" s="84"/>
      <c r="W27" s="178"/>
      <c r="X27" s="183"/>
      <c r="Y27" s="190"/>
      <c r="Z27" s="190"/>
      <c r="AA27" s="188"/>
      <c r="AB27" s="189"/>
      <c r="AC27" s="189"/>
      <c r="AD27" s="203"/>
    </row>
    <row r="28" spans="1:30" ht="15">
      <c r="A28" s="211"/>
      <c r="B28" s="160"/>
      <c r="C28" s="160"/>
      <c r="D28" s="160"/>
      <c r="E28" s="161"/>
      <c r="F28" s="160" t="str">
        <f t="shared" ref="F28" si="29">Q28</f>
        <v>(milliradian)</v>
      </c>
      <c r="G28" s="160" t="str">
        <f t="shared" si="27"/>
        <v>(milliradian)</v>
      </c>
      <c r="H28" s="212"/>
      <c r="K28" s="165"/>
      <c r="L28" s="211"/>
      <c r="M28" s="160"/>
      <c r="N28" s="160"/>
      <c r="O28" s="160"/>
      <c r="P28" s="161"/>
      <c r="Q28" s="160" t="s">
        <v>133</v>
      </c>
      <c r="R28" s="160" t="s">
        <v>133</v>
      </c>
      <c r="S28" s="212"/>
      <c r="T28" s="163"/>
      <c r="U28" s="84"/>
      <c r="V28" s="84"/>
      <c r="W28" s="178"/>
      <c r="X28" s="183"/>
      <c r="Y28" s="190"/>
      <c r="Z28" s="190"/>
      <c r="AA28" s="188"/>
      <c r="AB28" s="189"/>
      <c r="AC28" s="189"/>
      <c r="AD28" s="203"/>
    </row>
    <row r="29" spans="1:30" ht="15">
      <c r="A29" s="209"/>
      <c r="B29" s="214"/>
      <c r="C29" s="214"/>
      <c r="D29" s="214"/>
      <c r="E29" s="215"/>
      <c r="F29" s="214"/>
      <c r="G29" s="214"/>
      <c r="H29" s="216"/>
      <c r="K29" s="82"/>
      <c r="L29" s="209"/>
      <c r="M29" s="214"/>
      <c r="N29" s="214"/>
      <c r="O29" s="214"/>
      <c r="P29" s="215"/>
      <c r="Q29" s="214"/>
      <c r="R29" s="214"/>
      <c r="S29" s="216"/>
      <c r="T29" s="238"/>
      <c r="U29" s="84"/>
      <c r="V29" s="84"/>
      <c r="W29" s="178"/>
      <c r="X29" s="185"/>
      <c r="Y29" s="185"/>
      <c r="Z29" s="185"/>
      <c r="AA29" s="198"/>
      <c r="AB29" s="185"/>
      <c r="AC29" s="185"/>
      <c r="AD29" s="205"/>
    </row>
    <row r="30" spans="1:30" ht="15">
      <c r="A30" s="209" t="str">
        <f t="shared" si="7"/>
        <v>1000pF</v>
      </c>
      <c r="B30" s="158">
        <f t="shared" si="0"/>
        <v>1</v>
      </c>
      <c r="C30" s="217" t="e">
        <f>TEXT(N30,"0.00000")&amp;" nF"</f>
        <v>#N/A</v>
      </c>
      <c r="D30" s="217" t="e">
        <f>TEXT(O30,"0.00000")&amp;" nF"</f>
        <v>#N/A</v>
      </c>
      <c r="E30" s="159" t="e">
        <f t="shared" si="3"/>
        <v>#N/A</v>
      </c>
      <c r="F30" s="213" t="e">
        <f t="shared" si="4"/>
        <v>#N/A</v>
      </c>
      <c r="G30" s="213" t="e">
        <f t="shared" si="5"/>
        <v>#N/A</v>
      </c>
      <c r="H30" s="210" t="e">
        <f t="shared" si="6"/>
        <v>#N/A</v>
      </c>
      <c r="K30" s="165" t="s">
        <v>375</v>
      </c>
      <c r="L30" s="209" t="s">
        <v>349</v>
      </c>
      <c r="M30" s="158">
        <v>1</v>
      </c>
      <c r="N30" s="217" t="e">
        <f t="shared" ref="N30:N39" si="30">VLOOKUP(K30,Rangex,5,FALSE)</f>
        <v>#N/A</v>
      </c>
      <c r="O30" s="217" t="e">
        <f t="shared" ref="O30:O39" si="31">VLOOKUP($K30,ub_uncertainty,2,FALSE)</f>
        <v>#N/A</v>
      </c>
      <c r="P30" s="159" t="e">
        <f t="shared" ref="P30:P39" si="32">VLOOKUP($K30,ub_uncertainty,3,FALSE)</f>
        <v>#N/A</v>
      </c>
      <c r="Q30" s="213" t="e">
        <f t="shared" ref="Q30:Q39" si="33">VLOOKUP(K30,Rangex,10,FALSE)</f>
        <v>#N/A</v>
      </c>
      <c r="R30" s="213" t="e">
        <f t="shared" ref="R30:R39" si="34">VLOOKUP(K30,ub_uncertainty,6,FALSE)</f>
        <v>#N/A</v>
      </c>
      <c r="S30" s="210" t="e">
        <f t="shared" ref="S30:S39" si="35">VLOOKUP(K30,ub_uncertainty,5,FALSE)</f>
        <v>#N/A</v>
      </c>
      <c r="T30" s="163"/>
      <c r="U30" s="84" t="e">
        <f t="shared" si="14"/>
        <v>#N/A</v>
      </c>
      <c r="V30" s="84" t="e">
        <f t="shared" si="15"/>
        <v>#N/A</v>
      </c>
      <c r="W30" s="178" t="s">
        <v>349</v>
      </c>
      <c r="X30" s="183">
        <v>1</v>
      </c>
      <c r="Y30" s="190">
        <v>0.99519999999999997</v>
      </c>
      <c r="Z30" s="191">
        <v>1.6000000000000001E-4</v>
      </c>
      <c r="AA30" s="188">
        <v>2.0905603200437128</v>
      </c>
      <c r="AB30" s="190">
        <v>4.2200569882662402E-2</v>
      </c>
      <c r="AC30" s="190">
        <v>4.9981346365802572E-2</v>
      </c>
      <c r="AD30" s="203">
        <v>2.0661795420783564</v>
      </c>
    </row>
    <row r="31" spans="1:30" ht="15">
      <c r="A31" s="209" t="str">
        <f t="shared" si="7"/>
        <v>STEPS</v>
      </c>
      <c r="B31" s="158">
        <f t="shared" si="0"/>
        <v>2</v>
      </c>
      <c r="C31" s="217" t="e">
        <f t="shared" si="1"/>
        <v>#N/A</v>
      </c>
      <c r="D31" s="217" t="e">
        <f t="shared" si="2"/>
        <v>#N/A</v>
      </c>
      <c r="E31" s="159" t="e">
        <f t="shared" si="3"/>
        <v>#N/A</v>
      </c>
      <c r="F31" s="162" t="e">
        <f t="shared" si="4"/>
        <v>#N/A</v>
      </c>
      <c r="G31" s="162" t="e">
        <f t="shared" si="5"/>
        <v>#N/A</v>
      </c>
      <c r="H31" s="210" t="e">
        <f t="shared" si="6"/>
        <v>#N/A</v>
      </c>
      <c r="K31" s="165" t="s">
        <v>376</v>
      </c>
      <c r="L31" s="209" t="s">
        <v>347</v>
      </c>
      <c r="M31" s="158">
        <v>2</v>
      </c>
      <c r="N31" s="217" t="e">
        <f t="shared" si="30"/>
        <v>#N/A</v>
      </c>
      <c r="O31" s="217" t="e">
        <f t="shared" si="31"/>
        <v>#N/A</v>
      </c>
      <c r="P31" s="159" t="e">
        <f t="shared" si="32"/>
        <v>#N/A</v>
      </c>
      <c r="Q31" s="162" t="e">
        <f t="shared" si="33"/>
        <v>#N/A</v>
      </c>
      <c r="R31" s="162" t="e">
        <f t="shared" si="34"/>
        <v>#N/A</v>
      </c>
      <c r="S31" s="210" t="e">
        <f t="shared" si="35"/>
        <v>#N/A</v>
      </c>
      <c r="T31" s="163"/>
      <c r="U31" s="84" t="e">
        <f t="shared" si="14"/>
        <v>#N/A</v>
      </c>
      <c r="V31" s="84" t="e">
        <f t="shared" si="15"/>
        <v>#N/A</v>
      </c>
      <c r="W31" s="178" t="s">
        <v>347</v>
      </c>
      <c r="X31" s="183">
        <v>2</v>
      </c>
      <c r="Y31" s="191">
        <v>1.9971396875419236</v>
      </c>
      <c r="Z31" s="191">
        <v>3.1376431838192842E-4</v>
      </c>
      <c r="AA31" s="188">
        <v>2.1202022721691143</v>
      </c>
      <c r="AB31" s="189">
        <v>1.9526993718983476E-2</v>
      </c>
      <c r="AC31" s="189">
        <v>3.8708001482755466E-2</v>
      </c>
      <c r="AD31" s="203">
        <v>2.0865914848478955</v>
      </c>
    </row>
    <row r="32" spans="1:30" ht="15">
      <c r="A32" s="209"/>
      <c r="B32" s="158">
        <f t="shared" si="0"/>
        <v>3</v>
      </c>
      <c r="C32" s="218" t="e">
        <f t="shared" si="1"/>
        <v>#N/A</v>
      </c>
      <c r="D32" s="218" t="e">
        <f t="shared" si="2"/>
        <v>#N/A</v>
      </c>
      <c r="E32" s="159" t="e">
        <f t="shared" si="3"/>
        <v>#N/A</v>
      </c>
      <c r="F32" s="162" t="e">
        <f t="shared" si="4"/>
        <v>#N/A</v>
      </c>
      <c r="G32" s="162" t="e">
        <f t="shared" si="5"/>
        <v>#N/A</v>
      </c>
      <c r="H32" s="210" t="e">
        <f t="shared" si="6"/>
        <v>#N/A</v>
      </c>
      <c r="K32" s="165" t="s">
        <v>377</v>
      </c>
      <c r="L32" s="209"/>
      <c r="M32" s="158">
        <v>3</v>
      </c>
      <c r="N32" s="218" t="e">
        <f t="shared" si="30"/>
        <v>#N/A</v>
      </c>
      <c r="O32" s="218" t="e">
        <f t="shared" si="31"/>
        <v>#N/A</v>
      </c>
      <c r="P32" s="159" t="e">
        <f t="shared" si="32"/>
        <v>#N/A</v>
      </c>
      <c r="Q32" s="162" t="e">
        <f t="shared" si="33"/>
        <v>#N/A</v>
      </c>
      <c r="R32" s="162" t="e">
        <f t="shared" si="34"/>
        <v>#N/A</v>
      </c>
      <c r="S32" s="210" t="e">
        <f t="shared" si="35"/>
        <v>#N/A</v>
      </c>
      <c r="T32" s="163"/>
      <c r="U32" s="84" t="e">
        <f t="shared" si="14"/>
        <v>#N/A</v>
      </c>
      <c r="V32" s="84" t="e">
        <f t="shared" si="15"/>
        <v>#N/A</v>
      </c>
      <c r="W32" s="178"/>
      <c r="X32" s="183">
        <v>3</v>
      </c>
      <c r="Y32" s="192">
        <v>2.9919992718032309</v>
      </c>
      <c r="Z32" s="192">
        <v>4.6575832498174186E-4</v>
      </c>
      <c r="AA32" s="188">
        <v>2.1288157559174028</v>
      </c>
      <c r="AB32" s="189">
        <v>1.5373599742862626E-2</v>
      </c>
      <c r="AC32" s="189">
        <v>3.6484457300433717E-2</v>
      </c>
      <c r="AD32" s="203">
        <v>2.1131226473024194</v>
      </c>
    </row>
    <row r="33" spans="1:30" ht="15">
      <c r="A33" s="209"/>
      <c r="B33" s="158">
        <f t="shared" si="0"/>
        <v>4</v>
      </c>
      <c r="C33" s="218" t="e">
        <f t="shared" si="1"/>
        <v>#N/A</v>
      </c>
      <c r="D33" s="218" t="e">
        <f t="shared" si="2"/>
        <v>#N/A</v>
      </c>
      <c r="E33" s="159" t="e">
        <f t="shared" si="3"/>
        <v>#N/A</v>
      </c>
      <c r="F33" s="162" t="e">
        <f t="shared" si="4"/>
        <v>#N/A</v>
      </c>
      <c r="G33" s="162" t="e">
        <f t="shared" si="5"/>
        <v>#N/A</v>
      </c>
      <c r="H33" s="210" t="e">
        <f t="shared" si="6"/>
        <v>#N/A</v>
      </c>
      <c r="K33" s="165" t="s">
        <v>378</v>
      </c>
      <c r="L33" s="209"/>
      <c r="M33" s="158">
        <v>4</v>
      </c>
      <c r="N33" s="218" t="e">
        <f t="shared" si="30"/>
        <v>#N/A</v>
      </c>
      <c r="O33" s="218" t="e">
        <f t="shared" si="31"/>
        <v>#N/A</v>
      </c>
      <c r="P33" s="159" t="e">
        <f t="shared" si="32"/>
        <v>#N/A</v>
      </c>
      <c r="Q33" s="162" t="e">
        <f t="shared" si="33"/>
        <v>#N/A</v>
      </c>
      <c r="R33" s="162" t="e">
        <f t="shared" si="34"/>
        <v>#N/A</v>
      </c>
      <c r="S33" s="210" t="e">
        <f t="shared" si="35"/>
        <v>#N/A</v>
      </c>
      <c r="T33" s="163"/>
      <c r="U33" s="84" t="e">
        <f t="shared" si="14"/>
        <v>#N/A</v>
      </c>
      <c r="V33" s="84" t="e">
        <f t="shared" si="15"/>
        <v>#N/A</v>
      </c>
      <c r="W33" s="178"/>
      <c r="X33" s="183">
        <v>4</v>
      </c>
      <c r="Y33" s="192">
        <v>3.9942893757833344</v>
      </c>
      <c r="Z33" s="192">
        <v>6.1976165231914882E-4</v>
      </c>
      <c r="AA33" s="188">
        <v>2.1322151744142714</v>
      </c>
      <c r="AB33" s="189">
        <v>6.2586361629119744E-3</v>
      </c>
      <c r="AC33" s="189">
        <v>3.568362095816191E-2</v>
      </c>
      <c r="AD33" s="203">
        <v>2.127798821946044</v>
      </c>
    </row>
    <row r="34" spans="1:30" ht="15">
      <c r="A34" s="209"/>
      <c r="B34" s="158">
        <f t="shared" si="0"/>
        <v>5</v>
      </c>
      <c r="C34" s="218" t="e">
        <f t="shared" si="1"/>
        <v>#N/A</v>
      </c>
      <c r="D34" s="218" t="e">
        <f t="shared" si="2"/>
        <v>#N/A</v>
      </c>
      <c r="E34" s="159" t="e">
        <f t="shared" si="3"/>
        <v>#N/A</v>
      </c>
      <c r="F34" s="162" t="e">
        <f t="shared" si="4"/>
        <v>#N/A</v>
      </c>
      <c r="G34" s="162" t="e">
        <f t="shared" si="5"/>
        <v>#N/A</v>
      </c>
      <c r="H34" s="210" t="e">
        <f t="shared" si="6"/>
        <v>#N/A</v>
      </c>
      <c r="K34" s="165" t="s">
        <v>379</v>
      </c>
      <c r="L34" s="209"/>
      <c r="M34" s="158">
        <v>5</v>
      </c>
      <c r="N34" s="218" t="e">
        <f t="shared" si="30"/>
        <v>#N/A</v>
      </c>
      <c r="O34" s="218" t="e">
        <f t="shared" si="31"/>
        <v>#N/A</v>
      </c>
      <c r="P34" s="159" t="e">
        <f t="shared" si="32"/>
        <v>#N/A</v>
      </c>
      <c r="Q34" s="162" t="e">
        <f t="shared" si="33"/>
        <v>#N/A</v>
      </c>
      <c r="R34" s="162" t="e">
        <f t="shared" si="34"/>
        <v>#N/A</v>
      </c>
      <c r="S34" s="210" t="e">
        <f t="shared" si="35"/>
        <v>#N/A</v>
      </c>
      <c r="T34" s="163"/>
      <c r="U34" s="84" t="e">
        <f t="shared" si="14"/>
        <v>#N/A</v>
      </c>
      <c r="V34" s="84" t="e">
        <f t="shared" si="15"/>
        <v>#N/A</v>
      </c>
      <c r="W34" s="178"/>
      <c r="X34" s="183">
        <v>5</v>
      </c>
      <c r="Y34" s="192">
        <v>4.9973495336239324</v>
      </c>
      <c r="Z34" s="192">
        <v>7.7423011203899472E-4</v>
      </c>
      <c r="AA34" s="188">
        <v>2.1338595951357573</v>
      </c>
      <c r="AB34" s="189">
        <v>2.0009650126901781E-4</v>
      </c>
      <c r="AC34" s="189">
        <v>3.5302605812836209E-2</v>
      </c>
      <c r="AD34" s="203">
        <v>2.1359306136092173</v>
      </c>
    </row>
    <row r="35" spans="1:30" ht="15">
      <c r="A35" s="209"/>
      <c r="B35" s="158">
        <f t="shared" si="0"/>
        <v>6</v>
      </c>
      <c r="C35" s="218" t="e">
        <f t="shared" si="1"/>
        <v>#N/A</v>
      </c>
      <c r="D35" s="218" t="e">
        <f t="shared" si="2"/>
        <v>#N/A</v>
      </c>
      <c r="E35" s="159" t="e">
        <f t="shared" si="3"/>
        <v>#N/A</v>
      </c>
      <c r="F35" s="162" t="e">
        <f t="shared" si="4"/>
        <v>#N/A</v>
      </c>
      <c r="G35" s="162" t="e">
        <f t="shared" si="5"/>
        <v>#N/A</v>
      </c>
      <c r="H35" s="210" t="e">
        <f t="shared" si="6"/>
        <v>#N/A</v>
      </c>
      <c r="K35" s="165" t="s">
        <v>380</v>
      </c>
      <c r="L35" s="209"/>
      <c r="M35" s="158">
        <v>6</v>
      </c>
      <c r="N35" s="218" t="e">
        <f t="shared" si="30"/>
        <v>#N/A</v>
      </c>
      <c r="O35" s="218" t="e">
        <f t="shared" si="31"/>
        <v>#N/A</v>
      </c>
      <c r="P35" s="159" t="e">
        <f t="shared" si="32"/>
        <v>#N/A</v>
      </c>
      <c r="Q35" s="162" t="e">
        <f t="shared" si="33"/>
        <v>#N/A</v>
      </c>
      <c r="R35" s="162" t="e">
        <f t="shared" si="34"/>
        <v>#N/A</v>
      </c>
      <c r="S35" s="210" t="e">
        <f t="shared" si="35"/>
        <v>#N/A</v>
      </c>
      <c r="T35" s="163"/>
      <c r="U35" s="84" t="e">
        <f t="shared" si="14"/>
        <v>#N/A</v>
      </c>
      <c r="V35" s="84" t="e">
        <f t="shared" si="15"/>
        <v>#N/A</v>
      </c>
      <c r="W35" s="178"/>
      <c r="X35" s="183">
        <v>6</v>
      </c>
      <c r="Y35" s="192">
        <v>5.9916090759160232</v>
      </c>
      <c r="Z35" s="192">
        <v>9.2751369784962914E-4</v>
      </c>
      <c r="AA35" s="188">
        <v>2.1347665993283402</v>
      </c>
      <c r="AB35" s="189">
        <v>-1.1682446255066143E-3</v>
      </c>
      <c r="AC35" s="189">
        <v>3.5090094683835907E-2</v>
      </c>
      <c r="AD35" s="203">
        <v>2.1407161894182249</v>
      </c>
    </row>
    <row r="36" spans="1:30" ht="15">
      <c r="A36" s="209"/>
      <c r="B36" s="158">
        <f t="shared" si="0"/>
        <v>7</v>
      </c>
      <c r="C36" s="218" t="e">
        <f t="shared" si="1"/>
        <v>#N/A</v>
      </c>
      <c r="D36" s="218" t="e">
        <f t="shared" si="2"/>
        <v>#N/A</v>
      </c>
      <c r="E36" s="159" t="e">
        <f t="shared" si="3"/>
        <v>#N/A</v>
      </c>
      <c r="F36" s="162" t="e">
        <f t="shared" si="4"/>
        <v>#N/A</v>
      </c>
      <c r="G36" s="162" t="e">
        <f t="shared" si="5"/>
        <v>#N/A</v>
      </c>
      <c r="H36" s="210" t="e">
        <f t="shared" si="6"/>
        <v>#N/A</v>
      </c>
      <c r="K36" s="165" t="s">
        <v>381</v>
      </c>
      <c r="L36" s="209"/>
      <c r="M36" s="158">
        <v>7</v>
      </c>
      <c r="N36" s="218" t="e">
        <f t="shared" si="30"/>
        <v>#N/A</v>
      </c>
      <c r="O36" s="218" t="e">
        <f t="shared" si="31"/>
        <v>#N/A</v>
      </c>
      <c r="P36" s="159" t="e">
        <f t="shared" si="32"/>
        <v>#N/A</v>
      </c>
      <c r="Q36" s="162" t="e">
        <f t="shared" si="33"/>
        <v>#N/A</v>
      </c>
      <c r="R36" s="162" t="e">
        <f t="shared" si="34"/>
        <v>#N/A</v>
      </c>
      <c r="S36" s="210" t="e">
        <f t="shared" si="35"/>
        <v>#N/A</v>
      </c>
      <c r="T36" s="163"/>
      <c r="U36" s="84" t="e">
        <f t="shared" si="14"/>
        <v>#N/A</v>
      </c>
      <c r="V36" s="84" t="e">
        <f t="shared" si="15"/>
        <v>#N/A</v>
      </c>
      <c r="W36" s="178"/>
      <c r="X36" s="183">
        <v>7</v>
      </c>
      <c r="Y36" s="192">
        <v>6.9936991659063876</v>
      </c>
      <c r="Z36" s="192">
        <v>1.0821025153710995E-3</v>
      </c>
      <c r="AA36" s="188">
        <v>2.1353261653384323</v>
      </c>
      <c r="AB36" s="189">
        <v>3.5744751581937412E-3</v>
      </c>
      <c r="AC36" s="189">
        <v>3.4956095453931135E-2</v>
      </c>
      <c r="AD36" s="203">
        <v>2.1437645736839239</v>
      </c>
    </row>
    <row r="37" spans="1:30" ht="15">
      <c r="A37" s="209"/>
      <c r="B37" s="158">
        <f t="shared" si="0"/>
        <v>8</v>
      </c>
      <c r="C37" s="218" t="e">
        <f t="shared" si="1"/>
        <v>#N/A</v>
      </c>
      <c r="D37" s="218" t="e">
        <f t="shared" si="2"/>
        <v>#N/A</v>
      </c>
      <c r="E37" s="159" t="e">
        <f t="shared" si="3"/>
        <v>#N/A</v>
      </c>
      <c r="F37" s="162" t="e">
        <f t="shared" si="4"/>
        <v>#N/A</v>
      </c>
      <c r="G37" s="162" t="e">
        <f t="shared" si="5"/>
        <v>#N/A</v>
      </c>
      <c r="H37" s="210" t="e">
        <f t="shared" si="6"/>
        <v>#N/A</v>
      </c>
      <c r="K37" s="165" t="s">
        <v>382</v>
      </c>
      <c r="L37" s="209"/>
      <c r="M37" s="158">
        <v>8</v>
      </c>
      <c r="N37" s="218" t="e">
        <f t="shared" si="30"/>
        <v>#N/A</v>
      </c>
      <c r="O37" s="218" t="e">
        <f t="shared" si="31"/>
        <v>#N/A</v>
      </c>
      <c r="P37" s="159" t="e">
        <f t="shared" si="32"/>
        <v>#N/A</v>
      </c>
      <c r="Q37" s="162" t="e">
        <f t="shared" si="33"/>
        <v>#N/A</v>
      </c>
      <c r="R37" s="162" t="e">
        <f t="shared" si="34"/>
        <v>#N/A</v>
      </c>
      <c r="S37" s="210" t="e">
        <f t="shared" si="35"/>
        <v>#N/A</v>
      </c>
      <c r="T37" s="163"/>
      <c r="U37" s="84" t="e">
        <f t="shared" si="14"/>
        <v>#N/A</v>
      </c>
      <c r="V37" s="84" t="e">
        <f t="shared" si="15"/>
        <v>#N/A</v>
      </c>
      <c r="W37" s="178"/>
      <c r="X37" s="183">
        <v>8</v>
      </c>
      <c r="Y37" s="192">
        <v>7.9878386998046347</v>
      </c>
      <c r="Z37" s="192">
        <v>1.2355257045789326E-3</v>
      </c>
      <c r="AA37" s="188">
        <v>2.1356899444743953</v>
      </c>
      <c r="AB37" s="189">
        <v>1.3394722258643391E-2</v>
      </c>
      <c r="AC37" s="189">
        <v>3.4866764657006492E-2</v>
      </c>
      <c r="AD37" s="203">
        <v>2.1457716940280727</v>
      </c>
    </row>
    <row r="38" spans="1:30" ht="15">
      <c r="A38" s="209"/>
      <c r="B38" s="158">
        <f t="shared" si="0"/>
        <v>9</v>
      </c>
      <c r="C38" s="218" t="e">
        <f t="shared" si="1"/>
        <v>#N/A</v>
      </c>
      <c r="D38" s="218" t="e">
        <f t="shared" si="2"/>
        <v>#N/A</v>
      </c>
      <c r="E38" s="159" t="e">
        <f t="shared" si="3"/>
        <v>#N/A</v>
      </c>
      <c r="F38" s="162" t="e">
        <f t="shared" si="4"/>
        <v>#N/A</v>
      </c>
      <c r="G38" s="162" t="e">
        <f t="shared" si="5"/>
        <v>#N/A</v>
      </c>
      <c r="H38" s="210" t="e">
        <f t="shared" si="6"/>
        <v>#N/A</v>
      </c>
      <c r="K38" s="165" t="s">
        <v>383</v>
      </c>
      <c r="L38" s="209"/>
      <c r="M38" s="158">
        <v>9</v>
      </c>
      <c r="N38" s="218" t="e">
        <f t="shared" si="30"/>
        <v>#N/A</v>
      </c>
      <c r="O38" s="218" t="e">
        <f t="shared" si="31"/>
        <v>#N/A</v>
      </c>
      <c r="P38" s="159" t="e">
        <f t="shared" si="32"/>
        <v>#N/A</v>
      </c>
      <c r="Q38" s="162" t="e">
        <f t="shared" si="33"/>
        <v>#N/A</v>
      </c>
      <c r="R38" s="162" t="e">
        <f t="shared" si="34"/>
        <v>#N/A</v>
      </c>
      <c r="S38" s="210" t="e">
        <f t="shared" si="35"/>
        <v>#N/A</v>
      </c>
      <c r="T38" s="163"/>
      <c r="U38" s="84" t="e">
        <f t="shared" si="14"/>
        <v>#N/A</v>
      </c>
      <c r="V38" s="84" t="e">
        <f t="shared" si="15"/>
        <v>#N/A</v>
      </c>
      <c r="W38" s="178"/>
      <c r="X38" s="183">
        <v>9</v>
      </c>
      <c r="Y38" s="192">
        <v>8.9898887869970512</v>
      </c>
      <c r="Z38" s="192">
        <v>1.3902106545487232E-3</v>
      </c>
      <c r="AA38" s="188">
        <v>2.1359430911851756</v>
      </c>
      <c r="AB38" s="189">
        <v>2.4248305563683716E-2</v>
      </c>
      <c r="AC38" s="189">
        <v>3.480305507695701E-2</v>
      </c>
      <c r="AD38" s="203">
        <v>2.1471660173676579</v>
      </c>
    </row>
    <row r="39" spans="1:30" ht="15">
      <c r="A39" s="209"/>
      <c r="B39" s="158" t="str">
        <f t="shared" si="0"/>
        <v>X</v>
      </c>
      <c r="C39" s="218" t="e">
        <f t="shared" si="1"/>
        <v>#N/A</v>
      </c>
      <c r="D39" s="218" t="e">
        <f t="shared" si="2"/>
        <v>#N/A</v>
      </c>
      <c r="E39" s="159" t="e">
        <f t="shared" si="3"/>
        <v>#N/A</v>
      </c>
      <c r="F39" s="162" t="e">
        <f t="shared" si="4"/>
        <v>#N/A</v>
      </c>
      <c r="G39" s="162" t="e">
        <f t="shared" si="5"/>
        <v>#N/A</v>
      </c>
      <c r="H39" s="210" t="e">
        <f t="shared" si="6"/>
        <v>#N/A</v>
      </c>
      <c r="K39" s="165" t="s">
        <v>340</v>
      </c>
      <c r="L39" s="209"/>
      <c r="M39" s="158" t="s">
        <v>348</v>
      </c>
      <c r="N39" s="218" t="e">
        <f t="shared" si="30"/>
        <v>#N/A</v>
      </c>
      <c r="O39" s="218" t="e">
        <f t="shared" si="31"/>
        <v>#N/A</v>
      </c>
      <c r="P39" s="159" t="e">
        <f t="shared" si="32"/>
        <v>#N/A</v>
      </c>
      <c r="Q39" s="162" t="e">
        <f t="shared" si="33"/>
        <v>#N/A</v>
      </c>
      <c r="R39" s="162" t="e">
        <f t="shared" si="34"/>
        <v>#N/A</v>
      </c>
      <c r="S39" s="210" t="e">
        <f t="shared" si="35"/>
        <v>#N/A</v>
      </c>
      <c r="T39" s="163"/>
      <c r="U39" s="84" t="e">
        <f t="shared" si="14"/>
        <v>#N/A</v>
      </c>
      <c r="V39" s="84" t="e">
        <f t="shared" si="15"/>
        <v>#N/A</v>
      </c>
      <c r="W39" s="178"/>
      <c r="X39" s="183" t="s">
        <v>348</v>
      </c>
      <c r="Y39" s="192">
        <v>9.9840383215947863</v>
      </c>
      <c r="Z39" s="192">
        <v>1.543704499888891E-3</v>
      </c>
      <c r="AA39" s="188">
        <v>2.1361236235959833</v>
      </c>
      <c r="AB39" s="189">
        <v>3.9461101538710006E-2</v>
      </c>
      <c r="AC39" s="189">
        <v>3.4756622523482834E-2</v>
      </c>
      <c r="AD39" s="203">
        <v>2.1481457202437229</v>
      </c>
    </row>
    <row r="40" spans="1:30" ht="15">
      <c r="A40" s="209"/>
      <c r="B40" s="214"/>
      <c r="C40" s="214"/>
      <c r="D40" s="214"/>
      <c r="E40" s="215"/>
      <c r="F40" s="214"/>
      <c r="G40" s="214"/>
      <c r="H40" s="216"/>
      <c r="K40" s="82"/>
      <c r="L40" s="209"/>
      <c r="M40" s="214"/>
      <c r="N40" s="214"/>
      <c r="O40" s="214"/>
      <c r="P40" s="215"/>
      <c r="Q40" s="214"/>
      <c r="R40" s="214"/>
      <c r="S40" s="216"/>
      <c r="T40" s="238"/>
      <c r="U40" s="84"/>
      <c r="V40" s="84"/>
      <c r="W40" s="178"/>
      <c r="X40" s="185"/>
      <c r="Y40" s="185"/>
      <c r="Z40" s="185"/>
      <c r="AA40" s="198"/>
      <c r="AB40" s="185"/>
      <c r="AC40" s="185"/>
      <c r="AD40" s="205"/>
    </row>
    <row r="41" spans="1:30" ht="15">
      <c r="A41" s="209" t="str">
        <f t="shared" si="7"/>
        <v>0.01µF</v>
      </c>
      <c r="B41" s="158">
        <f t="shared" si="0"/>
        <v>1</v>
      </c>
      <c r="C41" s="218" t="e">
        <f>TEXT(N41,"0.0000")&amp;" nF"</f>
        <v>#N/A</v>
      </c>
      <c r="D41" s="218" t="e">
        <f>TEXT(O41,"0.0000")&amp;" nF"</f>
        <v>#N/A</v>
      </c>
      <c r="E41" s="159" t="e">
        <f t="shared" si="3"/>
        <v>#N/A</v>
      </c>
      <c r="F41" s="162" t="e">
        <f t="shared" si="4"/>
        <v>#N/A</v>
      </c>
      <c r="G41" s="162" t="e">
        <f t="shared" si="5"/>
        <v>#N/A</v>
      </c>
      <c r="H41" s="210" t="e">
        <f t="shared" si="6"/>
        <v>#N/A</v>
      </c>
      <c r="K41" s="165" t="s">
        <v>384</v>
      </c>
      <c r="L41" s="209" t="s">
        <v>403</v>
      </c>
      <c r="M41" s="158">
        <v>1</v>
      </c>
      <c r="N41" s="218" t="e">
        <f t="shared" ref="N41:N50" si="36">VLOOKUP(K41,Rangex,5,FALSE)</f>
        <v>#N/A</v>
      </c>
      <c r="O41" s="218" t="e">
        <f t="shared" ref="O41:O50" si="37">VLOOKUP($K41,ub_uncertainty,2,FALSE)</f>
        <v>#N/A</v>
      </c>
      <c r="P41" s="159" t="e">
        <f t="shared" ref="P41:P50" si="38">VLOOKUP($K41,ub_uncertainty,3,FALSE)</f>
        <v>#N/A</v>
      </c>
      <c r="Q41" s="162" t="e">
        <f t="shared" ref="Q41:Q50" si="39">VLOOKUP(K41,Rangex,10,FALSE)</f>
        <v>#N/A</v>
      </c>
      <c r="R41" s="162" t="e">
        <f t="shared" ref="R41:R50" si="40">VLOOKUP(K41,ub_uncertainty,6,FALSE)</f>
        <v>#N/A</v>
      </c>
      <c r="S41" s="210" t="e">
        <f t="shared" ref="S41:S50" si="41">VLOOKUP(K41,ub_uncertainty,5,FALSE)</f>
        <v>#N/A</v>
      </c>
      <c r="T41" s="163"/>
      <c r="U41" s="84" t="e">
        <f t="shared" si="14"/>
        <v>#N/A</v>
      </c>
      <c r="V41" s="84" t="e">
        <f t="shared" si="15"/>
        <v>#N/A</v>
      </c>
      <c r="W41" s="178" t="s">
        <v>350</v>
      </c>
      <c r="X41" s="183">
        <v>1</v>
      </c>
      <c r="Y41" s="191">
        <v>10.0116</v>
      </c>
      <c r="Z41" s="193">
        <v>1.6999999999999999E-3</v>
      </c>
      <c r="AA41" s="188">
        <v>2.0885054293286829</v>
      </c>
      <c r="AB41" s="190">
        <v>4.0950534807552334E-2</v>
      </c>
      <c r="AC41" s="190">
        <v>4.8840005989845496E-2</v>
      </c>
      <c r="AD41" s="203">
        <v>2.0674174985618916</v>
      </c>
    </row>
    <row r="42" spans="1:30" ht="15">
      <c r="A42" s="209" t="str">
        <f t="shared" si="7"/>
        <v>STEPS</v>
      </c>
      <c r="B42" s="158">
        <f t="shared" si="0"/>
        <v>2</v>
      </c>
      <c r="C42" s="218" t="e">
        <f t="shared" si="1"/>
        <v>#N/A</v>
      </c>
      <c r="D42" s="218" t="e">
        <f t="shared" si="2"/>
        <v>#N/A</v>
      </c>
      <c r="E42" s="159" t="e">
        <f t="shared" si="3"/>
        <v>#N/A</v>
      </c>
      <c r="F42" s="162" t="e">
        <f t="shared" si="4"/>
        <v>#N/A</v>
      </c>
      <c r="G42" s="162" t="e">
        <f t="shared" si="5"/>
        <v>#N/A</v>
      </c>
      <c r="H42" s="210" t="e">
        <f t="shared" si="6"/>
        <v>#N/A</v>
      </c>
      <c r="K42" s="165" t="s">
        <v>385</v>
      </c>
      <c r="L42" s="209" t="s">
        <v>347</v>
      </c>
      <c r="M42" s="158">
        <v>2</v>
      </c>
      <c r="N42" s="218" t="e">
        <f t="shared" si="36"/>
        <v>#N/A</v>
      </c>
      <c r="O42" s="218" t="e">
        <f t="shared" si="37"/>
        <v>#N/A</v>
      </c>
      <c r="P42" s="159" t="e">
        <f t="shared" si="38"/>
        <v>#N/A</v>
      </c>
      <c r="Q42" s="162" t="e">
        <f t="shared" si="39"/>
        <v>#N/A</v>
      </c>
      <c r="R42" s="162" t="e">
        <f t="shared" si="40"/>
        <v>#N/A</v>
      </c>
      <c r="S42" s="210" t="e">
        <f t="shared" si="41"/>
        <v>#N/A</v>
      </c>
      <c r="T42" s="163"/>
      <c r="U42" s="84" t="e">
        <f t="shared" si="14"/>
        <v>#N/A</v>
      </c>
      <c r="V42" s="84" t="e">
        <f t="shared" si="15"/>
        <v>#N/A</v>
      </c>
      <c r="W42" s="178" t="s">
        <v>347</v>
      </c>
      <c r="X42" s="183">
        <v>2</v>
      </c>
      <c r="Y42" s="192">
        <v>20.000498910926233</v>
      </c>
      <c r="Z42" s="192">
        <v>3.1444756079831537E-3</v>
      </c>
      <c r="AA42" s="188">
        <v>2.1195846280131776</v>
      </c>
      <c r="AB42" s="190">
        <v>2.9497852800193833E-2</v>
      </c>
      <c r="AC42" s="190">
        <v>3.8050550586521951E-2</v>
      </c>
      <c r="AD42" s="203">
        <v>2.0844080100876687</v>
      </c>
    </row>
    <row r="43" spans="1:30" ht="15">
      <c r="A43" s="209"/>
      <c r="B43" s="158">
        <f t="shared" si="0"/>
        <v>3</v>
      </c>
      <c r="C43" s="218" t="e">
        <f t="shared" si="1"/>
        <v>#N/A</v>
      </c>
      <c r="D43" s="218" t="e">
        <f t="shared" si="2"/>
        <v>#N/A</v>
      </c>
      <c r="E43" s="159" t="e">
        <f t="shared" si="3"/>
        <v>#N/A</v>
      </c>
      <c r="F43" s="162" t="e">
        <f t="shared" si="4"/>
        <v>#N/A</v>
      </c>
      <c r="G43" s="162" t="e">
        <f t="shared" si="5"/>
        <v>#N/A</v>
      </c>
      <c r="H43" s="210" t="e">
        <f t="shared" si="6"/>
        <v>#N/A</v>
      </c>
      <c r="K43" s="165" t="s">
        <v>386</v>
      </c>
      <c r="L43" s="209"/>
      <c r="M43" s="158">
        <v>3</v>
      </c>
      <c r="N43" s="218" t="e">
        <f t="shared" si="36"/>
        <v>#N/A</v>
      </c>
      <c r="O43" s="218" t="e">
        <f t="shared" si="37"/>
        <v>#N/A</v>
      </c>
      <c r="P43" s="159" t="e">
        <f t="shared" si="38"/>
        <v>#N/A</v>
      </c>
      <c r="Q43" s="162" t="e">
        <f t="shared" si="39"/>
        <v>#N/A</v>
      </c>
      <c r="R43" s="162" t="e">
        <f t="shared" si="40"/>
        <v>#N/A</v>
      </c>
      <c r="S43" s="210" t="e">
        <f t="shared" si="41"/>
        <v>#N/A</v>
      </c>
      <c r="T43" s="163"/>
      <c r="U43" s="84" t="e">
        <f t="shared" si="14"/>
        <v>#N/A</v>
      </c>
      <c r="V43" s="84" t="e">
        <f t="shared" si="15"/>
        <v>#N/A</v>
      </c>
      <c r="W43" s="178"/>
      <c r="X43" s="183">
        <v>3</v>
      </c>
      <c r="Y43" s="192">
        <v>30.011899146317283</v>
      </c>
      <c r="Z43" s="192">
        <v>4.6727309106092754E-3</v>
      </c>
      <c r="AA43" s="188">
        <v>2.1286336389821199</v>
      </c>
      <c r="AB43" s="190">
        <v>2.0990669601597071E-2</v>
      </c>
      <c r="AC43" s="190">
        <v>3.6078865515880978E-2</v>
      </c>
      <c r="AD43" s="203">
        <v>2.1100020208670807</v>
      </c>
    </row>
    <row r="44" spans="1:30" ht="15">
      <c r="A44" s="209"/>
      <c r="B44" s="158">
        <f t="shared" si="0"/>
        <v>4</v>
      </c>
      <c r="C44" s="162" t="e">
        <f t="shared" si="1"/>
        <v>#N/A</v>
      </c>
      <c r="D44" s="162" t="e">
        <f t="shared" si="2"/>
        <v>#N/A</v>
      </c>
      <c r="E44" s="159" t="e">
        <f t="shared" si="3"/>
        <v>#N/A</v>
      </c>
      <c r="F44" s="162" t="e">
        <f t="shared" si="4"/>
        <v>#N/A</v>
      </c>
      <c r="G44" s="162" t="e">
        <f t="shared" si="5"/>
        <v>#N/A</v>
      </c>
      <c r="H44" s="210" t="e">
        <f t="shared" si="6"/>
        <v>#N/A</v>
      </c>
      <c r="K44" s="165" t="s">
        <v>387</v>
      </c>
      <c r="L44" s="209"/>
      <c r="M44" s="158">
        <v>4</v>
      </c>
      <c r="N44" s="162" t="e">
        <f t="shared" si="36"/>
        <v>#N/A</v>
      </c>
      <c r="O44" s="162" t="e">
        <f t="shared" si="37"/>
        <v>#N/A</v>
      </c>
      <c r="P44" s="159" t="e">
        <f t="shared" si="38"/>
        <v>#N/A</v>
      </c>
      <c r="Q44" s="162" t="e">
        <f t="shared" si="39"/>
        <v>#N/A</v>
      </c>
      <c r="R44" s="162" t="e">
        <f t="shared" si="40"/>
        <v>#N/A</v>
      </c>
      <c r="S44" s="210" t="e">
        <f t="shared" si="41"/>
        <v>#N/A</v>
      </c>
      <c r="T44" s="163"/>
      <c r="U44" s="84" t="e">
        <f t="shared" si="14"/>
        <v>#N/A</v>
      </c>
      <c r="V44" s="84" t="e">
        <f t="shared" si="15"/>
        <v>#N/A</v>
      </c>
      <c r="W44" s="178"/>
      <c r="X44" s="183">
        <v>4</v>
      </c>
      <c r="Y44" s="189">
        <v>40.012898654241923</v>
      </c>
      <c r="Z44" s="189">
        <v>6.2089767369026376E-3</v>
      </c>
      <c r="AA44" s="188">
        <v>2.1321289565259476</v>
      </c>
      <c r="AB44" s="190">
        <v>1.549426205986976E-2</v>
      </c>
      <c r="AC44" s="190">
        <v>3.5474519452757529E-2</v>
      </c>
      <c r="AD44" s="203">
        <v>2.1224974908288043</v>
      </c>
    </row>
    <row r="45" spans="1:30" ht="15">
      <c r="A45" s="209"/>
      <c r="B45" s="158">
        <f t="shared" si="0"/>
        <v>5</v>
      </c>
      <c r="C45" s="162" t="e">
        <f t="shared" si="1"/>
        <v>#N/A</v>
      </c>
      <c r="D45" s="162" t="e">
        <f t="shared" si="2"/>
        <v>#N/A</v>
      </c>
      <c r="E45" s="159" t="e">
        <f t="shared" si="3"/>
        <v>#N/A</v>
      </c>
      <c r="F45" s="162" t="e">
        <f t="shared" si="4"/>
        <v>#N/A</v>
      </c>
      <c r="G45" s="162" t="e">
        <f t="shared" si="5"/>
        <v>#N/A</v>
      </c>
      <c r="H45" s="210" t="e">
        <f t="shared" si="6"/>
        <v>#N/A</v>
      </c>
      <c r="K45" s="165" t="s">
        <v>406</v>
      </c>
      <c r="L45" s="209"/>
      <c r="M45" s="158">
        <v>5</v>
      </c>
      <c r="N45" s="162" t="e">
        <f t="shared" si="36"/>
        <v>#N/A</v>
      </c>
      <c r="O45" s="162" t="e">
        <f t="shared" si="37"/>
        <v>#N/A</v>
      </c>
      <c r="P45" s="159" t="e">
        <f t="shared" si="38"/>
        <v>#N/A</v>
      </c>
      <c r="Q45" s="162" t="e">
        <f t="shared" si="39"/>
        <v>#N/A</v>
      </c>
      <c r="R45" s="162" t="e">
        <f t="shared" si="40"/>
        <v>#N/A</v>
      </c>
      <c r="S45" s="210" t="e">
        <f t="shared" si="41"/>
        <v>#N/A</v>
      </c>
      <c r="T45" s="163"/>
      <c r="U45" s="84" t="e">
        <f t="shared" si="14"/>
        <v>#N/A</v>
      </c>
      <c r="V45" s="84" t="e">
        <f t="shared" si="15"/>
        <v>#N/A</v>
      </c>
      <c r="W45" s="178"/>
      <c r="X45" s="183">
        <v>5</v>
      </c>
      <c r="Y45" s="189">
        <v>50.023598840668896</v>
      </c>
      <c r="Z45" s="189">
        <v>7.7503979173590863E-3</v>
      </c>
      <c r="AA45" s="188">
        <v>2.1338119030085054</v>
      </c>
      <c r="AB45" s="190">
        <v>1.15939729382377E-2</v>
      </c>
      <c r="AC45" s="190">
        <v>3.5264630964172858E-2</v>
      </c>
      <c r="AD45" s="203">
        <v>2.1276217195816929</v>
      </c>
    </row>
    <row r="46" spans="1:30" ht="15">
      <c r="A46" s="209"/>
      <c r="B46" s="158">
        <f t="shared" si="0"/>
        <v>6</v>
      </c>
      <c r="C46" s="162" t="e">
        <f t="shared" si="1"/>
        <v>#N/A</v>
      </c>
      <c r="D46" s="162" t="e">
        <f t="shared" si="2"/>
        <v>#N/A</v>
      </c>
      <c r="E46" s="159" t="e">
        <f t="shared" si="3"/>
        <v>#N/A</v>
      </c>
      <c r="F46" s="162" t="e">
        <f t="shared" si="4"/>
        <v>#N/A</v>
      </c>
      <c r="G46" s="162" t="e">
        <f t="shared" si="5"/>
        <v>#N/A</v>
      </c>
      <c r="H46" s="210" t="e">
        <f t="shared" si="6"/>
        <v>#N/A</v>
      </c>
      <c r="K46" s="165" t="s">
        <v>388</v>
      </c>
      <c r="L46" s="209"/>
      <c r="M46" s="158">
        <v>6</v>
      </c>
      <c r="N46" s="162" t="e">
        <f t="shared" si="36"/>
        <v>#N/A</v>
      </c>
      <c r="O46" s="162" t="e">
        <f t="shared" si="37"/>
        <v>#N/A</v>
      </c>
      <c r="P46" s="159" t="e">
        <f t="shared" si="38"/>
        <v>#N/A</v>
      </c>
      <c r="Q46" s="162" t="e">
        <f t="shared" si="39"/>
        <v>#N/A</v>
      </c>
      <c r="R46" s="162" t="e">
        <f t="shared" si="40"/>
        <v>#N/A</v>
      </c>
      <c r="S46" s="210" t="e">
        <f t="shared" si="41"/>
        <v>#N/A</v>
      </c>
      <c r="T46" s="163"/>
      <c r="U46" s="84" t="e">
        <f t="shared" si="14"/>
        <v>#N/A</v>
      </c>
      <c r="V46" s="84" t="e">
        <f t="shared" si="15"/>
        <v>#N/A</v>
      </c>
      <c r="W46" s="178"/>
      <c r="X46" s="183">
        <v>6</v>
      </c>
      <c r="Y46" s="189">
        <v>60.034799062070206</v>
      </c>
      <c r="Z46" s="189">
        <v>9.2937056073533874E-3</v>
      </c>
      <c r="AA46" s="188">
        <v>2.134743364471122</v>
      </c>
      <c r="AB46" s="190">
        <v>5.4965489526611951E-3</v>
      </c>
      <c r="AC46" s="190">
        <v>3.5220410834392327E-2</v>
      </c>
      <c r="AD46" s="203">
        <v>2.1288151860648461</v>
      </c>
    </row>
    <row r="47" spans="1:30" ht="15">
      <c r="A47" s="209"/>
      <c r="B47" s="158">
        <f t="shared" si="0"/>
        <v>7</v>
      </c>
      <c r="C47" s="162" t="e">
        <f t="shared" si="1"/>
        <v>#N/A</v>
      </c>
      <c r="D47" s="162" t="e">
        <f t="shared" si="2"/>
        <v>#N/A</v>
      </c>
      <c r="E47" s="159" t="e">
        <f t="shared" si="3"/>
        <v>#N/A</v>
      </c>
      <c r="F47" s="162" t="e">
        <f t="shared" si="4"/>
        <v>#N/A</v>
      </c>
      <c r="G47" s="162" t="e">
        <f t="shared" si="5"/>
        <v>#N/A</v>
      </c>
      <c r="H47" s="210" t="e">
        <f t="shared" si="6"/>
        <v>#N/A</v>
      </c>
      <c r="K47" s="165" t="s">
        <v>389</v>
      </c>
      <c r="L47" s="209"/>
      <c r="M47" s="158">
        <v>7</v>
      </c>
      <c r="N47" s="162" t="e">
        <f t="shared" si="36"/>
        <v>#N/A</v>
      </c>
      <c r="O47" s="162" t="e">
        <f t="shared" si="37"/>
        <v>#N/A</v>
      </c>
      <c r="P47" s="159" t="e">
        <f t="shared" si="38"/>
        <v>#N/A</v>
      </c>
      <c r="Q47" s="162" t="e">
        <f t="shared" si="39"/>
        <v>#N/A</v>
      </c>
      <c r="R47" s="162" t="e">
        <f t="shared" si="40"/>
        <v>#N/A</v>
      </c>
      <c r="S47" s="210" t="e">
        <f t="shared" si="41"/>
        <v>#N/A</v>
      </c>
      <c r="T47" s="163"/>
      <c r="U47" s="84" t="e">
        <f t="shared" si="14"/>
        <v>#N/A</v>
      </c>
      <c r="V47" s="84" t="e">
        <f t="shared" si="15"/>
        <v>#N/A</v>
      </c>
      <c r="W47" s="178"/>
      <c r="X47" s="183">
        <v>7</v>
      </c>
      <c r="Y47" s="189">
        <v>70.02339770263103</v>
      </c>
      <c r="Z47" s="189">
        <v>1.0834549366309686E-2</v>
      </c>
      <c r="AA47" s="188">
        <v>2.1353099509051012</v>
      </c>
      <c r="AB47" s="189">
        <v>1.5851085937199787E-2</v>
      </c>
      <c r="AC47" s="189">
        <v>3.5266401899229707E-2</v>
      </c>
      <c r="AD47" s="203">
        <v>2.1277828489650479</v>
      </c>
    </row>
    <row r="48" spans="1:30" ht="15">
      <c r="A48" s="209"/>
      <c r="B48" s="158">
        <f t="shared" si="0"/>
        <v>8</v>
      </c>
      <c r="C48" s="162" t="e">
        <f t="shared" si="1"/>
        <v>#N/A</v>
      </c>
      <c r="D48" s="162" t="e">
        <f t="shared" si="2"/>
        <v>#N/A</v>
      </c>
      <c r="E48" s="159" t="e">
        <f t="shared" si="3"/>
        <v>#N/A</v>
      </c>
      <c r="F48" s="162" t="e">
        <f t="shared" si="4"/>
        <v>#N/A</v>
      </c>
      <c r="G48" s="162" t="e">
        <f t="shared" si="5"/>
        <v>#N/A</v>
      </c>
      <c r="H48" s="210" t="e">
        <f t="shared" si="6"/>
        <v>#N/A</v>
      </c>
      <c r="K48" s="165" t="s">
        <v>390</v>
      </c>
      <c r="L48" s="209"/>
      <c r="M48" s="158">
        <v>8</v>
      </c>
      <c r="N48" s="162" t="e">
        <f t="shared" si="36"/>
        <v>#N/A</v>
      </c>
      <c r="O48" s="162" t="e">
        <f t="shared" si="37"/>
        <v>#N/A</v>
      </c>
      <c r="P48" s="159" t="e">
        <f t="shared" si="38"/>
        <v>#N/A</v>
      </c>
      <c r="Q48" s="162" t="e">
        <f t="shared" si="39"/>
        <v>#N/A</v>
      </c>
      <c r="R48" s="162" t="e">
        <f t="shared" si="40"/>
        <v>#N/A</v>
      </c>
      <c r="S48" s="210" t="e">
        <f t="shared" si="41"/>
        <v>#N/A</v>
      </c>
      <c r="T48" s="163"/>
      <c r="U48" s="84" t="e">
        <f t="shared" si="14"/>
        <v>#N/A</v>
      </c>
      <c r="V48" s="84" t="e">
        <f t="shared" si="15"/>
        <v>#N/A</v>
      </c>
      <c r="W48" s="178"/>
      <c r="X48" s="183">
        <v>8</v>
      </c>
      <c r="Y48" s="189">
        <v>80.034497917037484</v>
      </c>
      <c r="Z48" s="189">
        <v>1.2379499576817006E-2</v>
      </c>
      <c r="AA48" s="188">
        <v>2.1356811070939781</v>
      </c>
      <c r="AB48" s="189">
        <v>2.5362848923174041E-2</v>
      </c>
      <c r="AC48" s="189">
        <v>3.5372798865902416E-2</v>
      </c>
      <c r="AD48" s="203">
        <v>2.1254192375250547</v>
      </c>
    </row>
    <row r="49" spans="1:30" ht="15">
      <c r="A49" s="209"/>
      <c r="B49" s="158">
        <f t="shared" si="0"/>
        <v>9</v>
      </c>
      <c r="C49" s="162" t="e">
        <f t="shared" si="1"/>
        <v>#N/A</v>
      </c>
      <c r="D49" s="162" t="e">
        <f t="shared" si="2"/>
        <v>#N/A</v>
      </c>
      <c r="E49" s="159" t="e">
        <f t="shared" si="3"/>
        <v>#N/A</v>
      </c>
      <c r="F49" s="162" t="e">
        <f t="shared" si="4"/>
        <v>#N/A</v>
      </c>
      <c r="G49" s="162" t="e">
        <f t="shared" si="5"/>
        <v>#N/A</v>
      </c>
      <c r="H49" s="210" t="e">
        <f t="shared" si="6"/>
        <v>#N/A</v>
      </c>
      <c r="K49" s="165" t="s">
        <v>391</v>
      </c>
      <c r="L49" s="209"/>
      <c r="M49" s="158">
        <v>9</v>
      </c>
      <c r="N49" s="162" t="e">
        <f t="shared" si="36"/>
        <v>#N/A</v>
      </c>
      <c r="O49" s="162" t="e">
        <f t="shared" si="37"/>
        <v>#N/A</v>
      </c>
      <c r="P49" s="159" t="e">
        <f t="shared" si="38"/>
        <v>#N/A</v>
      </c>
      <c r="Q49" s="162" t="e">
        <f t="shared" si="39"/>
        <v>#N/A</v>
      </c>
      <c r="R49" s="162" t="e">
        <f t="shared" si="40"/>
        <v>#N/A</v>
      </c>
      <c r="S49" s="210" t="e">
        <f t="shared" si="41"/>
        <v>#N/A</v>
      </c>
      <c r="T49" s="163"/>
      <c r="U49" s="84" t="e">
        <f t="shared" si="14"/>
        <v>#N/A</v>
      </c>
      <c r="V49" s="84" t="e">
        <f t="shared" si="15"/>
        <v>#N/A</v>
      </c>
      <c r="W49" s="178"/>
      <c r="X49" s="183">
        <v>9</v>
      </c>
      <c r="Y49" s="189">
        <v>90.03519740397752</v>
      </c>
      <c r="Z49" s="189">
        <v>1.3923266569799021E-2</v>
      </c>
      <c r="AA49" s="188">
        <v>2.1359364374481884</v>
      </c>
      <c r="AB49" s="189">
        <v>3.8649701535925257E-2</v>
      </c>
      <c r="AC49" s="189">
        <v>3.5525826975780765E-2</v>
      </c>
      <c r="AD49" s="203">
        <v>2.122260627769518</v>
      </c>
    </row>
    <row r="50" spans="1:30" ht="15">
      <c r="A50" s="209"/>
      <c r="B50" s="158" t="str">
        <f t="shared" si="0"/>
        <v>X</v>
      </c>
      <c r="C50" s="162" t="e">
        <f t="shared" si="1"/>
        <v>#N/A</v>
      </c>
      <c r="D50" s="162" t="e">
        <f t="shared" si="2"/>
        <v>#N/A</v>
      </c>
      <c r="E50" s="159" t="e">
        <f t="shared" si="3"/>
        <v>#N/A</v>
      </c>
      <c r="F50" s="162" t="e">
        <f t="shared" si="4"/>
        <v>#N/A</v>
      </c>
      <c r="G50" s="162" t="e">
        <f t="shared" si="5"/>
        <v>#N/A</v>
      </c>
      <c r="H50" s="210" t="e">
        <f t="shared" si="6"/>
        <v>#N/A</v>
      </c>
      <c r="K50" s="165" t="s">
        <v>392</v>
      </c>
      <c r="L50" s="209"/>
      <c r="M50" s="158" t="s">
        <v>348</v>
      </c>
      <c r="N50" s="162" t="e">
        <f t="shared" si="36"/>
        <v>#N/A</v>
      </c>
      <c r="O50" s="162" t="e">
        <f t="shared" si="37"/>
        <v>#N/A</v>
      </c>
      <c r="P50" s="159" t="e">
        <f t="shared" si="38"/>
        <v>#N/A</v>
      </c>
      <c r="Q50" s="162" t="e">
        <f t="shared" si="39"/>
        <v>#N/A</v>
      </c>
      <c r="R50" s="162" t="e">
        <f t="shared" si="40"/>
        <v>#N/A</v>
      </c>
      <c r="S50" s="210" t="e">
        <f t="shared" si="41"/>
        <v>#N/A</v>
      </c>
      <c r="T50" s="163"/>
      <c r="U50" s="84" t="e">
        <f t="shared" si="14"/>
        <v>#N/A</v>
      </c>
      <c r="V50" s="84" t="e">
        <f t="shared" si="15"/>
        <v>#N/A</v>
      </c>
      <c r="W50" s="178"/>
      <c r="X50" s="183" t="s">
        <v>348</v>
      </c>
      <c r="Y50" s="189">
        <v>100.04569757641474</v>
      </c>
      <c r="Z50" s="189">
        <v>1.5468841246457379E-2</v>
      </c>
      <c r="AA50" s="188">
        <v>2.1361198288869407</v>
      </c>
      <c r="AB50" s="189">
        <v>5.4672399042788582E-2</v>
      </c>
      <c r="AC50" s="189">
        <v>3.5719193315832086E-2</v>
      </c>
      <c r="AD50" s="203">
        <v>2.1186497287357486</v>
      </c>
    </row>
    <row r="51" spans="1:30" ht="15">
      <c r="A51" s="209"/>
      <c r="B51" s="214"/>
      <c r="C51" s="214"/>
      <c r="D51" s="214"/>
      <c r="E51" s="215"/>
      <c r="F51" s="215"/>
      <c r="G51" s="219"/>
      <c r="H51" s="216"/>
      <c r="K51" s="165"/>
      <c r="L51" s="209"/>
      <c r="M51" s="214"/>
      <c r="N51" s="214"/>
      <c r="O51" s="214"/>
      <c r="P51" s="215"/>
      <c r="Q51" s="215"/>
      <c r="R51" s="219"/>
      <c r="S51" s="216"/>
      <c r="T51" s="238"/>
      <c r="U51" s="84"/>
      <c r="V51" s="84"/>
      <c r="W51" s="178"/>
      <c r="X51" s="185"/>
      <c r="Y51" s="185"/>
      <c r="Z51" s="185"/>
      <c r="AA51" s="198"/>
      <c r="AB51" s="198"/>
      <c r="AC51" s="201"/>
      <c r="AD51" s="205"/>
    </row>
    <row r="52" spans="1:30" ht="15">
      <c r="A52" s="209" t="str">
        <f t="shared" si="7"/>
        <v>0.1µF</v>
      </c>
      <c r="B52" s="158">
        <f t="shared" si="0"/>
        <v>1</v>
      </c>
      <c r="C52" s="218" t="e">
        <f>TEXT(N52,"0.000000")&amp;" "&amp;CHAR(181)&amp;"F"</f>
        <v>#N/A</v>
      </c>
      <c r="D52" s="164" t="e">
        <f>TEXT(O52,"0.000000")&amp;" "&amp;CHAR(181)&amp;"F"</f>
        <v>#N/A</v>
      </c>
      <c r="E52" s="159" t="e">
        <f t="shared" si="3"/>
        <v>#N/A</v>
      </c>
      <c r="F52" s="162" t="e">
        <f t="shared" si="4"/>
        <v>#N/A</v>
      </c>
      <c r="G52" s="162" t="e">
        <f t="shared" si="5"/>
        <v>#N/A</v>
      </c>
      <c r="H52" s="210" t="e">
        <f t="shared" si="6"/>
        <v>#N/A</v>
      </c>
      <c r="K52" s="165" t="s">
        <v>393</v>
      </c>
      <c r="L52" s="209" t="s">
        <v>404</v>
      </c>
      <c r="M52" s="158">
        <v>1</v>
      </c>
      <c r="N52" s="164" t="e">
        <f t="shared" ref="N52:N61" si="42">VLOOKUP(K52,Rangex,5,FALSE)</f>
        <v>#N/A</v>
      </c>
      <c r="O52" s="164" t="e">
        <f t="shared" ref="O52:O61" si="43">VLOOKUP($K52,ub_uncertainty,2,FALSE)</f>
        <v>#N/A</v>
      </c>
      <c r="P52" s="159" t="e">
        <f t="shared" ref="P52:P61" si="44">VLOOKUP($K52,ub_uncertainty,3,FALSE)</f>
        <v>#N/A</v>
      </c>
      <c r="Q52" s="162" t="e">
        <f t="shared" ref="Q52:Q61" si="45">VLOOKUP(K52,Rangex,10,FALSE)</f>
        <v>#N/A</v>
      </c>
      <c r="R52" s="162" t="e">
        <f t="shared" ref="R52:R61" si="46">VLOOKUP(K52,ub_uncertainty,6,FALSE)</f>
        <v>#N/A</v>
      </c>
      <c r="S52" s="210" t="e">
        <f t="shared" ref="S52:S61" si="47">VLOOKUP(K52,ub_uncertainty,5,FALSE)</f>
        <v>#N/A</v>
      </c>
      <c r="T52" s="163"/>
      <c r="U52" s="84" t="e">
        <f t="shared" si="14"/>
        <v>#N/A</v>
      </c>
      <c r="V52" s="84" t="e">
        <f t="shared" si="15"/>
        <v>#N/A</v>
      </c>
      <c r="W52" s="178" t="s">
        <v>351</v>
      </c>
      <c r="X52" s="183">
        <v>1</v>
      </c>
      <c r="Y52" s="191">
        <v>9.9981E-2</v>
      </c>
      <c r="Z52" s="193">
        <v>1.7E-5</v>
      </c>
      <c r="AA52" s="188">
        <v>2.0881915613746327</v>
      </c>
      <c r="AB52" s="189">
        <v>3.9005547899263818E-2</v>
      </c>
      <c r="AC52" s="189">
        <v>4.964963940078021E-2</v>
      </c>
      <c r="AD52" s="203">
        <v>2.0592383811123183</v>
      </c>
    </row>
    <row r="53" spans="1:30" ht="15">
      <c r="A53" s="209" t="str">
        <f t="shared" si="7"/>
        <v>STEPS</v>
      </c>
      <c r="B53" s="158">
        <f t="shared" si="0"/>
        <v>2</v>
      </c>
      <c r="C53" s="164" t="e">
        <f t="shared" si="1"/>
        <v>#N/A</v>
      </c>
      <c r="D53" s="164" t="e">
        <f t="shared" si="2"/>
        <v>#N/A</v>
      </c>
      <c r="E53" s="159" t="e">
        <f t="shared" si="3"/>
        <v>#N/A</v>
      </c>
      <c r="F53" s="162" t="e">
        <f t="shared" si="4"/>
        <v>#N/A</v>
      </c>
      <c r="G53" s="162" t="e">
        <f t="shared" si="5"/>
        <v>#N/A</v>
      </c>
      <c r="H53" s="210" t="e">
        <f t="shared" si="6"/>
        <v>#N/A</v>
      </c>
      <c r="K53" s="165" t="s">
        <v>394</v>
      </c>
      <c r="L53" s="209" t="s">
        <v>347</v>
      </c>
      <c r="M53" s="158">
        <v>2</v>
      </c>
      <c r="N53" s="164" t="e">
        <f t="shared" si="42"/>
        <v>#N/A</v>
      </c>
      <c r="O53" s="164" t="e">
        <f t="shared" si="43"/>
        <v>#N/A</v>
      </c>
      <c r="P53" s="159" t="e">
        <f t="shared" si="44"/>
        <v>#N/A</v>
      </c>
      <c r="Q53" s="162" t="e">
        <f t="shared" si="45"/>
        <v>#N/A</v>
      </c>
      <c r="R53" s="162" t="e">
        <f t="shared" si="46"/>
        <v>#N/A</v>
      </c>
      <c r="S53" s="210" t="e">
        <f t="shared" si="47"/>
        <v>#N/A</v>
      </c>
      <c r="T53" s="163"/>
      <c r="U53" s="84" t="e">
        <f t="shared" si="14"/>
        <v>#N/A</v>
      </c>
      <c r="V53" s="84" t="e">
        <f t="shared" si="15"/>
        <v>#N/A</v>
      </c>
      <c r="W53" s="178" t="s">
        <v>347</v>
      </c>
      <c r="X53" s="183">
        <v>2</v>
      </c>
      <c r="Y53" s="193">
        <v>0.20036301415089477</v>
      </c>
      <c r="Z53" s="193">
        <v>3.1501552040748945E-5</v>
      </c>
      <c r="AA53" s="188">
        <v>2.1195708802496487</v>
      </c>
      <c r="AB53" s="189">
        <v>4.6413531470703248E-2</v>
      </c>
      <c r="AC53" s="189">
        <v>4.2708603880885654E-2</v>
      </c>
      <c r="AD53" s="203">
        <v>2.0567623591744084</v>
      </c>
    </row>
    <row r="54" spans="1:30" ht="15">
      <c r="A54" s="209"/>
      <c r="B54" s="158">
        <f t="shared" si="0"/>
        <v>3</v>
      </c>
      <c r="C54" s="217" t="e">
        <f t="shared" si="1"/>
        <v>#N/A</v>
      </c>
      <c r="D54" s="217" t="e">
        <f t="shared" si="2"/>
        <v>#N/A</v>
      </c>
      <c r="E54" s="159" t="e">
        <f t="shared" si="3"/>
        <v>#N/A</v>
      </c>
      <c r="F54" s="213" t="e">
        <f t="shared" si="4"/>
        <v>#N/A</v>
      </c>
      <c r="G54" s="213" t="e">
        <f t="shared" si="5"/>
        <v>#N/A</v>
      </c>
      <c r="H54" s="210" t="e">
        <f t="shared" si="6"/>
        <v>#N/A</v>
      </c>
      <c r="K54" s="165" t="s">
        <v>395</v>
      </c>
      <c r="L54" s="209"/>
      <c r="M54" s="158">
        <v>3</v>
      </c>
      <c r="N54" s="217" t="e">
        <f t="shared" si="42"/>
        <v>#N/A</v>
      </c>
      <c r="O54" s="217" t="e">
        <f t="shared" si="43"/>
        <v>#N/A</v>
      </c>
      <c r="P54" s="159" t="e">
        <f t="shared" si="44"/>
        <v>#N/A</v>
      </c>
      <c r="Q54" s="213" t="e">
        <f t="shared" si="45"/>
        <v>#N/A</v>
      </c>
      <c r="R54" s="213" t="e">
        <f t="shared" si="46"/>
        <v>#N/A</v>
      </c>
      <c r="S54" s="210" t="e">
        <f t="shared" si="47"/>
        <v>#N/A</v>
      </c>
      <c r="T54" s="163"/>
      <c r="U54" s="84" t="e">
        <f t="shared" si="14"/>
        <v>#N/A</v>
      </c>
      <c r="V54" s="84" t="e">
        <f t="shared" si="15"/>
        <v>#N/A</v>
      </c>
      <c r="W54" s="178"/>
      <c r="X54" s="183">
        <v>3</v>
      </c>
      <c r="Y54" s="191">
        <v>0.30034400720162896</v>
      </c>
      <c r="Z54" s="191">
        <v>4.6762881447597106E-5</v>
      </c>
      <c r="AA54" s="188">
        <v>2.1286220088372647</v>
      </c>
      <c r="AB54" s="190">
        <v>4.6610985624737193E-2</v>
      </c>
      <c r="AC54" s="190">
        <v>4.7485736700465152E-2</v>
      </c>
      <c r="AD54" s="203">
        <v>2.0928315562884361</v>
      </c>
    </row>
    <row r="55" spans="1:30" ht="15">
      <c r="A55" s="209"/>
      <c r="B55" s="158">
        <f t="shared" si="0"/>
        <v>4</v>
      </c>
      <c r="C55" s="217" t="e">
        <f t="shared" si="1"/>
        <v>#N/A</v>
      </c>
      <c r="D55" s="217" t="e">
        <f t="shared" si="2"/>
        <v>#N/A</v>
      </c>
      <c r="E55" s="159" t="e">
        <f t="shared" si="3"/>
        <v>#N/A</v>
      </c>
      <c r="F55" s="213" t="e">
        <f t="shared" si="4"/>
        <v>#N/A</v>
      </c>
      <c r="G55" s="213" t="e">
        <f t="shared" si="5"/>
        <v>#N/A</v>
      </c>
      <c r="H55" s="210" t="e">
        <f t="shared" si="6"/>
        <v>#N/A</v>
      </c>
      <c r="K55" s="165" t="s">
        <v>396</v>
      </c>
      <c r="L55" s="209"/>
      <c r="M55" s="158">
        <v>4</v>
      </c>
      <c r="N55" s="217" t="e">
        <f t="shared" si="42"/>
        <v>#N/A</v>
      </c>
      <c r="O55" s="217" t="e">
        <f t="shared" si="43"/>
        <v>#N/A</v>
      </c>
      <c r="P55" s="159" t="e">
        <f t="shared" si="44"/>
        <v>#N/A</v>
      </c>
      <c r="Q55" s="213" t="e">
        <f t="shared" si="45"/>
        <v>#N/A</v>
      </c>
      <c r="R55" s="213" t="e">
        <f t="shared" si="46"/>
        <v>#N/A</v>
      </c>
      <c r="S55" s="210" t="e">
        <f t="shared" si="47"/>
        <v>#N/A</v>
      </c>
      <c r="T55" s="163"/>
      <c r="U55" s="84" t="e">
        <f t="shared" si="14"/>
        <v>#N/A</v>
      </c>
      <c r="V55" s="84" t="e">
        <f t="shared" si="15"/>
        <v>#N/A</v>
      </c>
      <c r="W55" s="178"/>
      <c r="X55" s="183">
        <v>4</v>
      </c>
      <c r="Y55" s="191">
        <v>0.40071702767225126</v>
      </c>
      <c r="Z55" s="191">
        <v>6.2180830702092404E-5</v>
      </c>
      <c r="AA55" s="188">
        <v>2.1321321616363855</v>
      </c>
      <c r="AB55" s="190">
        <v>5.8642069275098962E-2</v>
      </c>
      <c r="AC55" s="190">
        <v>5.5824254183319814E-2</v>
      </c>
      <c r="AD55" s="203">
        <v>2.1468540544182182</v>
      </c>
    </row>
    <row r="56" spans="1:30" ht="15">
      <c r="A56" s="209"/>
      <c r="B56" s="158">
        <f t="shared" si="0"/>
        <v>5</v>
      </c>
      <c r="C56" s="217" t="e">
        <f t="shared" si="1"/>
        <v>#N/A</v>
      </c>
      <c r="D56" s="217" t="e">
        <f t="shared" si="2"/>
        <v>#N/A</v>
      </c>
      <c r="E56" s="159" t="e">
        <f t="shared" si="3"/>
        <v>#N/A</v>
      </c>
      <c r="F56" s="213" t="e">
        <f t="shared" si="4"/>
        <v>#N/A</v>
      </c>
      <c r="G56" s="213" t="e">
        <f t="shared" si="5"/>
        <v>#N/A</v>
      </c>
      <c r="H56" s="210" t="e">
        <f t="shared" si="6"/>
        <v>#N/A</v>
      </c>
      <c r="K56" s="165" t="s">
        <v>397</v>
      </c>
      <c r="L56" s="209"/>
      <c r="M56" s="158">
        <v>5</v>
      </c>
      <c r="N56" s="217" t="e">
        <f t="shared" si="42"/>
        <v>#N/A</v>
      </c>
      <c r="O56" s="217" t="e">
        <f t="shared" si="43"/>
        <v>#N/A</v>
      </c>
      <c r="P56" s="159" t="e">
        <f t="shared" si="44"/>
        <v>#N/A</v>
      </c>
      <c r="Q56" s="213" t="e">
        <f t="shared" si="45"/>
        <v>#N/A</v>
      </c>
      <c r="R56" s="213" t="e">
        <f t="shared" si="46"/>
        <v>#N/A</v>
      </c>
      <c r="S56" s="210" t="e">
        <f t="shared" si="47"/>
        <v>#N/A</v>
      </c>
      <c r="T56" s="163"/>
      <c r="U56" s="84" t="e">
        <f t="shared" si="14"/>
        <v>#N/A</v>
      </c>
      <c r="V56" s="84" t="e">
        <f t="shared" si="15"/>
        <v>#N/A</v>
      </c>
      <c r="W56" s="178"/>
      <c r="X56" s="183">
        <v>5</v>
      </c>
      <c r="Y56" s="191">
        <v>0.50055101044052752</v>
      </c>
      <c r="Z56" s="191">
        <v>7.7552900905977036E-5</v>
      </c>
      <c r="AA56" s="188">
        <v>2.1338102808419137</v>
      </c>
      <c r="AB56" s="190">
        <v>7.5912706566760538E-2</v>
      </c>
      <c r="AC56" s="190">
        <v>6.5847801049193605E-2</v>
      </c>
      <c r="AD56" s="203">
        <v>2.2018274614459363</v>
      </c>
    </row>
    <row r="57" spans="1:30" ht="15">
      <c r="A57" s="209"/>
      <c r="B57" s="158">
        <f t="shared" si="0"/>
        <v>6</v>
      </c>
      <c r="C57" s="217" t="e">
        <f t="shared" si="1"/>
        <v>#N/A</v>
      </c>
      <c r="D57" s="217" t="e">
        <f t="shared" si="2"/>
        <v>#N/A</v>
      </c>
      <c r="E57" s="159" t="e">
        <f t="shared" si="3"/>
        <v>#N/A</v>
      </c>
      <c r="F57" s="213" t="e">
        <f t="shared" si="4"/>
        <v>#N/A</v>
      </c>
      <c r="G57" s="213" t="e">
        <f t="shared" si="5"/>
        <v>#N/A</v>
      </c>
      <c r="H57" s="210" t="e">
        <f t="shared" si="6"/>
        <v>#N/A</v>
      </c>
      <c r="K57" s="165" t="s">
        <v>398</v>
      </c>
      <c r="L57" s="209"/>
      <c r="M57" s="158">
        <v>6</v>
      </c>
      <c r="N57" s="217" t="e">
        <f t="shared" si="42"/>
        <v>#N/A</v>
      </c>
      <c r="O57" s="217" t="e">
        <f t="shared" si="43"/>
        <v>#N/A</v>
      </c>
      <c r="P57" s="159" t="e">
        <f t="shared" si="44"/>
        <v>#N/A</v>
      </c>
      <c r="Q57" s="213" t="e">
        <f t="shared" si="45"/>
        <v>#N/A</v>
      </c>
      <c r="R57" s="213" t="e">
        <f t="shared" si="46"/>
        <v>#N/A</v>
      </c>
      <c r="S57" s="210" t="e">
        <f t="shared" si="47"/>
        <v>#N/A</v>
      </c>
      <c r="T57" s="163"/>
      <c r="U57" s="84" t="e">
        <f t="shared" si="14"/>
        <v>#N/A</v>
      </c>
      <c r="V57" s="84" t="e">
        <f t="shared" si="15"/>
        <v>#N/A</v>
      </c>
      <c r="W57" s="178"/>
      <c r="X57" s="183">
        <v>6</v>
      </c>
      <c r="Y57" s="191">
        <v>0.60053400363115905</v>
      </c>
      <c r="Z57" s="191">
        <v>9.2966006534334492E-5</v>
      </c>
      <c r="AA57" s="188">
        <v>2.1347414971028522</v>
      </c>
      <c r="AB57" s="190">
        <v>7.3597639909248891E-2</v>
      </c>
      <c r="AC57" s="190">
        <v>7.6817955336991706E-2</v>
      </c>
      <c r="AD57" s="203">
        <v>2.2497114802931764</v>
      </c>
    </row>
    <row r="58" spans="1:30" ht="15">
      <c r="A58" s="209"/>
      <c r="B58" s="158">
        <f t="shared" si="0"/>
        <v>7</v>
      </c>
      <c r="C58" s="217" t="e">
        <f t="shared" si="1"/>
        <v>#N/A</v>
      </c>
      <c r="D58" s="217" t="e">
        <f t="shared" si="2"/>
        <v>#N/A</v>
      </c>
      <c r="E58" s="159" t="e">
        <f t="shared" si="3"/>
        <v>#N/A</v>
      </c>
      <c r="F58" s="213" t="e">
        <f t="shared" si="4"/>
        <v>#N/A</v>
      </c>
      <c r="G58" s="213" t="e">
        <f t="shared" si="5"/>
        <v>#N/A</v>
      </c>
      <c r="H58" s="210" t="e">
        <f t="shared" si="6"/>
        <v>#N/A</v>
      </c>
      <c r="K58" s="165" t="s">
        <v>399</v>
      </c>
      <c r="L58" s="209"/>
      <c r="M58" s="158">
        <v>7</v>
      </c>
      <c r="N58" s="217" t="e">
        <f t="shared" si="42"/>
        <v>#N/A</v>
      </c>
      <c r="O58" s="217" t="e">
        <f t="shared" si="43"/>
        <v>#N/A</v>
      </c>
      <c r="P58" s="159" t="e">
        <f t="shared" si="44"/>
        <v>#N/A</v>
      </c>
      <c r="Q58" s="213" t="e">
        <f t="shared" si="45"/>
        <v>#N/A</v>
      </c>
      <c r="R58" s="213" t="e">
        <f t="shared" si="46"/>
        <v>#N/A</v>
      </c>
      <c r="S58" s="210" t="e">
        <f t="shared" si="47"/>
        <v>#N/A</v>
      </c>
      <c r="T58" s="163"/>
      <c r="U58" s="84" t="e">
        <f t="shared" si="14"/>
        <v>#N/A</v>
      </c>
      <c r="V58" s="84" t="e">
        <f t="shared" si="15"/>
        <v>#N/A</v>
      </c>
      <c r="W58" s="178"/>
      <c r="X58" s="183">
        <v>7</v>
      </c>
      <c r="Y58" s="191">
        <v>0.70091602473131964</v>
      </c>
      <c r="Z58" s="191">
        <v>1.08450924756122E-4</v>
      </c>
      <c r="AA58" s="188">
        <v>2.1353110008369667</v>
      </c>
      <c r="AB58" s="190">
        <v>8.930742462444978E-2</v>
      </c>
      <c r="AC58" s="190">
        <v>8.8359179238795771E-2</v>
      </c>
      <c r="AD58" s="203">
        <v>2.2888247330944775</v>
      </c>
    </row>
    <row r="59" spans="1:30" ht="15">
      <c r="A59" s="209"/>
      <c r="B59" s="158">
        <f t="shared" si="0"/>
        <v>8</v>
      </c>
      <c r="C59" s="217" t="e">
        <f t="shared" si="1"/>
        <v>#N/A</v>
      </c>
      <c r="D59" s="217" t="e">
        <f t="shared" si="2"/>
        <v>#N/A</v>
      </c>
      <c r="E59" s="159" t="e">
        <f t="shared" si="3"/>
        <v>#N/A</v>
      </c>
      <c r="F59" s="213" t="e">
        <f t="shared" si="4"/>
        <v>#N/A</v>
      </c>
      <c r="G59" s="213" t="e">
        <f t="shared" si="5"/>
        <v>#N/A</v>
      </c>
      <c r="H59" s="210" t="e">
        <f t="shared" si="6"/>
        <v>#N/A</v>
      </c>
      <c r="K59" s="165" t="s">
        <v>400</v>
      </c>
      <c r="L59" s="209"/>
      <c r="M59" s="158">
        <v>8</v>
      </c>
      <c r="N59" s="217" t="e">
        <f t="shared" si="42"/>
        <v>#N/A</v>
      </c>
      <c r="O59" s="217" t="e">
        <f t="shared" si="43"/>
        <v>#N/A</v>
      </c>
      <c r="P59" s="159" t="e">
        <f t="shared" si="44"/>
        <v>#N/A</v>
      </c>
      <c r="Q59" s="213" t="e">
        <f t="shared" si="45"/>
        <v>#N/A</v>
      </c>
      <c r="R59" s="213" t="e">
        <f t="shared" si="46"/>
        <v>#N/A</v>
      </c>
      <c r="S59" s="210" t="e">
        <f t="shared" si="47"/>
        <v>#N/A</v>
      </c>
      <c r="T59" s="163"/>
      <c r="U59" s="84" t="e">
        <f t="shared" si="14"/>
        <v>#N/A</v>
      </c>
      <c r="V59" s="84" t="e">
        <f t="shared" si="15"/>
        <v>#N/A</v>
      </c>
      <c r="W59" s="178"/>
      <c r="X59" s="183">
        <v>8</v>
      </c>
      <c r="Y59" s="191">
        <v>0.80089801785200243</v>
      </c>
      <c r="Z59" s="191">
        <v>1.2388050386468005E-4</v>
      </c>
      <c r="AA59" s="188">
        <v>2.1356814227206393</v>
      </c>
      <c r="AB59" s="190">
        <v>0.10712461909463043</v>
      </c>
      <c r="AC59" s="190">
        <v>0.10016038208211114</v>
      </c>
      <c r="AD59" s="203">
        <v>2.3197534795829307</v>
      </c>
    </row>
    <row r="60" spans="1:30" ht="15">
      <c r="A60" s="209"/>
      <c r="B60" s="158">
        <f t="shared" si="0"/>
        <v>9</v>
      </c>
      <c r="C60" s="217" t="e">
        <f t="shared" si="1"/>
        <v>#N/A</v>
      </c>
      <c r="D60" s="217" t="e">
        <f t="shared" si="2"/>
        <v>#N/A</v>
      </c>
      <c r="E60" s="159" t="e">
        <f t="shared" si="3"/>
        <v>#N/A</v>
      </c>
      <c r="F60" s="213" t="e">
        <f t="shared" si="4"/>
        <v>#N/A</v>
      </c>
      <c r="G60" s="213" t="e">
        <f t="shared" si="5"/>
        <v>#N/A</v>
      </c>
      <c r="H60" s="210" t="e">
        <f t="shared" si="6"/>
        <v>#N/A</v>
      </c>
      <c r="K60" s="165" t="s">
        <v>401</v>
      </c>
      <c r="L60" s="209"/>
      <c r="M60" s="158">
        <v>9</v>
      </c>
      <c r="N60" s="217" t="e">
        <f t="shared" si="42"/>
        <v>#N/A</v>
      </c>
      <c r="O60" s="217" t="e">
        <f t="shared" si="43"/>
        <v>#N/A</v>
      </c>
      <c r="P60" s="159" t="e">
        <f t="shared" si="44"/>
        <v>#N/A</v>
      </c>
      <c r="Q60" s="213" t="e">
        <f t="shared" si="45"/>
        <v>#N/A</v>
      </c>
      <c r="R60" s="213" t="e">
        <f t="shared" si="46"/>
        <v>#N/A</v>
      </c>
      <c r="S60" s="210" t="e">
        <f t="shared" si="47"/>
        <v>#N/A</v>
      </c>
      <c r="T60" s="163"/>
      <c r="U60" s="84" t="e">
        <f t="shared" si="14"/>
        <v>#N/A</v>
      </c>
      <c r="V60" s="84" t="e">
        <f t="shared" si="15"/>
        <v>#N/A</v>
      </c>
      <c r="W60" s="178"/>
      <c r="X60" s="183">
        <v>9</v>
      </c>
      <c r="Y60" s="191">
        <v>0.90127603867236827</v>
      </c>
      <c r="Z60" s="191">
        <v>1.3937544170995224E-4</v>
      </c>
      <c r="AA60" s="188">
        <v>2.135937453211747</v>
      </c>
      <c r="AB60" s="190">
        <v>0.13058637294648312</v>
      </c>
      <c r="AC60" s="190">
        <v>0.11219349638795914</v>
      </c>
      <c r="AD60" s="203">
        <v>2.3442769087962412</v>
      </c>
    </row>
    <row r="61" spans="1:30" ht="15.75" thickBot="1">
      <c r="A61" s="220"/>
      <c r="B61" s="221" t="str">
        <f t="shared" si="0"/>
        <v>X</v>
      </c>
      <c r="C61" s="222" t="e">
        <f t="shared" si="1"/>
        <v>#N/A</v>
      </c>
      <c r="D61" s="222" t="e">
        <f t="shared" si="2"/>
        <v>#N/A</v>
      </c>
      <c r="E61" s="223" t="e">
        <f t="shared" si="3"/>
        <v>#N/A</v>
      </c>
      <c r="F61" s="224" t="e">
        <f t="shared" si="4"/>
        <v>#N/A</v>
      </c>
      <c r="G61" s="224" t="e">
        <f t="shared" si="5"/>
        <v>#N/A</v>
      </c>
      <c r="H61" s="225" t="e">
        <f t="shared" si="6"/>
        <v>#N/A</v>
      </c>
      <c r="K61" s="165" t="s">
        <v>402</v>
      </c>
      <c r="L61" s="220"/>
      <c r="M61" s="221" t="s">
        <v>348</v>
      </c>
      <c r="N61" s="222" t="e">
        <f t="shared" si="42"/>
        <v>#N/A</v>
      </c>
      <c r="O61" s="222" t="e">
        <f t="shared" si="43"/>
        <v>#N/A</v>
      </c>
      <c r="P61" s="223" t="e">
        <f t="shared" si="44"/>
        <v>#N/A</v>
      </c>
      <c r="Q61" s="224" t="e">
        <f t="shared" si="45"/>
        <v>#N/A</v>
      </c>
      <c r="R61" s="224" t="e">
        <f t="shared" si="46"/>
        <v>#N/A</v>
      </c>
      <c r="S61" s="225" t="e">
        <f t="shared" si="47"/>
        <v>#N/A</v>
      </c>
      <c r="T61" s="163"/>
      <c r="U61" s="84" t="e">
        <f t="shared" si="14"/>
        <v>#N/A</v>
      </c>
      <c r="V61" s="84" t="e">
        <f t="shared" si="15"/>
        <v>#N/A</v>
      </c>
      <c r="W61" s="180"/>
      <c r="X61" s="186" t="s">
        <v>348</v>
      </c>
      <c r="Y61" s="194">
        <v>1.001262032072846</v>
      </c>
      <c r="Z61" s="194">
        <v>1.548128134566968E-4</v>
      </c>
      <c r="AA61" s="195">
        <v>2.1361203853598805</v>
      </c>
      <c r="AB61" s="199">
        <v>0.14900481301560467</v>
      </c>
      <c r="AC61" s="199">
        <v>0.1242946225562078</v>
      </c>
      <c r="AD61" s="206">
        <v>2.3636405373471909</v>
      </c>
    </row>
    <row r="62" spans="1:30" ht="16.5" thickTop="1" thickBot="1">
      <c r="A62" s="226"/>
      <c r="B62" s="227"/>
      <c r="C62" s="227"/>
      <c r="D62" s="227"/>
      <c r="E62" s="227"/>
      <c r="F62" s="227"/>
      <c r="G62" s="227"/>
      <c r="H62" s="227"/>
      <c r="K62" s="165"/>
      <c r="L62" s="226"/>
      <c r="M62" s="227"/>
      <c r="N62" s="227"/>
      <c r="O62" s="227"/>
      <c r="P62" s="227"/>
      <c r="Q62" s="227"/>
      <c r="R62" s="227"/>
      <c r="S62" s="227"/>
      <c r="T62" s="227"/>
      <c r="U62" s="84"/>
      <c r="V62" s="84"/>
      <c r="W62" s="181"/>
      <c r="X62" s="187"/>
      <c r="Y62" s="187"/>
      <c r="Z62" s="187"/>
      <c r="AA62" s="187"/>
      <c r="AB62" s="187"/>
      <c r="AC62" s="187"/>
      <c r="AD62" s="187"/>
    </row>
    <row r="63" spans="1:30" ht="15.75" thickTop="1">
      <c r="A63" s="207" t="str">
        <f t="shared" si="7"/>
        <v>Dial</v>
      </c>
      <c r="B63" s="208" t="str">
        <f t="shared" si="0"/>
        <v>Dial</v>
      </c>
      <c r="C63" s="208" t="str">
        <f t="shared" si="1"/>
        <v>Capacitance</v>
      </c>
      <c r="D63" s="208" t="str">
        <f t="shared" si="2"/>
        <v xml:space="preserve">Expanded </v>
      </c>
      <c r="E63" s="235" t="str">
        <f t="shared" si="3"/>
        <v>k</v>
      </c>
      <c r="F63" s="208" t="str">
        <f t="shared" si="4"/>
        <v>Loss angle</v>
      </c>
      <c r="G63" s="208" t="str">
        <f t="shared" si="5"/>
        <v xml:space="preserve">Expanded </v>
      </c>
      <c r="H63" s="236" t="str">
        <f t="shared" si="6"/>
        <v>k</v>
      </c>
      <c r="K63" s="165" t="s">
        <v>353</v>
      </c>
      <c r="L63" s="207" t="s">
        <v>341</v>
      </c>
      <c r="M63" s="208" t="s">
        <v>341</v>
      </c>
      <c r="N63" s="208" t="s">
        <v>34</v>
      </c>
      <c r="O63" s="208" t="s">
        <v>129</v>
      </c>
      <c r="P63" s="235" t="s">
        <v>17</v>
      </c>
      <c r="Q63" s="208" t="s">
        <v>107</v>
      </c>
      <c r="R63" s="208" t="s">
        <v>129</v>
      </c>
      <c r="S63" s="236" t="s">
        <v>17</v>
      </c>
      <c r="T63" s="239"/>
      <c r="U63" s="84"/>
      <c r="V63" s="84"/>
      <c r="W63" s="177" t="s">
        <v>341</v>
      </c>
      <c r="X63" s="182" t="s">
        <v>342</v>
      </c>
      <c r="Y63" s="182" t="s">
        <v>34</v>
      </c>
      <c r="Z63" s="182" t="s">
        <v>129</v>
      </c>
      <c r="AA63" s="196" t="s">
        <v>17</v>
      </c>
      <c r="AB63" s="182" t="s">
        <v>107</v>
      </c>
      <c r="AC63" s="182" t="s">
        <v>129</v>
      </c>
      <c r="AD63" s="202" t="s">
        <v>17</v>
      </c>
    </row>
    <row r="64" spans="1:30" ht="15">
      <c r="A64" s="209"/>
      <c r="B64" s="158" t="str">
        <f>M64</f>
        <v>Setting</v>
      </c>
      <c r="C64" s="158"/>
      <c r="D64" s="158" t="str">
        <f t="shared" si="2"/>
        <v>uncertainty</v>
      </c>
      <c r="E64" s="159"/>
      <c r="F64" s="158"/>
      <c r="G64" s="158" t="str">
        <f t="shared" si="5"/>
        <v>uncertainty</v>
      </c>
      <c r="H64" s="210"/>
      <c r="K64" s="165"/>
      <c r="L64" s="209"/>
      <c r="M64" s="158" t="s">
        <v>342</v>
      </c>
      <c r="N64" s="158"/>
      <c r="O64" s="158" t="s">
        <v>130</v>
      </c>
      <c r="P64" s="159"/>
      <c r="Q64" s="158"/>
      <c r="R64" s="158" t="s">
        <v>130</v>
      </c>
      <c r="S64" s="210"/>
      <c r="T64" s="163"/>
      <c r="U64" s="84"/>
      <c r="V64" s="84"/>
      <c r="W64" s="178"/>
      <c r="X64" s="183"/>
      <c r="Y64" s="183"/>
      <c r="Z64" s="183" t="s">
        <v>130</v>
      </c>
      <c r="AA64" s="188"/>
      <c r="AB64" s="183"/>
      <c r="AC64" s="183" t="s">
        <v>130</v>
      </c>
      <c r="AD64" s="203"/>
    </row>
    <row r="65" spans="1:30" ht="15">
      <c r="A65" s="211"/>
      <c r="B65" s="160"/>
      <c r="C65" s="160" t="s">
        <v>141</v>
      </c>
      <c r="D65" s="160" t="s">
        <v>141</v>
      </c>
      <c r="E65" s="161"/>
      <c r="F65" s="160" t="str">
        <f t="shared" si="4"/>
        <v>(milliradian)</v>
      </c>
      <c r="G65" s="160" t="str">
        <f t="shared" si="5"/>
        <v>(milliradian)</v>
      </c>
      <c r="H65" s="212"/>
      <c r="K65" s="165"/>
      <c r="L65" s="211"/>
      <c r="M65" s="160"/>
      <c r="N65" s="160" t="s">
        <v>141</v>
      </c>
      <c r="O65" s="160" t="s">
        <v>141</v>
      </c>
      <c r="P65" s="161"/>
      <c r="Q65" s="160" t="s">
        <v>133</v>
      </c>
      <c r="R65" s="160" t="s">
        <v>133</v>
      </c>
      <c r="S65" s="212"/>
      <c r="T65" s="163"/>
      <c r="U65" s="84"/>
      <c r="V65" s="84"/>
      <c r="W65" s="179"/>
      <c r="X65" s="184"/>
      <c r="Y65" s="184"/>
      <c r="Z65" s="184"/>
      <c r="AA65" s="197"/>
      <c r="AB65" s="184" t="s">
        <v>133</v>
      </c>
      <c r="AC65" s="184" t="s">
        <v>133</v>
      </c>
      <c r="AD65" s="204"/>
    </row>
    <row r="66" spans="1:30" ht="15.75" thickBot="1">
      <c r="A66" s="220" t="str">
        <f t="shared" si="7"/>
        <v>All dials</v>
      </c>
      <c r="B66" s="221">
        <f t="shared" si="0"/>
        <v>0</v>
      </c>
      <c r="C66" s="223" t="e">
        <f t="shared" si="1"/>
        <v>#N/A</v>
      </c>
      <c r="D66" s="223" t="e">
        <f t="shared" si="2"/>
        <v>#N/A</v>
      </c>
      <c r="E66" s="223" t="e">
        <f t="shared" si="3"/>
        <v>#N/A</v>
      </c>
      <c r="F66" s="224">
        <f t="shared" si="4"/>
        <v>2.9562002114135382</v>
      </c>
      <c r="G66" s="224" t="e">
        <f t="shared" si="5"/>
        <v>#N/A</v>
      </c>
      <c r="H66" s="225" t="e">
        <f t="shared" si="6"/>
        <v>#N/A</v>
      </c>
      <c r="K66" s="165" t="s">
        <v>354</v>
      </c>
      <c r="L66" s="220" t="s">
        <v>352</v>
      </c>
      <c r="M66" s="221">
        <v>0</v>
      </c>
      <c r="N66" s="223" t="e">
        <f>VLOOKUP(K66,Rangex,5,FALSE)</f>
        <v>#N/A</v>
      </c>
      <c r="O66" s="223" t="e">
        <f>VLOOKUP($K66,ub_uncertainty,2,FALSE)</f>
        <v>#N/A</v>
      </c>
      <c r="P66" s="223" t="e">
        <f t="shared" ref="P66" si="48">VLOOKUP($K66,ub_uncertainty,3,FALSE)</f>
        <v>#N/A</v>
      </c>
      <c r="Q66" s="224">
        <f>VLOOKUP(K66,Andeen,9,FALSE)</f>
        <v>2.9562002114135382</v>
      </c>
      <c r="R66" s="224" t="e">
        <f>VLOOKUP(K66,ub_uncertainty,6,FALSE)</f>
        <v>#N/A</v>
      </c>
      <c r="S66" s="225" t="e">
        <f>VLOOKUP(K66,ub_uncertainty,5,FALSE)</f>
        <v>#N/A</v>
      </c>
      <c r="T66" s="163"/>
      <c r="U66" s="84" t="e">
        <f t="shared" si="14"/>
        <v>#N/A</v>
      </c>
      <c r="V66" s="84" t="e">
        <f t="shared" si="15"/>
        <v>#N/A</v>
      </c>
      <c r="W66" s="180" t="s">
        <v>352</v>
      </c>
      <c r="X66" s="186">
        <v>0</v>
      </c>
      <c r="Y66" s="195">
        <v>49.1</v>
      </c>
      <c r="Z66" s="195">
        <v>1.5</v>
      </c>
      <c r="AA66" s="195">
        <v>2.4695681121572051</v>
      </c>
      <c r="AB66" s="200">
        <v>3.2825258952639946</v>
      </c>
      <c r="AC66" s="200">
        <v>3.5595672470394212E-2</v>
      </c>
      <c r="AD66" s="206">
        <v>2.1351602087183434</v>
      </c>
    </row>
    <row r="67" spans="1:30" ht="13.5" thickTop="1"/>
  </sheetData>
  <pageMargins left="0.7" right="0.7" top="0.75" bottom="0.75" header="0.3" footer="0.3"/>
  <pageSetup paperSize="9" scale="53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3"/>
  <sheetViews>
    <sheetView workbookViewId="0">
      <selection activeCell="O9" sqref="O9"/>
    </sheetView>
  </sheetViews>
  <sheetFormatPr defaultRowHeight="12.75"/>
  <cols>
    <col min="2" max="2" width="13.140625" customWidth="1"/>
    <col min="3" max="3" width="10.140625" bestFit="1" customWidth="1"/>
    <col min="4" max="4" width="10.42578125" customWidth="1"/>
    <col min="5" max="6" width="10" bestFit="1" customWidth="1"/>
    <col min="7" max="7" width="12" customWidth="1"/>
    <col min="8" max="8" width="11.42578125" customWidth="1"/>
    <col min="9" max="9" width="12.42578125" bestFit="1" customWidth="1"/>
    <col min="10" max="10" width="10.140625" bestFit="1" customWidth="1"/>
    <col min="18" max="18" width="13.140625" bestFit="1" customWidth="1"/>
  </cols>
  <sheetData>
    <row r="1" spans="1:21">
      <c r="B1" s="165" t="s">
        <v>449</v>
      </c>
      <c r="I1">
        <f>2*PI()*1591.5</f>
        <v>9999.6894163763118</v>
      </c>
      <c r="J1" s="165"/>
      <c r="M1" s="165" t="s">
        <v>459</v>
      </c>
    </row>
    <row r="2" spans="1:21">
      <c r="C2" s="242" t="s">
        <v>426</v>
      </c>
      <c r="D2" s="165" t="s">
        <v>0</v>
      </c>
      <c r="E2" s="165" t="s">
        <v>142</v>
      </c>
      <c r="F2" s="165" t="s">
        <v>427</v>
      </c>
      <c r="G2" s="165" t="s">
        <v>428</v>
      </c>
      <c r="H2" s="165" t="s">
        <v>429</v>
      </c>
      <c r="J2" s="165" t="s">
        <v>431</v>
      </c>
      <c r="K2" s="165" t="s">
        <v>432</v>
      </c>
      <c r="L2" s="165" t="s">
        <v>433</v>
      </c>
      <c r="M2" s="165" t="s">
        <v>453</v>
      </c>
    </row>
    <row r="3" spans="1:21">
      <c r="C3" s="242"/>
      <c r="D3" s="165" t="s">
        <v>105</v>
      </c>
      <c r="E3" s="165" t="s">
        <v>1</v>
      </c>
      <c r="F3" s="165" t="s">
        <v>430</v>
      </c>
      <c r="G3" s="165" t="s">
        <v>105</v>
      </c>
      <c r="H3" s="165" t="s">
        <v>1</v>
      </c>
      <c r="I3" s="165" t="s">
        <v>244</v>
      </c>
      <c r="J3" s="165" t="s">
        <v>244</v>
      </c>
      <c r="K3" s="165" t="s">
        <v>244</v>
      </c>
      <c r="M3" s="165" t="s">
        <v>244</v>
      </c>
    </row>
    <row r="4" spans="1:21">
      <c r="A4" s="247" t="s">
        <v>374</v>
      </c>
      <c r="C4" s="165">
        <v>10</v>
      </c>
      <c r="D4">
        <v>1034.1413</v>
      </c>
      <c r="E4" s="165">
        <v>2.1623800000000002</v>
      </c>
      <c r="F4" s="165">
        <v>19.420000000000002</v>
      </c>
      <c r="G4" s="244">
        <f>D4-D$14</f>
        <v>984.27937299999996</v>
      </c>
      <c r="H4" s="165">
        <f>E4-E$14</f>
        <v>0.76009250000000028</v>
      </c>
      <c r="I4" s="243">
        <f>(H4*0.000000001)/(I$1*G4*0.000000000001)*1000</f>
        <v>7.7225646377689944E-2</v>
      </c>
      <c r="J4" s="243">
        <f>Report!Q25</f>
        <v>7.7225646377689944E-2</v>
      </c>
      <c r="K4" s="243" t="e">
        <f>Report!R25</f>
        <v>#N/A</v>
      </c>
      <c r="L4" t="e">
        <f>(I4-J4)/K4</f>
        <v>#N/A</v>
      </c>
      <c r="M4" s="243">
        <f>I4-J4</f>
        <v>0</v>
      </c>
      <c r="N4" s="165"/>
    </row>
    <row r="5" spans="1:21">
      <c r="A5" s="247" t="s">
        <v>373</v>
      </c>
      <c r="C5">
        <v>9</v>
      </c>
      <c r="D5" s="165">
        <v>937.56811000000005</v>
      </c>
      <c r="E5">
        <v>1.85223</v>
      </c>
      <c r="F5">
        <v>19.420000000000002</v>
      </c>
      <c r="G5" s="244">
        <f t="shared" ref="G5:G14" si="0">D5-D$14</f>
        <v>887.70618300000001</v>
      </c>
      <c r="H5" s="165">
        <f t="shared" ref="H5:H14" si="1">E5-E$14</f>
        <v>0.44994250000000013</v>
      </c>
      <c r="I5" s="243">
        <f t="shared" ref="I5:I13" si="2">(H5*0.000000001)/(I$1*G5*0.000000000001)*1000</f>
        <v>5.0687545443315697E-2</v>
      </c>
      <c r="J5" s="92">
        <f>Report!Q24</f>
        <v>5.0687545443315697E-2</v>
      </c>
      <c r="K5" s="92" t="e">
        <f>Report!R24</f>
        <v>#N/A</v>
      </c>
      <c r="L5" t="e">
        <f t="shared" ref="L5:L13" si="3">(I5-J5)/K5</f>
        <v>#N/A</v>
      </c>
      <c r="M5" s="243">
        <f t="shared" ref="M5:M13" si="4">I5-J5</f>
        <v>0</v>
      </c>
    </row>
    <row r="6" spans="1:21">
      <c r="A6" s="247" t="s">
        <v>372</v>
      </c>
      <c r="C6" s="165">
        <v>8</v>
      </c>
      <c r="D6" s="165">
        <v>837.84025999999994</v>
      </c>
      <c r="E6">
        <v>2.0617100000000002</v>
      </c>
      <c r="F6">
        <v>19.420000000000002</v>
      </c>
      <c r="G6" s="244">
        <f t="shared" si="0"/>
        <v>787.97833299999991</v>
      </c>
      <c r="H6" s="165">
        <f t="shared" si="1"/>
        <v>0.65942250000000024</v>
      </c>
      <c r="I6" s="243">
        <f t="shared" si="2"/>
        <v>8.3687958615363683E-2</v>
      </c>
      <c r="J6" s="92">
        <f>Report!Q23</f>
        <v>8.3687958615363683E-2</v>
      </c>
      <c r="K6" s="92" t="e">
        <f>Report!R23</f>
        <v>#N/A</v>
      </c>
      <c r="L6" t="e">
        <f t="shared" si="3"/>
        <v>#N/A</v>
      </c>
      <c r="M6" s="243">
        <f t="shared" si="4"/>
        <v>0</v>
      </c>
    </row>
    <row r="7" spans="1:21">
      <c r="A7" s="247" t="s">
        <v>371</v>
      </c>
      <c r="C7">
        <v>7</v>
      </c>
      <c r="D7" s="165">
        <v>741.02656000000002</v>
      </c>
      <c r="E7">
        <v>1.7485900000000001</v>
      </c>
      <c r="F7">
        <v>19.43</v>
      </c>
      <c r="G7" s="244">
        <f t="shared" si="0"/>
        <v>691.16463299999998</v>
      </c>
      <c r="H7" s="165">
        <f t="shared" si="1"/>
        <v>0.34630250000000018</v>
      </c>
      <c r="I7" s="243">
        <f t="shared" si="2"/>
        <v>5.0105754748969604E-2</v>
      </c>
      <c r="J7" s="92">
        <f>Report!Q22</f>
        <v>5.0105754748969604E-2</v>
      </c>
      <c r="K7" s="92" t="e">
        <f>Report!R22</f>
        <v>#N/A</v>
      </c>
      <c r="L7" t="e">
        <f t="shared" si="3"/>
        <v>#N/A</v>
      </c>
      <c r="M7" s="243">
        <f t="shared" si="4"/>
        <v>0</v>
      </c>
    </row>
    <row r="8" spans="1:21">
      <c r="A8" s="247" t="s">
        <v>370</v>
      </c>
      <c r="C8" s="165">
        <v>6</v>
      </c>
      <c r="D8" s="165">
        <v>641.99019999999996</v>
      </c>
      <c r="E8">
        <v>1.9632719999999999</v>
      </c>
      <c r="F8">
        <v>19.43</v>
      </c>
      <c r="G8" s="244">
        <f t="shared" si="0"/>
        <v>592.12827299999992</v>
      </c>
      <c r="H8" s="165">
        <f t="shared" si="1"/>
        <v>0.5609845</v>
      </c>
      <c r="I8" s="243">
        <f t="shared" si="2"/>
        <v>9.4743309749210233E-2</v>
      </c>
      <c r="J8" s="92">
        <f>Report!Q21</f>
        <v>9.4743309749210233E-2</v>
      </c>
      <c r="K8" s="92" t="e">
        <f>Report!R21</f>
        <v>#N/A</v>
      </c>
      <c r="L8" t="e">
        <f t="shared" si="3"/>
        <v>#N/A</v>
      </c>
      <c r="M8" s="243">
        <f t="shared" si="4"/>
        <v>0</v>
      </c>
    </row>
    <row r="9" spans="1:21">
      <c r="A9" s="247" t="s">
        <v>369</v>
      </c>
      <c r="C9">
        <v>5</v>
      </c>
      <c r="D9" s="165">
        <v>539.09173999999996</v>
      </c>
      <c r="E9">
        <v>1.913675</v>
      </c>
      <c r="F9">
        <v>19.440000000000001</v>
      </c>
      <c r="G9" s="244">
        <f t="shared" si="0"/>
        <v>489.22981299999998</v>
      </c>
      <c r="H9" s="165">
        <f t="shared" si="1"/>
        <v>0.51138750000000011</v>
      </c>
      <c r="I9" s="243">
        <f t="shared" si="2"/>
        <v>0.10453234242116739</v>
      </c>
      <c r="J9" s="92">
        <f>Report!Q20</f>
        <v>0.10453234242116739</v>
      </c>
      <c r="K9" s="92" t="e">
        <f>Report!R20</f>
        <v>#N/A</v>
      </c>
      <c r="L9" t="e">
        <f t="shared" si="3"/>
        <v>#N/A</v>
      </c>
      <c r="M9" s="243">
        <f t="shared" si="4"/>
        <v>0</v>
      </c>
    </row>
    <row r="10" spans="1:21">
      <c r="A10" s="247" t="s">
        <v>368</v>
      </c>
      <c r="C10" s="165">
        <v>4</v>
      </c>
      <c r="D10" s="165">
        <v>442.29658999999998</v>
      </c>
      <c r="E10">
        <v>1.597596</v>
      </c>
      <c r="F10">
        <v>19.440000000000001</v>
      </c>
      <c r="G10" s="244">
        <f t="shared" si="0"/>
        <v>392.434663</v>
      </c>
      <c r="H10" s="165">
        <f t="shared" si="1"/>
        <v>0.19530850000000011</v>
      </c>
      <c r="I10" s="243">
        <f t="shared" si="2"/>
        <v>4.9769957795642417E-2</v>
      </c>
      <c r="J10" s="92">
        <f>Report!Q19</f>
        <v>4.9769957795642417E-2</v>
      </c>
      <c r="K10" s="92" t="e">
        <f>Report!R19</f>
        <v>#N/A</v>
      </c>
      <c r="L10" t="e">
        <f t="shared" si="3"/>
        <v>#N/A</v>
      </c>
      <c r="M10" s="243">
        <f t="shared" si="4"/>
        <v>0</v>
      </c>
    </row>
    <row r="11" spans="1:21">
      <c r="A11" s="247" t="s">
        <v>367</v>
      </c>
      <c r="C11">
        <v>3</v>
      </c>
      <c r="D11" s="165">
        <v>342.59751999999997</v>
      </c>
      <c r="E11">
        <v>1.810192</v>
      </c>
      <c r="F11">
        <v>19.420000000000002</v>
      </c>
      <c r="G11" s="244">
        <f t="shared" si="0"/>
        <v>292.73559299999999</v>
      </c>
      <c r="H11" s="165">
        <f t="shared" si="1"/>
        <v>0.40790450000000011</v>
      </c>
      <c r="I11" s="243">
        <f t="shared" si="2"/>
        <v>0.13934662507516088</v>
      </c>
      <c r="J11" s="92">
        <f>Report!Q18</f>
        <v>0.13934662507516088</v>
      </c>
      <c r="K11" s="92" t="e">
        <f>Report!R18</f>
        <v>#N/A</v>
      </c>
      <c r="L11" t="e">
        <f t="shared" si="3"/>
        <v>#N/A</v>
      </c>
      <c r="M11" s="243">
        <f t="shared" si="4"/>
        <v>0</v>
      </c>
    </row>
    <row r="12" spans="1:21">
      <c r="A12" s="247" t="s">
        <v>366</v>
      </c>
      <c r="C12" s="165">
        <v>2</v>
      </c>
      <c r="D12" s="165">
        <v>245.77631</v>
      </c>
      <c r="E12">
        <v>1.495633</v>
      </c>
      <c r="F12">
        <v>19.41</v>
      </c>
      <c r="G12" s="244">
        <f t="shared" si="0"/>
        <v>195.91438299999999</v>
      </c>
      <c r="H12" s="165">
        <f t="shared" si="1"/>
        <v>9.3345500000000081E-2</v>
      </c>
      <c r="I12" s="243">
        <f t="shared" si="2"/>
        <v>4.7647547780302842E-2</v>
      </c>
      <c r="J12" s="92">
        <f>Report!Q17</f>
        <v>4.7647547780302842E-2</v>
      </c>
      <c r="K12" s="92" t="e">
        <f>Report!R17</f>
        <v>#N/A</v>
      </c>
      <c r="L12" t="e">
        <f t="shared" si="3"/>
        <v>#N/A</v>
      </c>
      <c r="M12" s="243">
        <f t="shared" si="4"/>
        <v>0</v>
      </c>
      <c r="N12" s="92"/>
    </row>
    <row r="13" spans="1:21">
      <c r="A13" s="247" t="s">
        <v>365</v>
      </c>
      <c r="C13">
        <v>1</v>
      </c>
      <c r="D13" s="165">
        <v>146.7929</v>
      </c>
      <c r="E13">
        <v>1.7151879999999999</v>
      </c>
      <c r="F13">
        <v>19.399999999999999</v>
      </c>
      <c r="G13" s="245">
        <f t="shared" si="0"/>
        <v>96.930972999999994</v>
      </c>
      <c r="H13" s="165">
        <f t="shared" si="1"/>
        <v>0.31290050000000003</v>
      </c>
      <c r="I13" s="243">
        <f t="shared" si="2"/>
        <v>0.32281757708029457</v>
      </c>
      <c r="J13" s="92">
        <f>Report!Q16</f>
        <v>0.32281757708029457</v>
      </c>
      <c r="K13" s="92" t="e">
        <f>Report!R16</f>
        <v>#N/A</v>
      </c>
      <c r="L13" t="e">
        <f t="shared" si="3"/>
        <v>#N/A</v>
      </c>
      <c r="M13" s="243">
        <f t="shared" si="4"/>
        <v>0</v>
      </c>
    </row>
    <row r="14" spans="1:21">
      <c r="A14" s="248"/>
      <c r="C14" s="165">
        <v>0</v>
      </c>
      <c r="D14" s="165">
        <v>49.861927000000001</v>
      </c>
      <c r="E14">
        <v>1.4022874999999999</v>
      </c>
      <c r="F14">
        <v>19.41</v>
      </c>
      <c r="G14" s="165">
        <f t="shared" si="0"/>
        <v>0</v>
      </c>
      <c r="H14" s="165">
        <f t="shared" si="1"/>
        <v>0</v>
      </c>
      <c r="I14" s="243"/>
      <c r="J14" s="165"/>
      <c r="M14" s="92">
        <f>AVERAGE(M4:M13)</f>
        <v>0</v>
      </c>
      <c r="O14" s="165"/>
      <c r="R14" s="165"/>
      <c r="T14" s="165"/>
    </row>
    <row r="15" spans="1:21">
      <c r="A15" s="248"/>
      <c r="J15" s="165"/>
      <c r="K15" s="165"/>
      <c r="L15" s="165"/>
      <c r="M15" s="165"/>
      <c r="O15" s="165"/>
      <c r="P15" s="165"/>
      <c r="R15" s="165"/>
      <c r="S15" s="165"/>
    </row>
    <row r="16" spans="1:21">
      <c r="A16" s="248"/>
      <c r="D16" s="165"/>
      <c r="I16" s="81"/>
      <c r="J16" s="85"/>
      <c r="K16" s="85"/>
      <c r="M16" s="64"/>
      <c r="P16" s="64"/>
      <c r="T16" s="64"/>
      <c r="U16" s="64"/>
    </row>
    <row r="17" spans="1:25">
      <c r="A17" s="248"/>
      <c r="B17" s="165" t="s">
        <v>450</v>
      </c>
      <c r="P17" s="64"/>
      <c r="T17" s="64"/>
      <c r="U17" s="64"/>
    </row>
    <row r="18" spans="1:25">
      <c r="A18" s="248"/>
      <c r="P18" s="64"/>
      <c r="T18" s="64"/>
      <c r="U18" s="64"/>
    </row>
    <row r="19" spans="1:25">
      <c r="A19" s="248"/>
      <c r="C19" s="165" t="s">
        <v>105</v>
      </c>
      <c r="D19" s="165" t="s">
        <v>1</v>
      </c>
      <c r="E19" s="165" t="s">
        <v>244</v>
      </c>
      <c r="P19" s="64"/>
      <c r="T19" s="64"/>
      <c r="U19" s="64"/>
    </row>
    <row r="20" spans="1:25">
      <c r="A20" s="248"/>
      <c r="C20">
        <v>1000.1648</v>
      </c>
      <c r="D20">
        <v>0.49130000000000001</v>
      </c>
      <c r="E20" s="244">
        <f>(D20*0.000000001)/(I$1*C20*0.000000000001)*1000</f>
        <v>4.9123430403406054E-2</v>
      </c>
      <c r="P20" t="s">
        <v>434</v>
      </c>
    </row>
    <row r="21" spans="1:25">
      <c r="A21" s="248"/>
      <c r="O21" s="165"/>
      <c r="P21" t="s">
        <v>435</v>
      </c>
    </row>
    <row r="22" spans="1:25">
      <c r="A22" s="248"/>
      <c r="B22" s="165" t="s">
        <v>434</v>
      </c>
      <c r="O22" s="165"/>
      <c r="P22" s="246">
        <v>1</v>
      </c>
      <c r="Q22" s="2">
        <v>2</v>
      </c>
      <c r="R22" s="246">
        <v>3</v>
      </c>
      <c r="S22" s="2">
        <v>4</v>
      </c>
      <c r="T22" s="246">
        <v>5</v>
      </c>
      <c r="U22" s="246">
        <v>6</v>
      </c>
      <c r="V22" s="2">
        <v>7</v>
      </c>
      <c r="W22" s="246">
        <v>8</v>
      </c>
      <c r="X22" s="2">
        <v>9</v>
      </c>
      <c r="Y22" s="246">
        <v>10</v>
      </c>
    </row>
    <row r="23" spans="1:25">
      <c r="A23" s="248"/>
      <c r="B23" s="165" t="s">
        <v>451</v>
      </c>
      <c r="P23" s="127" t="s">
        <v>438</v>
      </c>
      <c r="Q23" s="127" t="s">
        <v>439</v>
      </c>
      <c r="R23" s="2" t="s">
        <v>436</v>
      </c>
      <c r="S23" s="2" t="s">
        <v>437</v>
      </c>
      <c r="T23" s="2" t="s">
        <v>440</v>
      </c>
      <c r="U23" s="2" t="s">
        <v>441</v>
      </c>
      <c r="V23" s="2" t="s">
        <v>442</v>
      </c>
      <c r="W23" s="2" t="s">
        <v>443</v>
      </c>
      <c r="X23" s="2" t="s">
        <v>444</v>
      </c>
      <c r="Y23" s="2" t="s">
        <v>445</v>
      </c>
    </row>
    <row r="24" spans="1:25">
      <c r="A24" s="248"/>
      <c r="B24" s="165" t="s">
        <v>452</v>
      </c>
      <c r="P24" s="165" t="s">
        <v>446</v>
      </c>
    </row>
    <row r="25" spans="1:25">
      <c r="A25" s="248"/>
      <c r="B25" s="165"/>
      <c r="P25" s="165" t="s">
        <v>447</v>
      </c>
    </row>
    <row r="26" spans="1:25">
      <c r="A26" s="248"/>
      <c r="G26" s="165" t="s">
        <v>428</v>
      </c>
      <c r="H26" s="165" t="s">
        <v>429</v>
      </c>
      <c r="J26" s="165" t="s">
        <v>431</v>
      </c>
      <c r="K26" s="165" t="s">
        <v>432</v>
      </c>
      <c r="L26" s="165" t="s">
        <v>433</v>
      </c>
      <c r="M26" s="165" t="s">
        <v>453</v>
      </c>
      <c r="O26" s="81"/>
      <c r="P26" s="152">
        <f>1/0.00000000025</f>
        <v>3999999999.9999995</v>
      </c>
      <c r="Q26" s="165" t="s">
        <v>448</v>
      </c>
    </row>
    <row r="27" spans="1:25">
      <c r="A27" s="248"/>
      <c r="D27" s="165" t="s">
        <v>105</v>
      </c>
      <c r="E27" s="165" t="s">
        <v>1</v>
      </c>
      <c r="F27" s="165" t="s">
        <v>427</v>
      </c>
      <c r="G27" s="165" t="s">
        <v>105</v>
      </c>
      <c r="H27" s="165" t="s">
        <v>1</v>
      </c>
      <c r="I27" s="165" t="s">
        <v>244</v>
      </c>
      <c r="J27" s="165" t="s">
        <v>244</v>
      </c>
      <c r="K27" s="165" t="s">
        <v>244</v>
      </c>
      <c r="M27" s="165" t="s">
        <v>244</v>
      </c>
    </row>
    <row r="28" spans="1:25">
      <c r="A28" s="248"/>
      <c r="B28" s="165" t="s">
        <v>455</v>
      </c>
      <c r="C28">
        <v>0</v>
      </c>
      <c r="D28">
        <v>49.930540000000001</v>
      </c>
      <c r="E28">
        <v>1.42866</v>
      </c>
      <c r="F28">
        <v>19.399999999999999</v>
      </c>
      <c r="G28" s="244"/>
      <c r="H28" s="165"/>
      <c r="I28" s="243"/>
    </row>
    <row r="29" spans="1:25">
      <c r="A29" s="247" t="s">
        <v>355</v>
      </c>
      <c r="C29">
        <v>10</v>
      </c>
      <c r="D29">
        <v>60.058689999999999</v>
      </c>
      <c r="E29">
        <v>1.43798</v>
      </c>
      <c r="F29">
        <v>19.399999999999999</v>
      </c>
      <c r="G29" s="244">
        <f t="shared" ref="G29:G38" si="5">D29-D$28</f>
        <v>10.128149999999998</v>
      </c>
      <c r="H29" s="165">
        <f t="shared" ref="H29:H38" si="6">E29-E$28</f>
        <v>9.319999999999995E-3</v>
      </c>
      <c r="I29" s="243">
        <f t="shared" ref="I29:I38" si="7">(H29*0.000000001)/(I$1*G29*0.000000000001)*1000</f>
        <v>9.2023612139707944E-2</v>
      </c>
      <c r="J29" s="81">
        <f>Report!Q5</f>
        <v>9.2023612139707944E-2</v>
      </c>
      <c r="K29" s="81" t="e">
        <f>Report!R5</f>
        <v>#N/A</v>
      </c>
      <c r="L29" t="e">
        <f t="shared" ref="L29" si="8">(I29-J29)/K29</f>
        <v>#N/A</v>
      </c>
      <c r="M29" s="243">
        <f t="shared" ref="M29" si="9">I29-J29</f>
        <v>0</v>
      </c>
    </row>
    <row r="30" spans="1:25">
      <c r="A30" s="247" t="s">
        <v>356</v>
      </c>
      <c r="C30">
        <v>20</v>
      </c>
      <c r="D30">
        <v>70.955949000000004</v>
      </c>
      <c r="E30">
        <v>1.4565399999999999</v>
      </c>
      <c r="F30">
        <v>19.39</v>
      </c>
      <c r="G30" s="244">
        <f t="shared" si="5"/>
        <v>21.025409000000003</v>
      </c>
      <c r="H30" s="165">
        <f t="shared" si="6"/>
        <v>2.7879999999999905E-2</v>
      </c>
      <c r="I30" s="243">
        <f t="shared" si="7"/>
        <v>0.13260558181787208</v>
      </c>
      <c r="J30" s="81">
        <f>Report!Q6</f>
        <v>0.13260558181787208</v>
      </c>
      <c r="K30" s="81" t="e">
        <f>Report!R6</f>
        <v>#N/A</v>
      </c>
      <c r="L30" t="e">
        <f t="shared" ref="L30:L38" si="10">(I30-J30)/K30</f>
        <v>#N/A</v>
      </c>
      <c r="M30" s="243">
        <f t="shared" ref="M30:M38" si="11">I30-J30</f>
        <v>0</v>
      </c>
    </row>
    <row r="31" spans="1:25">
      <c r="A31" s="247" t="s">
        <v>357</v>
      </c>
      <c r="C31">
        <v>30</v>
      </c>
      <c r="D31">
        <v>81.492323999999996</v>
      </c>
      <c r="E31">
        <v>1.4451400000000001</v>
      </c>
      <c r="F31">
        <v>19.39</v>
      </c>
      <c r="G31" s="244">
        <f t="shared" si="5"/>
        <v>31.561783999999996</v>
      </c>
      <c r="H31" s="165">
        <f t="shared" si="6"/>
        <v>1.648000000000005E-2</v>
      </c>
      <c r="I31" s="243">
        <f t="shared" si="7"/>
        <v>5.2216667656395321E-2</v>
      </c>
      <c r="J31" s="81">
        <f>Report!Q7</f>
        <v>5.2216667656395321E-2</v>
      </c>
      <c r="K31" s="81" t="e">
        <f>Report!R7</f>
        <v>#N/A</v>
      </c>
      <c r="L31" t="e">
        <f t="shared" si="10"/>
        <v>#N/A</v>
      </c>
      <c r="M31" s="243">
        <f t="shared" si="11"/>
        <v>0</v>
      </c>
    </row>
    <row r="32" spans="1:25">
      <c r="A32" s="247" t="s">
        <v>358</v>
      </c>
      <c r="C32">
        <v>40</v>
      </c>
      <c r="D32">
        <v>91.672465000000003</v>
      </c>
      <c r="E32">
        <v>1.4492</v>
      </c>
      <c r="F32">
        <v>19.39</v>
      </c>
      <c r="G32" s="244">
        <f t="shared" si="5"/>
        <v>41.741925000000002</v>
      </c>
      <c r="H32" s="165">
        <f t="shared" si="6"/>
        <v>2.0540000000000003E-2</v>
      </c>
      <c r="I32" s="243">
        <f t="shared" si="7"/>
        <v>4.9208650436167019E-2</v>
      </c>
      <c r="J32" s="81">
        <f>Report!Q8</f>
        <v>4.9208650436167019E-2</v>
      </c>
      <c r="K32" s="81" t="e">
        <f>Report!R8</f>
        <v>#N/A</v>
      </c>
      <c r="L32" t="e">
        <f t="shared" si="10"/>
        <v>#N/A</v>
      </c>
      <c r="M32" s="243">
        <f t="shared" si="11"/>
        <v>0</v>
      </c>
    </row>
    <row r="33" spans="1:13">
      <c r="A33" s="247" t="s">
        <v>359</v>
      </c>
      <c r="C33">
        <v>50</v>
      </c>
      <c r="D33">
        <v>101.31236</v>
      </c>
      <c r="E33">
        <v>1.44834</v>
      </c>
      <c r="F33">
        <v>19.38</v>
      </c>
      <c r="G33" s="244">
        <f t="shared" si="5"/>
        <v>51.381819999999998</v>
      </c>
      <c r="H33" s="165">
        <f t="shared" si="6"/>
        <v>1.967999999999992E-2</v>
      </c>
      <c r="I33" s="243">
        <f t="shared" si="7"/>
        <v>3.8302674462593361E-2</v>
      </c>
      <c r="J33" s="81">
        <f>Report!Q9</f>
        <v>3.8302674462593361E-2</v>
      </c>
      <c r="K33" s="81" t="e">
        <f>Report!R9</f>
        <v>#N/A</v>
      </c>
      <c r="L33" t="e">
        <f t="shared" si="10"/>
        <v>#N/A</v>
      </c>
      <c r="M33" s="243">
        <f t="shared" si="11"/>
        <v>0</v>
      </c>
    </row>
    <row r="34" spans="1:13">
      <c r="A34" s="247" t="s">
        <v>360</v>
      </c>
      <c r="C34">
        <v>60</v>
      </c>
      <c r="D34">
        <v>111.09294</v>
      </c>
      <c r="E34">
        <v>1.4488099999999999</v>
      </c>
      <c r="F34">
        <v>19.399999999999999</v>
      </c>
      <c r="G34" s="244">
        <f t="shared" si="5"/>
        <v>61.162399999999998</v>
      </c>
      <c r="H34" s="165">
        <f t="shared" si="6"/>
        <v>2.014999999999989E-2</v>
      </c>
      <c r="I34" s="243">
        <f t="shared" si="7"/>
        <v>3.2946100619726103E-2</v>
      </c>
      <c r="J34" s="81">
        <f>Report!Q10</f>
        <v>3.2946100619726103E-2</v>
      </c>
      <c r="K34" s="81" t="e">
        <f>Report!R10</f>
        <v>#N/A</v>
      </c>
      <c r="L34" t="e">
        <f t="shared" si="10"/>
        <v>#N/A</v>
      </c>
      <c r="M34" s="243">
        <f t="shared" si="11"/>
        <v>0</v>
      </c>
    </row>
    <row r="35" spans="1:13">
      <c r="A35" s="247" t="s">
        <v>361</v>
      </c>
      <c r="C35">
        <v>70</v>
      </c>
      <c r="D35">
        <v>120.57935999999999</v>
      </c>
      <c r="E35">
        <v>1.46289</v>
      </c>
      <c r="F35">
        <v>19.399999999999999</v>
      </c>
      <c r="G35" s="244">
        <f t="shared" si="5"/>
        <v>70.648820000000001</v>
      </c>
      <c r="H35" s="165">
        <f t="shared" si="6"/>
        <v>3.4229999999999983E-2</v>
      </c>
      <c r="I35" s="243">
        <f t="shared" si="7"/>
        <v>4.8452420239664153E-2</v>
      </c>
      <c r="J35" s="81">
        <f>Report!Q11</f>
        <v>4.8452420239664153E-2</v>
      </c>
      <c r="K35" s="81" t="e">
        <f>Report!R11</f>
        <v>#N/A</v>
      </c>
      <c r="L35" t="e">
        <f t="shared" si="10"/>
        <v>#N/A</v>
      </c>
      <c r="M35" s="243">
        <f t="shared" si="11"/>
        <v>0</v>
      </c>
    </row>
    <row r="36" spans="1:13">
      <c r="A36" s="247" t="s">
        <v>362</v>
      </c>
      <c r="C36">
        <v>80</v>
      </c>
      <c r="D36">
        <v>130.28264999999999</v>
      </c>
      <c r="E36">
        <v>1.46722</v>
      </c>
      <c r="F36">
        <v>19.41</v>
      </c>
      <c r="G36" s="244">
        <f t="shared" si="5"/>
        <v>80.352109999999982</v>
      </c>
      <c r="H36" s="165">
        <f t="shared" si="6"/>
        <v>3.8559999999999928E-2</v>
      </c>
      <c r="I36" s="243">
        <f t="shared" si="7"/>
        <v>4.7990273867916919E-2</v>
      </c>
      <c r="J36" s="81">
        <f>Report!Q12</f>
        <v>4.7990273867916919E-2</v>
      </c>
      <c r="K36" s="81" t="e">
        <f>Report!R12</f>
        <v>#N/A</v>
      </c>
      <c r="L36" t="e">
        <f t="shared" si="10"/>
        <v>#N/A</v>
      </c>
      <c r="M36" s="243">
        <f t="shared" si="11"/>
        <v>0</v>
      </c>
    </row>
    <row r="37" spans="1:13">
      <c r="A37" s="247" t="s">
        <v>363</v>
      </c>
      <c r="C37">
        <v>90</v>
      </c>
      <c r="D37">
        <v>140.26821000000001</v>
      </c>
      <c r="E37">
        <v>1.4661999999999999</v>
      </c>
      <c r="F37">
        <v>19.41</v>
      </c>
      <c r="G37" s="244">
        <f t="shared" si="5"/>
        <v>90.337670000000003</v>
      </c>
      <c r="H37" s="165">
        <f t="shared" si="6"/>
        <v>3.7539999999999907E-2</v>
      </c>
      <c r="I37" s="243">
        <f t="shared" si="7"/>
        <v>4.1556491292210951E-2</v>
      </c>
      <c r="J37" s="81">
        <f>Report!Q13</f>
        <v>4.1556491292210951E-2</v>
      </c>
      <c r="K37" s="81" t="e">
        <f>Report!R13</f>
        <v>#N/A</v>
      </c>
      <c r="L37" t="e">
        <f t="shared" si="10"/>
        <v>#N/A</v>
      </c>
      <c r="M37" s="243">
        <f t="shared" si="11"/>
        <v>0</v>
      </c>
    </row>
    <row r="38" spans="1:13">
      <c r="A38" s="247" t="s">
        <v>364</v>
      </c>
      <c r="C38">
        <v>100</v>
      </c>
      <c r="D38">
        <v>150.26972000000001</v>
      </c>
      <c r="E38">
        <v>1.4538</v>
      </c>
      <c r="F38">
        <v>19.41</v>
      </c>
      <c r="G38" s="244">
        <f t="shared" si="5"/>
        <v>100.33918</v>
      </c>
      <c r="H38" s="165">
        <f t="shared" si="6"/>
        <v>2.513999999999994E-2</v>
      </c>
      <c r="I38" s="243">
        <f t="shared" si="7"/>
        <v>2.5055796580639025E-2</v>
      </c>
      <c r="J38" s="81">
        <f>Report!Q14</f>
        <v>2.5055796580639025E-2</v>
      </c>
      <c r="K38" s="81" t="e">
        <f>Report!R14</f>
        <v>#N/A</v>
      </c>
      <c r="L38" t="e">
        <f t="shared" si="10"/>
        <v>#N/A</v>
      </c>
      <c r="M38" s="243">
        <f t="shared" si="11"/>
        <v>0</v>
      </c>
    </row>
    <row r="39" spans="1:13">
      <c r="A39" s="248"/>
    </row>
    <row r="40" spans="1:13">
      <c r="A40" s="248"/>
      <c r="B40" s="165" t="s">
        <v>456</v>
      </c>
      <c r="C40">
        <v>1</v>
      </c>
      <c r="D40">
        <v>1045.5838000000001</v>
      </c>
      <c r="E40">
        <v>1.97946</v>
      </c>
      <c r="F40">
        <v>19.43</v>
      </c>
      <c r="G40" s="244">
        <f>D40-D$42</f>
        <v>995.65090400000008</v>
      </c>
      <c r="H40" s="165">
        <f>E40-E$42</f>
        <v>0.52967999999999993</v>
      </c>
      <c r="I40" s="243">
        <f>(H40*0.000000001)/(I$1*G40*0.000000000001)*1000</f>
        <v>5.3201021500236215E-2</v>
      </c>
      <c r="J40" s="81" t="e">
        <f>Report!Q30</f>
        <v>#N/A</v>
      </c>
      <c r="K40" s="81" t="e">
        <f>Report!R30</f>
        <v>#N/A</v>
      </c>
      <c r="L40" t="e">
        <f t="shared" ref="L40:L42" si="12">(I40-J40)/K40</f>
        <v>#N/A</v>
      </c>
      <c r="M40" s="243" t="e">
        <f t="shared" ref="M40:M42" si="13">I40-J40</f>
        <v>#N/A</v>
      </c>
    </row>
    <row r="41" spans="1:13">
      <c r="A41" s="248"/>
      <c r="B41" s="165" t="s">
        <v>457</v>
      </c>
      <c r="C41">
        <v>1</v>
      </c>
      <c r="D41">
        <v>146.87622999999999</v>
      </c>
      <c r="E41">
        <v>1.7224701</v>
      </c>
      <c r="F41">
        <v>19.41</v>
      </c>
      <c r="G41" s="244">
        <f>D41-D$42</f>
        <v>96.943333999999993</v>
      </c>
      <c r="H41" s="165">
        <f>E41-E$42</f>
        <v>0.27269009999999994</v>
      </c>
      <c r="I41" s="243">
        <f>(H41*0.000000001)/(I$1*G41*0.000000000001)*1000</f>
        <v>0.28129687552420179</v>
      </c>
      <c r="J41" s="81">
        <f>Report!Q16</f>
        <v>0.32281757708029457</v>
      </c>
      <c r="K41" s="81" t="e">
        <f>Report!R16</f>
        <v>#N/A</v>
      </c>
      <c r="L41" t="e">
        <f t="shared" si="12"/>
        <v>#N/A</v>
      </c>
      <c r="M41" s="243">
        <f t="shared" si="13"/>
        <v>-4.1520701556092776E-2</v>
      </c>
    </row>
    <row r="42" spans="1:13">
      <c r="A42" s="248" t="s">
        <v>354</v>
      </c>
      <c r="C42">
        <v>0</v>
      </c>
      <c r="D42">
        <v>49.932896</v>
      </c>
      <c r="E42">
        <v>1.4497800000000001</v>
      </c>
      <c r="F42">
        <v>19.46</v>
      </c>
      <c r="G42" s="244">
        <f>D42-D$43</f>
        <v>49.042311900000001</v>
      </c>
      <c r="H42" s="165">
        <f>E42-E$43</f>
        <v>1.4497439000000001</v>
      </c>
      <c r="I42" s="243">
        <f>(H42*0.000000001)/(I$1*G42*0.000000000001)*1000</f>
        <v>2.9562002114135382</v>
      </c>
      <c r="J42" s="81">
        <f>Report!Q66</f>
        <v>2.9562002114135382</v>
      </c>
      <c r="K42" s="81" t="e">
        <f>Report!R66</f>
        <v>#N/A</v>
      </c>
      <c r="L42" t="e">
        <f t="shared" si="12"/>
        <v>#N/A</v>
      </c>
      <c r="M42" s="243">
        <f t="shared" si="13"/>
        <v>0</v>
      </c>
    </row>
    <row r="43" spans="1:13">
      <c r="A43" s="247"/>
      <c r="B43" s="165" t="s">
        <v>458</v>
      </c>
      <c r="D43">
        <v>0.89058409999999999</v>
      </c>
      <c r="E43">
        <v>3.6100000000000003E-5</v>
      </c>
      <c r="G43" s="244"/>
      <c r="H43" s="165"/>
      <c r="I43" s="243"/>
    </row>
  </sheetData>
  <pageMargins left="0.7" right="0.7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27"/>
  <sheetViews>
    <sheetView workbookViewId="0">
      <selection activeCell="B26" sqref="B26"/>
    </sheetView>
  </sheetViews>
  <sheetFormatPr defaultRowHeight="12.75"/>
  <cols>
    <col min="1" max="1" width="17.42578125" customWidth="1"/>
    <col min="2" max="2" width="12.140625" customWidth="1"/>
    <col min="4" max="4" width="12" bestFit="1" customWidth="1"/>
  </cols>
  <sheetData>
    <row r="2" spans="1:5">
      <c r="A2" s="172" t="s">
        <v>277</v>
      </c>
      <c r="B2" s="165" t="s">
        <v>261</v>
      </c>
    </row>
    <row r="4" spans="1:5">
      <c r="B4" s="165" t="s">
        <v>262</v>
      </c>
    </row>
    <row r="5" spans="1:5">
      <c r="A5">
        <v>1</v>
      </c>
      <c r="B5" s="165" t="s">
        <v>264</v>
      </c>
    </row>
    <row r="6" spans="1:5">
      <c r="B6" s="165" t="s">
        <v>263</v>
      </c>
    </row>
    <row r="7" spans="1:5">
      <c r="A7">
        <v>2</v>
      </c>
      <c r="B7" s="165" t="s">
        <v>265</v>
      </c>
    </row>
    <row r="8" spans="1:5">
      <c r="A8">
        <v>3</v>
      </c>
      <c r="B8" s="165" t="s">
        <v>266</v>
      </c>
    </row>
    <row r="9" spans="1:5">
      <c r="A9">
        <v>4</v>
      </c>
      <c r="B9" s="165" t="s">
        <v>267</v>
      </c>
      <c r="D9" s="81">
        <f>0.000000000005353/(10000*0.0000000001)*1000000</f>
        <v>5.3530000000000006</v>
      </c>
      <c r="E9" s="165" t="s">
        <v>268</v>
      </c>
    </row>
    <row r="10" spans="1:5">
      <c r="A10">
        <v>5</v>
      </c>
      <c r="B10" s="165" t="s">
        <v>269</v>
      </c>
      <c r="D10">
        <v>-0.02</v>
      </c>
      <c r="E10" s="165" t="s">
        <v>270</v>
      </c>
    </row>
    <row r="12" spans="1:5">
      <c r="B12" s="165" t="s">
        <v>271</v>
      </c>
    </row>
    <row r="13" spans="1:5">
      <c r="B13" s="165" t="s">
        <v>272</v>
      </c>
    </row>
    <row r="14" spans="1:5">
      <c r="B14" s="165" t="s">
        <v>273</v>
      </c>
    </row>
    <row r="16" spans="1:5">
      <c r="B16" s="165" t="s">
        <v>275</v>
      </c>
    </row>
    <row r="17" spans="1:3">
      <c r="B17" s="165" t="s">
        <v>276</v>
      </c>
    </row>
    <row r="19" spans="1:3">
      <c r="A19" s="172" t="s">
        <v>274</v>
      </c>
      <c r="B19" s="165" t="s">
        <v>278</v>
      </c>
    </row>
    <row r="20" spans="1:3">
      <c r="B20" s="165" t="s">
        <v>279</v>
      </c>
    </row>
    <row r="21" spans="1:3">
      <c r="C21" s="165" t="s">
        <v>284</v>
      </c>
    </row>
    <row r="22" spans="1:3">
      <c r="B22" s="165" t="s">
        <v>183</v>
      </c>
      <c r="C22" s="165" t="s">
        <v>281</v>
      </c>
    </row>
    <row r="23" spans="1:3">
      <c r="B23" s="165" t="s">
        <v>182</v>
      </c>
      <c r="C23" s="165" t="s">
        <v>282</v>
      </c>
    </row>
    <row r="24" spans="1:3">
      <c r="B24" s="165" t="s">
        <v>280</v>
      </c>
      <c r="C24" s="165" t="s">
        <v>283</v>
      </c>
    </row>
    <row r="26" spans="1:3">
      <c r="B26" s="165" t="s">
        <v>285</v>
      </c>
    </row>
    <row r="27" spans="1:3">
      <c r="B27" s="165" t="s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K75"/>
  <sheetViews>
    <sheetView workbookViewId="0">
      <selection activeCell="B71" sqref="B71"/>
    </sheetView>
  </sheetViews>
  <sheetFormatPr defaultRowHeight="12.75"/>
  <cols>
    <col min="2" max="2" width="10.140625" bestFit="1" customWidth="1"/>
    <col min="3" max="3" width="11" customWidth="1"/>
    <col min="11" max="11" width="11.7109375" customWidth="1"/>
    <col min="12" max="12" width="10.140625" bestFit="1" customWidth="1"/>
    <col min="30" max="30" width="10.28515625" customWidth="1"/>
    <col min="31" max="31" width="11.140625" customWidth="1"/>
    <col min="32" max="32" width="14.5703125" customWidth="1"/>
    <col min="33" max="33" width="12.28515625" customWidth="1"/>
    <col min="34" max="34" width="6.5703125" customWidth="1"/>
    <col min="35" max="35" width="12.85546875" customWidth="1"/>
    <col min="36" max="36" width="12.5703125" customWidth="1"/>
  </cols>
  <sheetData>
    <row r="2" spans="2:37" ht="13.5" thickBot="1">
      <c r="B2" s="165" t="s">
        <v>473</v>
      </c>
      <c r="C2" s="1">
        <v>36426</v>
      </c>
      <c r="D2" s="165" t="s">
        <v>471</v>
      </c>
      <c r="E2" s="165" t="s">
        <v>472</v>
      </c>
      <c r="K2" s="165" t="s">
        <v>463</v>
      </c>
      <c r="L2" s="1">
        <v>38240</v>
      </c>
      <c r="M2" s="165" t="s">
        <v>469</v>
      </c>
      <c r="N2" s="165" t="s">
        <v>470</v>
      </c>
      <c r="T2" s="165" t="s">
        <v>466</v>
      </c>
      <c r="U2" s="1">
        <v>40148</v>
      </c>
      <c r="V2" s="165" t="s">
        <v>467</v>
      </c>
      <c r="W2" s="165" t="s">
        <v>468</v>
      </c>
      <c r="AC2" t="s">
        <v>476</v>
      </c>
      <c r="AD2" s="1">
        <v>42124</v>
      </c>
      <c r="AE2" t="s">
        <v>292</v>
      </c>
      <c r="AF2" t="s">
        <v>477</v>
      </c>
    </row>
    <row r="3" spans="2:37" ht="15.75" thickTop="1">
      <c r="C3" s="249" t="s">
        <v>341</v>
      </c>
      <c r="D3" s="250" t="s">
        <v>342</v>
      </c>
      <c r="E3" s="250" t="s">
        <v>34</v>
      </c>
      <c r="F3" s="250" t="s">
        <v>129</v>
      </c>
      <c r="G3" s="251" t="s">
        <v>17</v>
      </c>
      <c r="H3" s="250" t="s">
        <v>107</v>
      </c>
      <c r="I3" s="250" t="s">
        <v>129</v>
      </c>
      <c r="J3" s="252" t="s">
        <v>17</v>
      </c>
      <c r="L3" s="177" t="s">
        <v>341</v>
      </c>
      <c r="M3" s="182" t="s">
        <v>342</v>
      </c>
      <c r="N3" s="182" t="s">
        <v>34</v>
      </c>
      <c r="O3" s="182" t="s">
        <v>129</v>
      </c>
      <c r="P3" s="196" t="s">
        <v>17</v>
      </c>
      <c r="Q3" s="182" t="s">
        <v>107</v>
      </c>
      <c r="R3" s="182" t="s">
        <v>129</v>
      </c>
      <c r="S3" s="202" t="s">
        <v>17</v>
      </c>
      <c r="U3" s="177" t="s">
        <v>341</v>
      </c>
      <c r="V3" s="182" t="s">
        <v>342</v>
      </c>
      <c r="W3" s="182" t="s">
        <v>34</v>
      </c>
      <c r="X3" s="182" t="s">
        <v>129</v>
      </c>
      <c r="Y3" s="196" t="s">
        <v>17</v>
      </c>
      <c r="Z3" s="182" t="s">
        <v>107</v>
      </c>
      <c r="AA3" s="182" t="s">
        <v>129</v>
      </c>
      <c r="AB3" s="202" t="s">
        <v>17</v>
      </c>
      <c r="AD3" s="207" t="s">
        <v>341</v>
      </c>
      <c r="AE3" s="208" t="s">
        <v>342</v>
      </c>
      <c r="AF3" s="208" t="s">
        <v>34</v>
      </c>
      <c r="AG3" s="208" t="s">
        <v>129</v>
      </c>
      <c r="AH3" s="235" t="s">
        <v>17</v>
      </c>
      <c r="AI3" s="208" t="s">
        <v>107</v>
      </c>
      <c r="AJ3" s="208" t="s">
        <v>129</v>
      </c>
      <c r="AK3" s="236" t="s">
        <v>17</v>
      </c>
    </row>
    <row r="4" spans="2:37" ht="15">
      <c r="C4" s="253"/>
      <c r="D4" s="254"/>
      <c r="E4" s="254" t="s">
        <v>132</v>
      </c>
      <c r="F4" s="254" t="s">
        <v>130</v>
      </c>
      <c r="G4" s="255"/>
      <c r="H4" s="254"/>
      <c r="I4" s="254" t="s">
        <v>130</v>
      </c>
      <c r="J4" s="256"/>
      <c r="L4" s="178"/>
      <c r="M4" s="183"/>
      <c r="N4" s="183" t="s">
        <v>132</v>
      </c>
      <c r="O4" s="183" t="s">
        <v>130</v>
      </c>
      <c r="P4" s="188"/>
      <c r="Q4" s="183"/>
      <c r="R4" s="183" t="s">
        <v>130</v>
      </c>
      <c r="S4" s="203"/>
      <c r="U4" s="178"/>
      <c r="V4" s="183"/>
      <c r="W4" s="183" t="s">
        <v>132</v>
      </c>
      <c r="X4" s="183" t="s">
        <v>130</v>
      </c>
      <c r="Y4" s="188"/>
      <c r="Z4" s="183"/>
      <c r="AA4" s="183" t="s">
        <v>130</v>
      </c>
      <c r="AB4" s="203"/>
      <c r="AD4" s="209"/>
      <c r="AE4" s="158"/>
      <c r="AF4" s="158" t="s">
        <v>132</v>
      </c>
      <c r="AG4" s="158" t="s">
        <v>130</v>
      </c>
      <c r="AH4" s="159"/>
      <c r="AI4" s="158"/>
      <c r="AJ4" s="158" t="s">
        <v>130</v>
      </c>
      <c r="AK4" s="210"/>
    </row>
    <row r="5" spans="2:37" ht="15">
      <c r="C5" s="257"/>
      <c r="D5" s="258"/>
      <c r="E5" s="258"/>
      <c r="F5" s="258"/>
      <c r="G5" s="259"/>
      <c r="H5" s="258" t="s">
        <v>133</v>
      </c>
      <c r="I5" s="258" t="s">
        <v>133</v>
      </c>
      <c r="J5" s="260"/>
      <c r="L5" s="179"/>
      <c r="M5" s="184"/>
      <c r="N5" s="184"/>
      <c r="O5" s="184"/>
      <c r="P5" s="197"/>
      <c r="Q5" s="184" t="s">
        <v>133</v>
      </c>
      <c r="R5" s="184" t="s">
        <v>133</v>
      </c>
      <c r="S5" s="204"/>
      <c r="U5" s="179"/>
      <c r="V5" s="184"/>
      <c r="W5" s="184"/>
      <c r="X5" s="184"/>
      <c r="Y5" s="197"/>
      <c r="Z5" s="184" t="s">
        <v>133</v>
      </c>
      <c r="AA5" s="184" t="s">
        <v>133</v>
      </c>
      <c r="AB5" s="204"/>
      <c r="AD5" s="211"/>
      <c r="AE5" s="160"/>
      <c r="AF5" s="160"/>
      <c r="AG5" s="160"/>
      <c r="AH5" s="161"/>
      <c r="AI5" s="160" t="s">
        <v>133</v>
      </c>
      <c r="AJ5" s="160" t="s">
        <v>133</v>
      </c>
      <c r="AK5" s="212"/>
    </row>
    <row r="6" spans="2:37" ht="15">
      <c r="B6" t="s">
        <v>2</v>
      </c>
      <c r="C6" s="253" t="s">
        <v>343</v>
      </c>
      <c r="D6" s="254">
        <v>10</v>
      </c>
      <c r="E6" s="255">
        <v>10.199999999999999</v>
      </c>
      <c r="F6" s="255">
        <v>1.2</v>
      </c>
      <c r="G6" s="255">
        <v>2.469610312893018</v>
      </c>
      <c r="H6" s="261">
        <v>8.8527248114708787E-2</v>
      </c>
      <c r="I6" s="261">
        <v>3.4599540478940323E-2</v>
      </c>
      <c r="J6" s="256">
        <v>2.1476896791993485</v>
      </c>
      <c r="L6" s="178" t="s">
        <v>343</v>
      </c>
      <c r="M6" s="183">
        <v>10</v>
      </c>
      <c r="N6" s="188">
        <v>10.6</v>
      </c>
      <c r="O6" s="188">
        <v>1.2</v>
      </c>
      <c r="P6" s="188">
        <v>2.4696100574368529</v>
      </c>
      <c r="Q6" s="189">
        <v>9.4467260736983846E-2</v>
      </c>
      <c r="R6" s="189">
        <v>3.4598958356785288E-2</v>
      </c>
      <c r="S6" s="203">
        <v>2.1477105772792346</v>
      </c>
      <c r="U6" s="178" t="s">
        <v>343</v>
      </c>
      <c r="V6" s="183">
        <v>10</v>
      </c>
      <c r="W6" s="188">
        <v>10.3</v>
      </c>
      <c r="X6" s="188">
        <v>1.2</v>
      </c>
      <c r="Y6" s="188">
        <v>2.4696100868213162</v>
      </c>
      <c r="Z6" s="190">
        <v>0.21829371087479849</v>
      </c>
      <c r="AA6" s="190">
        <v>0.20369517920224095</v>
      </c>
      <c r="AB6" s="203">
        <v>2.1403870158886953</v>
      </c>
      <c r="AD6" s="209" t="s">
        <v>343</v>
      </c>
      <c r="AE6" s="158">
        <v>10</v>
      </c>
      <c r="AF6" s="159">
        <v>10.325593878760797</v>
      </c>
      <c r="AG6" s="159">
        <v>1.234805057211908</v>
      </c>
      <c r="AH6" s="159">
        <v>2.4695030191085343</v>
      </c>
      <c r="AI6" s="213">
        <v>9.2023612139707944E-2</v>
      </c>
      <c r="AJ6" s="213">
        <v>0.34495167113807446</v>
      </c>
      <c r="AK6" s="210">
        <v>2.0819794831418976</v>
      </c>
    </row>
    <row r="7" spans="2:37" ht="15">
      <c r="B7" t="s">
        <v>3</v>
      </c>
      <c r="C7" s="253" t="s">
        <v>344</v>
      </c>
      <c r="D7" s="254">
        <v>20</v>
      </c>
      <c r="E7" s="255">
        <v>20.464660075237305</v>
      </c>
      <c r="F7" s="255">
        <v>1.2348063242519718</v>
      </c>
      <c r="G7" s="255">
        <v>2.4696023876676239</v>
      </c>
      <c r="H7" s="261">
        <v>0.13192651218431348</v>
      </c>
      <c r="I7" s="261">
        <v>3.455936087726575E-2</v>
      </c>
      <c r="J7" s="256">
        <v>2.1491471974019514</v>
      </c>
      <c r="L7" s="178" t="s">
        <v>344</v>
      </c>
      <c r="M7" s="183">
        <v>20</v>
      </c>
      <c r="N7" s="188">
        <v>20.997394473489596</v>
      </c>
      <c r="O7" s="188">
        <v>1.2348063153197701</v>
      </c>
      <c r="P7" s="188">
        <v>2.4696016903127509</v>
      </c>
      <c r="Q7" s="189">
        <v>0.17620107583686923</v>
      </c>
      <c r="R7" s="189">
        <v>3.4558653283961661E-2</v>
      </c>
      <c r="S7" s="203">
        <v>2.1491731812021393</v>
      </c>
      <c r="U7" s="178" t="s">
        <v>344</v>
      </c>
      <c r="V7" s="183">
        <v>20</v>
      </c>
      <c r="W7" s="188">
        <v>21.016783150833682</v>
      </c>
      <c r="X7" s="188">
        <v>1.2348063085685228</v>
      </c>
      <c r="Y7" s="188">
        <v>2.4696011632552595</v>
      </c>
      <c r="Z7" s="190">
        <v>0.29117794196833929</v>
      </c>
      <c r="AA7" s="190">
        <v>0.11728770772950052</v>
      </c>
      <c r="AB7" s="203">
        <v>2.1437641648384163</v>
      </c>
      <c r="AD7" s="209" t="s">
        <v>344</v>
      </c>
      <c r="AE7" s="158">
        <v>20</v>
      </c>
      <c r="AF7" s="159">
        <v>21.066251827619013</v>
      </c>
      <c r="AG7" s="159">
        <v>1.2348045805253904</v>
      </c>
      <c r="AH7" s="159">
        <v>2.4694653919921175</v>
      </c>
      <c r="AI7" s="213">
        <v>0.13260558181787208</v>
      </c>
      <c r="AJ7" s="213">
        <v>0.17817364412761788</v>
      </c>
      <c r="AK7" s="210">
        <v>2.070230476118041</v>
      </c>
    </row>
    <row r="8" spans="2:37" ht="15">
      <c r="B8" t="s">
        <v>4</v>
      </c>
      <c r="C8" s="253"/>
      <c r="D8" s="254">
        <v>30</v>
      </c>
      <c r="E8" s="255">
        <v>31.034110870470162</v>
      </c>
      <c r="F8" s="255">
        <v>1.2348061496016891</v>
      </c>
      <c r="G8" s="255">
        <v>2.4695887441349131</v>
      </c>
      <c r="H8" s="261">
        <v>0.12888237662969812</v>
      </c>
      <c r="I8" s="261">
        <v>3.45330615461572E-2</v>
      </c>
      <c r="J8" s="256">
        <v>2.1501197979519073</v>
      </c>
      <c r="L8" s="178"/>
      <c r="M8" s="183">
        <v>30</v>
      </c>
      <c r="N8" s="188">
        <v>31.491791506569193</v>
      </c>
      <c r="O8" s="188">
        <v>1.2348061363189979</v>
      </c>
      <c r="P8" s="188">
        <v>2.4695877059297286</v>
      </c>
      <c r="Q8" s="189">
        <v>0.16511183922055836</v>
      </c>
      <c r="R8" s="189">
        <v>3.4532742563910222E-2</v>
      </c>
      <c r="S8" s="203">
        <v>2.1501316946940205</v>
      </c>
      <c r="U8" s="178"/>
      <c r="V8" s="183">
        <v>30</v>
      </c>
      <c r="W8" s="188">
        <v>31.698184465924587</v>
      </c>
      <c r="X8" s="188">
        <v>1.2348061171292968</v>
      </c>
      <c r="Y8" s="188">
        <v>2.4695862060719711</v>
      </c>
      <c r="Z8" s="190">
        <v>0.27444679119813609</v>
      </c>
      <c r="AA8" s="190">
        <v>8.9296431685813679E-2</v>
      </c>
      <c r="AB8" s="203">
        <v>2.1459764178796372</v>
      </c>
      <c r="AD8" s="209"/>
      <c r="AE8" s="158">
        <v>30</v>
      </c>
      <c r="AF8" s="159">
        <v>31.701893565970654</v>
      </c>
      <c r="AG8" s="159">
        <v>1.2348040337479795</v>
      </c>
      <c r="AH8" s="159">
        <v>2.4694220654283998</v>
      </c>
      <c r="AI8" s="213">
        <v>5.2216667656395321E-2</v>
      </c>
      <c r="AJ8" s="213">
        <v>0.12525498684301165</v>
      </c>
      <c r="AK8" s="210">
        <v>2.0637140692388911</v>
      </c>
    </row>
    <row r="9" spans="2:37" ht="15">
      <c r="B9" t="s">
        <v>329</v>
      </c>
      <c r="C9" s="253"/>
      <c r="D9" s="254">
        <v>40</v>
      </c>
      <c r="E9" s="255">
        <v>41.548858297439899</v>
      </c>
      <c r="F9" s="255">
        <v>1.2348059054159055</v>
      </c>
      <c r="G9" s="255">
        <v>2.4695696407781367</v>
      </c>
      <c r="H9" s="261">
        <v>0.15402589161675023</v>
      </c>
      <c r="I9" s="261">
        <v>3.4515427384264101E-2</v>
      </c>
      <c r="J9" s="256">
        <v>2.1507803992398369</v>
      </c>
      <c r="L9" s="178"/>
      <c r="M9" s="183">
        <v>40</v>
      </c>
      <c r="N9" s="188">
        <v>41.495765312343195</v>
      </c>
      <c r="O9" s="188">
        <v>1.234805899699249</v>
      </c>
      <c r="P9" s="188">
        <v>2.4695691934726924</v>
      </c>
      <c r="Q9" s="189">
        <v>0.18313951196700715</v>
      </c>
      <c r="R9" s="189">
        <v>3.4515919388080983E-2</v>
      </c>
      <c r="S9" s="203">
        <v>2.1507618796470278</v>
      </c>
      <c r="U9" s="178"/>
      <c r="V9" s="183">
        <v>40</v>
      </c>
      <c r="W9" s="188">
        <v>41.812553859655992</v>
      </c>
      <c r="X9" s="188">
        <v>1.2348058649260472</v>
      </c>
      <c r="Y9" s="188">
        <v>2.4695664714567451</v>
      </c>
      <c r="Z9" s="190">
        <v>0.29797830198877456</v>
      </c>
      <c r="AA9" s="190">
        <v>7.5986823895112132E-2</v>
      </c>
      <c r="AB9" s="203">
        <v>2.1474286186744638</v>
      </c>
      <c r="AD9" s="209"/>
      <c r="AE9" s="158">
        <v>40</v>
      </c>
      <c r="AF9" s="159">
        <v>41.895467065808894</v>
      </c>
      <c r="AG9" s="159">
        <v>1.2348034407971593</v>
      </c>
      <c r="AH9" s="159">
        <v>2.4693748760708152</v>
      </c>
      <c r="AI9" s="213">
        <v>4.9208650436167019E-2</v>
      </c>
      <c r="AJ9" s="213">
        <v>0.10027982340329335</v>
      </c>
      <c r="AK9" s="210">
        <v>2.0612499105141193</v>
      </c>
    </row>
    <row r="10" spans="2:37" ht="15">
      <c r="B10" t="s">
        <v>330</v>
      </c>
      <c r="C10" s="253"/>
      <c r="D10" s="254">
        <v>50</v>
      </c>
      <c r="E10" s="255">
        <v>51.465457972948656</v>
      </c>
      <c r="F10" s="255">
        <v>1.2348053169859514</v>
      </c>
      <c r="G10" s="255">
        <v>2.4695234926087268</v>
      </c>
      <c r="H10" s="261">
        <v>2.3317095861165187E-2</v>
      </c>
      <c r="I10" s="261">
        <v>4.0484495052466769E-2</v>
      </c>
      <c r="J10" s="256">
        <v>2.0754696695179602</v>
      </c>
      <c r="L10" s="178"/>
      <c r="M10" s="183">
        <v>50</v>
      </c>
      <c r="N10" s="188">
        <v>51.150512676959998</v>
      </c>
      <c r="O10" s="188">
        <v>1.2348053167123532</v>
      </c>
      <c r="P10" s="188">
        <v>2.4695234718219696</v>
      </c>
      <c r="Q10" s="189">
        <v>1.9550460076824257E-2</v>
      </c>
      <c r="R10" s="189">
        <v>4.0557833967752956E-2</v>
      </c>
      <c r="S10" s="203">
        <v>2.0752886578376684</v>
      </c>
      <c r="U10" s="178"/>
      <c r="V10" s="183">
        <v>50</v>
      </c>
      <c r="W10" s="188">
        <v>51.556955522625849</v>
      </c>
      <c r="X10" s="188">
        <v>1.2348053753541812</v>
      </c>
      <c r="Y10" s="188">
        <v>2.4695280761768985</v>
      </c>
      <c r="Z10" s="190">
        <v>3.1034171856253935E-2</v>
      </c>
      <c r="AA10" s="190">
        <v>9.5175931670200636E-2</v>
      </c>
      <c r="AB10" s="203">
        <v>2.0671691684039026</v>
      </c>
      <c r="AD10" s="209"/>
      <c r="AE10" s="158">
        <v>50</v>
      </c>
      <c r="AF10" s="159">
        <v>51.635970628890206</v>
      </c>
      <c r="AG10" s="159">
        <v>1.2348028121084194</v>
      </c>
      <c r="AH10" s="159">
        <v>2.4693246074661128</v>
      </c>
      <c r="AI10" s="213">
        <v>3.8302674462593361E-2</v>
      </c>
      <c r="AJ10" s="213">
        <v>8.5958829536314854E-2</v>
      </c>
      <c r="AK10" s="210">
        <v>2.0614388563081398</v>
      </c>
    </row>
    <row r="11" spans="2:37" ht="15">
      <c r="B11" t="s">
        <v>331</v>
      </c>
      <c r="C11" s="253"/>
      <c r="D11" s="254">
        <v>60</v>
      </c>
      <c r="E11" s="255">
        <v>61.30088324610302</v>
      </c>
      <c r="F11" s="255">
        <v>1.2348049120574982</v>
      </c>
      <c r="G11" s="255">
        <v>2.4694916244641778</v>
      </c>
      <c r="H11" s="261">
        <v>1.4681986868072153E-2</v>
      </c>
      <c r="I11" s="261">
        <v>3.9422208799307315E-2</v>
      </c>
      <c r="J11" s="256">
        <v>2.0789902799542106</v>
      </c>
      <c r="L11" s="178"/>
      <c r="M11" s="183">
        <v>60</v>
      </c>
      <c r="N11" s="188">
        <v>60.889752713879993</v>
      </c>
      <c r="O11" s="188">
        <v>1.2348049131801193</v>
      </c>
      <c r="P11" s="188">
        <v>2.4694917143828876</v>
      </c>
      <c r="Q11" s="189">
        <v>8.2116941802922033E-3</v>
      </c>
      <c r="R11" s="189">
        <v>3.9491297106357473E-2</v>
      </c>
      <c r="S11" s="203">
        <v>2.0786434801312446</v>
      </c>
      <c r="U11" s="178"/>
      <c r="V11" s="183">
        <v>60</v>
      </c>
      <c r="W11" s="188">
        <v>61.695323284659949</v>
      </c>
      <c r="X11" s="188">
        <v>1.2348049551069349</v>
      </c>
      <c r="Y11" s="188">
        <v>2.4694950125196962</v>
      </c>
      <c r="Z11" s="190">
        <v>2.2692546473181609E-2</v>
      </c>
      <c r="AA11" s="190">
        <v>8.3241045819243534E-2</v>
      </c>
      <c r="AB11" s="203">
        <v>2.0645766098571277</v>
      </c>
      <c r="AD11" s="209"/>
      <c r="AE11" s="158">
        <v>60</v>
      </c>
      <c r="AF11" s="159">
        <v>61.118434360441071</v>
      </c>
      <c r="AG11" s="159">
        <v>1.2348021427059599</v>
      </c>
      <c r="AH11" s="159">
        <v>2.4692708135176198</v>
      </c>
      <c r="AI11" s="213">
        <v>3.2946100619726103E-2</v>
      </c>
      <c r="AJ11" s="213">
        <v>7.6622970178303565E-2</v>
      </c>
      <c r="AK11" s="210">
        <v>2.0632917137285234</v>
      </c>
    </row>
    <row r="12" spans="2:37" ht="15">
      <c r="B12" t="s">
        <v>332</v>
      </c>
      <c r="C12" s="253"/>
      <c r="D12" s="254">
        <v>70</v>
      </c>
      <c r="E12" s="255">
        <v>70.428205906547049</v>
      </c>
      <c r="F12" s="255">
        <v>1.2348044873608577</v>
      </c>
      <c r="G12" s="255">
        <v>2.469458104651109</v>
      </c>
      <c r="H12" s="261">
        <v>1.2779237398362332E-2</v>
      </c>
      <c r="I12" s="261">
        <v>3.8661559076044946E-2</v>
      </c>
      <c r="J12" s="256">
        <v>2.0828613212641853</v>
      </c>
      <c r="L12" s="178"/>
      <c r="M12" s="183">
        <v>70</v>
      </c>
      <c r="N12" s="188">
        <v>70.214940032039991</v>
      </c>
      <c r="O12" s="188">
        <v>1.2348044758907344</v>
      </c>
      <c r="P12" s="188">
        <v>2.4694572005481348</v>
      </c>
      <c r="Q12" s="189">
        <v>0</v>
      </c>
      <c r="R12" s="189">
        <v>3.8693925109861145E-2</v>
      </c>
      <c r="S12" s="203">
        <v>2.0827088099173281</v>
      </c>
      <c r="U12" s="178"/>
      <c r="V12" s="183">
        <v>70</v>
      </c>
      <c r="W12" s="188">
        <v>70.424500933573199</v>
      </c>
      <c r="X12" s="188">
        <v>1.2348045418067435</v>
      </c>
      <c r="Y12" s="188">
        <v>2.4694624022620526</v>
      </c>
      <c r="Z12" s="190">
        <v>1.4199846971436223E-2</v>
      </c>
      <c r="AA12" s="190">
        <v>7.5890683705522183E-2</v>
      </c>
      <c r="AB12" s="203">
        <v>2.0639216163060348</v>
      </c>
      <c r="AD12" s="209"/>
      <c r="AE12" s="158">
        <v>70</v>
      </c>
      <c r="AF12" s="159">
        <v>70.650905811280779</v>
      </c>
      <c r="AG12" s="159">
        <v>1.2348014137132861</v>
      </c>
      <c r="AH12" s="159">
        <v>2.4692119089699229</v>
      </c>
      <c r="AI12" s="213">
        <v>4.8452420239664153E-2</v>
      </c>
      <c r="AJ12" s="213">
        <v>6.9923354278962555E-2</v>
      </c>
      <c r="AK12" s="210">
        <v>2.0662552927213116</v>
      </c>
    </row>
    <row r="13" spans="2:37" ht="15">
      <c r="B13" t="s">
        <v>333</v>
      </c>
      <c r="C13" s="253"/>
      <c r="D13" s="254">
        <v>80</v>
      </c>
      <c r="E13" s="255">
        <v>80.482662920073679</v>
      </c>
      <c r="F13" s="255">
        <v>1.2348039651074114</v>
      </c>
      <c r="G13" s="255">
        <v>2.4694167484047278</v>
      </c>
      <c r="H13" s="261">
        <v>7.4551771372534095E-3</v>
      </c>
      <c r="I13" s="261">
        <v>3.801172670677621E-2</v>
      </c>
      <c r="J13" s="256">
        <v>2.0872593418543195</v>
      </c>
      <c r="L13" s="178"/>
      <c r="M13" s="183">
        <v>80</v>
      </c>
      <c r="N13" s="188">
        <v>80.305224765299997</v>
      </c>
      <c r="O13" s="188">
        <v>1.2348039467187297</v>
      </c>
      <c r="P13" s="188">
        <v>2.4694152938871374</v>
      </c>
      <c r="Q13" s="189">
        <v>0</v>
      </c>
      <c r="R13" s="189">
        <v>3.8026138357724663E-2</v>
      </c>
      <c r="S13" s="203">
        <v>2.0872706312281362</v>
      </c>
      <c r="U13" s="178"/>
      <c r="V13" s="183">
        <v>80</v>
      </c>
      <c r="W13" s="188">
        <v>80.28483118570837</v>
      </c>
      <c r="X13" s="188">
        <v>1.2348040179716695</v>
      </c>
      <c r="Y13" s="188">
        <v>2.46942093613128</v>
      </c>
      <c r="Z13" s="190">
        <v>6.2279332317667097E-3</v>
      </c>
      <c r="AA13" s="190">
        <v>6.9657284780941561E-2</v>
      </c>
      <c r="AB13" s="203">
        <v>2.0645210451722864</v>
      </c>
      <c r="AD13" s="209"/>
      <c r="AE13" s="158">
        <v>80</v>
      </c>
      <c r="AF13" s="159">
        <v>80.203380349836024</v>
      </c>
      <c r="AG13" s="159">
        <v>1.2348006278811119</v>
      </c>
      <c r="AH13" s="159">
        <v>2.4691480291297583</v>
      </c>
      <c r="AI13" s="213">
        <v>4.7990273867916919E-2</v>
      </c>
      <c r="AJ13" s="213">
        <v>6.4925909082736835E-2</v>
      </c>
      <c r="AK13" s="210">
        <v>2.06990880959561</v>
      </c>
    </row>
    <row r="14" spans="2:37" ht="15">
      <c r="B14" t="s">
        <v>334</v>
      </c>
      <c r="C14" s="253"/>
      <c r="D14" s="254">
        <v>90</v>
      </c>
      <c r="E14" s="255">
        <v>90.48511239707355</v>
      </c>
      <c r="F14" s="255">
        <v>1.2348033890747041</v>
      </c>
      <c r="G14" s="255">
        <v>2.4693709560966495</v>
      </c>
      <c r="H14" s="261">
        <v>2.2103544353019684E-3</v>
      </c>
      <c r="I14" s="261">
        <v>3.7627993896216697E-2</v>
      </c>
      <c r="J14" s="256">
        <v>2.0892589675511455</v>
      </c>
      <c r="L14" s="178"/>
      <c r="M14" s="183">
        <v>90</v>
      </c>
      <c r="N14" s="188">
        <v>90.053465948279992</v>
      </c>
      <c r="O14" s="188">
        <v>1.2348033803229113</v>
      </c>
      <c r="P14" s="188">
        <v>2.4693702659431365</v>
      </c>
      <c r="Q14" s="189">
        <v>0</v>
      </c>
      <c r="R14" s="189">
        <v>3.7517072183823351E-2</v>
      </c>
      <c r="S14" s="203">
        <v>2.0916951736915652</v>
      </c>
      <c r="U14" s="178"/>
      <c r="V14" s="183">
        <v>90</v>
      </c>
      <c r="W14" s="188">
        <v>90.423198947742492</v>
      </c>
      <c r="X14" s="188">
        <v>1.2348034167308324</v>
      </c>
      <c r="Y14" s="188">
        <v>2.4693731549645732</v>
      </c>
      <c r="Z14" s="190">
        <v>0</v>
      </c>
      <c r="AA14" s="190">
        <v>6.4791011201062385E-2</v>
      </c>
      <c r="AB14" s="203">
        <v>2.0662292410902494</v>
      </c>
      <c r="AD14" s="209"/>
      <c r="AE14" s="158">
        <v>90</v>
      </c>
      <c r="AF14" s="159">
        <v>90.322942425126783</v>
      </c>
      <c r="AG14" s="159">
        <v>1.2347997363011229</v>
      </c>
      <c r="AH14" s="159">
        <v>2.4690750630306866</v>
      </c>
      <c r="AI14" s="213">
        <v>4.1556491292210951E-2</v>
      </c>
      <c r="AJ14" s="213">
        <v>6.0881065081670342E-2</v>
      </c>
      <c r="AK14" s="210">
        <v>2.0741819857134889</v>
      </c>
    </row>
    <row r="15" spans="2:37" ht="15">
      <c r="B15" t="s">
        <v>335</v>
      </c>
      <c r="C15" s="253"/>
      <c r="D15" s="254" t="s">
        <v>345</v>
      </c>
      <c r="E15" s="255">
        <v>100.26352940903514</v>
      </c>
      <c r="F15" s="255">
        <v>1.2348027717104675</v>
      </c>
      <c r="G15" s="255">
        <v>2.4693216683035963</v>
      </c>
      <c r="H15" s="261">
        <v>0</v>
      </c>
      <c r="I15" s="261">
        <v>3.7080271158589369E-2</v>
      </c>
      <c r="J15" s="256">
        <v>2.0962929632162539</v>
      </c>
      <c r="L15" s="178"/>
      <c r="M15" s="183" t="s">
        <v>345</v>
      </c>
      <c r="N15" s="188">
        <v>99.80570764062</v>
      </c>
      <c r="O15" s="188">
        <v>1.2348027596728699</v>
      </c>
      <c r="P15" s="188">
        <v>2.4693207157584216</v>
      </c>
      <c r="Q15" s="189">
        <v>-1.0019627931509222E-2</v>
      </c>
      <c r="R15" s="189">
        <v>3.7114343644909842E-2</v>
      </c>
      <c r="S15" s="203">
        <v>2.0958380351306021</v>
      </c>
      <c r="U15" s="178"/>
      <c r="V15" s="183" t="s">
        <v>345</v>
      </c>
      <c r="W15" s="188">
        <v>100.26852717596226</v>
      </c>
      <c r="X15" s="188">
        <v>1.2348027725885997</v>
      </c>
      <c r="Y15" s="188">
        <v>2.4693217385776922</v>
      </c>
      <c r="Z15" s="190">
        <v>-1.0970729110199485E-2</v>
      </c>
      <c r="AA15" s="190">
        <v>6.1101744594989099E-2</v>
      </c>
      <c r="AB15" s="203">
        <v>2.0686282846512829</v>
      </c>
      <c r="AD15" s="209"/>
      <c r="AE15" s="158" t="s">
        <v>345</v>
      </c>
      <c r="AF15" s="159">
        <v>100.16246127240001</v>
      </c>
      <c r="AG15" s="159">
        <v>1.2347988124898768</v>
      </c>
      <c r="AH15" s="159">
        <v>2.4689988976491599</v>
      </c>
      <c r="AI15" s="213">
        <v>2.5055796580639025E-2</v>
      </c>
      <c r="AJ15" s="213">
        <v>5.7803466754986529E-2</v>
      </c>
      <c r="AK15" s="210">
        <v>2.0784941689553644</v>
      </c>
    </row>
    <row r="16" spans="2:37" ht="15">
      <c r="B16" s="82"/>
      <c r="C16" s="253"/>
      <c r="D16" s="262"/>
      <c r="E16" s="262"/>
      <c r="F16" s="262"/>
      <c r="G16" s="263"/>
      <c r="H16" s="262"/>
      <c r="I16" s="262"/>
      <c r="J16" s="264"/>
      <c r="L16" s="178"/>
      <c r="M16" s="185"/>
      <c r="N16" s="185"/>
      <c r="O16" s="185"/>
      <c r="P16" s="198"/>
      <c r="Q16" s="185"/>
      <c r="R16" s="185"/>
      <c r="S16" s="205"/>
      <c r="U16" s="178"/>
      <c r="V16" s="185"/>
      <c r="W16" s="185"/>
      <c r="X16" s="185"/>
      <c r="Y16" s="198"/>
      <c r="Z16" s="185"/>
      <c r="AA16" s="185"/>
      <c r="AB16" s="205"/>
      <c r="AD16" s="209"/>
      <c r="AE16" s="214"/>
      <c r="AF16" s="214"/>
      <c r="AG16" s="214"/>
      <c r="AH16" s="215"/>
      <c r="AI16" s="214"/>
      <c r="AJ16" s="214"/>
      <c r="AK16" s="216"/>
    </row>
    <row r="17" spans="2:37" ht="15">
      <c r="B17" s="165" t="s">
        <v>5</v>
      </c>
      <c r="C17" s="253" t="s">
        <v>346</v>
      </c>
      <c r="D17" s="254">
        <v>1</v>
      </c>
      <c r="E17" s="261">
        <v>97.49</v>
      </c>
      <c r="F17" s="261">
        <v>1.6E-2</v>
      </c>
      <c r="G17" s="255">
        <v>2.1075358315943968</v>
      </c>
      <c r="H17" s="261">
        <v>7.4880937935269704E-2</v>
      </c>
      <c r="I17" s="261">
        <v>3.7186656280500482E-2</v>
      </c>
      <c r="J17" s="256">
        <v>2.0950954323305075</v>
      </c>
      <c r="L17" s="178" t="s">
        <v>346</v>
      </c>
      <c r="M17" s="183">
        <v>1</v>
      </c>
      <c r="N17" s="189">
        <v>97.144999999999996</v>
      </c>
      <c r="O17" s="189">
        <v>1.6E-2</v>
      </c>
      <c r="P17" s="188">
        <v>2.1039197834560452</v>
      </c>
      <c r="Q17" s="189">
        <v>5.1470083811325708E-2</v>
      </c>
      <c r="R17" s="189">
        <v>3.721111967726709E-2</v>
      </c>
      <c r="S17" s="203">
        <v>2.0948263771403299</v>
      </c>
      <c r="U17" s="178" t="s">
        <v>346</v>
      </c>
      <c r="V17" s="183">
        <v>1</v>
      </c>
      <c r="W17" s="189">
        <v>96.977000000000004</v>
      </c>
      <c r="X17" s="189">
        <v>1.4999999999999999E-2</v>
      </c>
      <c r="Y17" s="188">
        <v>2.1078899662362414</v>
      </c>
      <c r="Z17" s="190">
        <v>3.5060430296589624E-2</v>
      </c>
      <c r="AA17" s="190">
        <v>6.2242066293902276E-2</v>
      </c>
      <c r="AB17" s="203">
        <v>2.0677604743544173</v>
      </c>
      <c r="AD17" s="209" t="s">
        <v>346</v>
      </c>
      <c r="AE17" s="158">
        <v>1</v>
      </c>
      <c r="AF17" s="162">
        <v>96.959966929142354</v>
      </c>
      <c r="AG17" s="162">
        <v>2.4080429429392564E-2</v>
      </c>
      <c r="AH17" s="159">
        <v>2.2337942649327687</v>
      </c>
      <c r="AI17" s="213">
        <v>0.32281757708029457</v>
      </c>
      <c r="AJ17" s="213">
        <v>5.8728539677740443E-2</v>
      </c>
      <c r="AK17" s="210">
        <v>2.0770722466574383</v>
      </c>
    </row>
    <row r="18" spans="2:37" ht="15">
      <c r="B18" s="165" t="s">
        <v>319</v>
      </c>
      <c r="C18" s="253" t="s">
        <v>347</v>
      </c>
      <c r="D18" s="254">
        <v>2</v>
      </c>
      <c r="E18" s="261">
        <v>195.97639937197994</v>
      </c>
      <c r="F18" s="261">
        <v>3.0255754993742355E-2</v>
      </c>
      <c r="G18" s="255">
        <v>2.1365728821379615</v>
      </c>
      <c r="H18" s="261">
        <v>2.3982979576520468E-2</v>
      </c>
      <c r="I18" s="261">
        <v>3.538288466910719E-2</v>
      </c>
      <c r="J18" s="256">
        <v>2.1247521319708529</v>
      </c>
      <c r="L18" s="178" t="s">
        <v>347</v>
      </c>
      <c r="M18" s="183">
        <v>2</v>
      </c>
      <c r="N18" s="189">
        <v>195.84693597347999</v>
      </c>
      <c r="O18" s="189">
        <v>3.0358583710593454E-2</v>
      </c>
      <c r="P18" s="188">
        <v>2.1320808027933933</v>
      </c>
      <c r="Q18" s="189">
        <v>2.0424441179624348E-2</v>
      </c>
      <c r="R18" s="189">
        <v>3.538657393856065E-2</v>
      </c>
      <c r="S18" s="203">
        <v>2.1246610292025649</v>
      </c>
      <c r="U18" s="178" t="s">
        <v>347</v>
      </c>
      <c r="V18" s="183">
        <v>2</v>
      </c>
      <c r="W18" s="189">
        <v>195.83942059654578</v>
      </c>
      <c r="X18" s="189">
        <v>3.0609080776182476E-2</v>
      </c>
      <c r="Y18" s="188">
        <v>2.1248714774906956</v>
      </c>
      <c r="Z18" s="189">
        <v>-1.0212623518292263E-3</v>
      </c>
      <c r="AA18" s="189">
        <v>4.6049262462747542E-2</v>
      </c>
      <c r="AB18" s="203">
        <v>2.0992751371596077</v>
      </c>
      <c r="AD18" s="209" t="s">
        <v>347</v>
      </c>
      <c r="AE18" s="158">
        <v>2</v>
      </c>
      <c r="AF18" s="162">
        <v>195.93924556316827</v>
      </c>
      <c r="AG18" s="162">
        <v>4.0182518091219609E-2</v>
      </c>
      <c r="AH18" s="159">
        <v>2.2424488430538321</v>
      </c>
      <c r="AI18" s="162">
        <v>4.7647547780302842E-2</v>
      </c>
      <c r="AJ18" s="162">
        <v>4.5047724160050234E-2</v>
      </c>
      <c r="AK18" s="210">
        <v>2.1123206051247916</v>
      </c>
    </row>
    <row r="19" spans="2:37" ht="15">
      <c r="B19" s="165" t="s">
        <v>320</v>
      </c>
      <c r="C19" s="253"/>
      <c r="D19" s="254">
        <v>3</v>
      </c>
      <c r="E19" s="265">
        <v>293.33550789498292</v>
      </c>
      <c r="F19" s="265">
        <v>4.4873349204521205E-2</v>
      </c>
      <c r="G19" s="255">
        <v>2.1469567858959517</v>
      </c>
      <c r="H19" s="261">
        <v>3.2045885050512847E-2</v>
      </c>
      <c r="I19" s="261">
        <v>3.4919142097813494E-2</v>
      </c>
      <c r="J19" s="256">
        <v>2.1371908731100779</v>
      </c>
      <c r="L19" s="178"/>
      <c r="M19" s="183">
        <v>3</v>
      </c>
      <c r="N19" s="190">
        <v>292.83828527934003</v>
      </c>
      <c r="O19" s="190">
        <v>4.497786793909983E-2</v>
      </c>
      <c r="P19" s="188">
        <v>2.1420624005158597</v>
      </c>
      <c r="Q19" s="189">
        <v>2.0489453181562218E-2</v>
      </c>
      <c r="R19" s="189">
        <v>3.4922881240593097E-2</v>
      </c>
      <c r="S19" s="203">
        <v>2.1370731523710167</v>
      </c>
      <c r="U19" s="178"/>
      <c r="V19" s="183">
        <v>3</v>
      </c>
      <c r="W19" s="190">
        <v>292.67648483558992</v>
      </c>
      <c r="X19" s="190">
        <v>4.5488012185065776E-2</v>
      </c>
      <c r="Y19" s="188">
        <v>2.1304495614354257</v>
      </c>
      <c r="Z19" s="189">
        <v>6.1502407559147565E-3</v>
      </c>
      <c r="AA19" s="189">
        <v>4.1629830253542603E-2</v>
      </c>
      <c r="AB19" s="203">
        <v>2.1198569873137667</v>
      </c>
      <c r="AD19" s="209"/>
      <c r="AE19" s="158">
        <v>3</v>
      </c>
      <c r="AF19" s="213">
        <v>292.77619350286005</v>
      </c>
      <c r="AG19" s="213">
        <v>5.5966023789375881E-2</v>
      </c>
      <c r="AH19" s="159">
        <v>2.244899107800411</v>
      </c>
      <c r="AI19" s="162">
        <v>0.13934662507516088</v>
      </c>
      <c r="AJ19" s="162">
        <v>4.1170160055634626E-2</v>
      </c>
      <c r="AK19" s="210">
        <v>2.1293383582675753</v>
      </c>
    </row>
    <row r="20" spans="2:37" ht="15">
      <c r="B20" s="165" t="s">
        <v>321</v>
      </c>
      <c r="C20" s="253"/>
      <c r="D20" s="254">
        <v>4</v>
      </c>
      <c r="E20" s="265">
        <v>392.64089845800606</v>
      </c>
      <c r="F20" s="265">
        <v>5.9837009422528981E-2</v>
      </c>
      <c r="G20" s="255">
        <v>2.1517152263970107</v>
      </c>
      <c r="H20" s="261">
        <v>1.6045530061910701E-2</v>
      </c>
      <c r="I20" s="261">
        <v>3.4734566462926622E-2</v>
      </c>
      <c r="J20" s="256">
        <v>2.1430186671167415</v>
      </c>
      <c r="L20" s="178"/>
      <c r="M20" s="183">
        <v>4</v>
      </c>
      <c r="N20" s="190">
        <v>392.22994020119995</v>
      </c>
      <c r="O20" s="190">
        <v>6.0013212061829108E-2</v>
      </c>
      <c r="P20" s="188">
        <v>2.146655459881158</v>
      </c>
      <c r="Q20" s="189">
        <v>1.2747829187733947E-2</v>
      </c>
      <c r="R20" s="189">
        <v>3.4737973457877033E-2</v>
      </c>
      <c r="S20" s="203">
        <v>2.1429001546829261</v>
      </c>
      <c r="U20" s="178"/>
      <c r="V20" s="183">
        <v>4</v>
      </c>
      <c r="W20" s="190">
        <v>392.24891810187717</v>
      </c>
      <c r="X20" s="190">
        <v>6.0820211107660734E-2</v>
      </c>
      <c r="Y20" s="188">
        <v>2.1329603293559556</v>
      </c>
      <c r="Z20" s="189">
        <v>-8.6681138086021209E-3</v>
      </c>
      <c r="AA20" s="189">
        <v>3.9571525280563E-2</v>
      </c>
      <c r="AB20" s="203">
        <v>2.1314530064351911</v>
      </c>
      <c r="AD20" s="209"/>
      <c r="AE20" s="158">
        <v>4</v>
      </c>
      <c r="AF20" s="213">
        <v>392.49358607358937</v>
      </c>
      <c r="AG20" s="213">
        <v>7.2228570399291966E-2</v>
      </c>
      <c r="AH20" s="159">
        <v>2.2459543791987522</v>
      </c>
      <c r="AI20" s="162">
        <v>4.9769957795642417E-2</v>
      </c>
      <c r="AJ20" s="162">
        <v>3.9310818528632968E-2</v>
      </c>
      <c r="AK20" s="210">
        <v>2.1380651299009945</v>
      </c>
    </row>
    <row r="21" spans="2:37" ht="15">
      <c r="B21" s="165" t="s">
        <v>322</v>
      </c>
      <c r="C21" s="253"/>
      <c r="D21" s="254">
        <v>5</v>
      </c>
      <c r="E21" s="265">
        <v>489.94299871981627</v>
      </c>
      <c r="F21" s="265">
        <v>7.4526152955221622E-2</v>
      </c>
      <c r="G21" s="255">
        <v>2.1541663271514411</v>
      </c>
      <c r="H21" s="261">
        <v>2.2860278689853315E-2</v>
      </c>
      <c r="I21" s="261">
        <v>3.4640062317612776E-2</v>
      </c>
      <c r="J21" s="256">
        <v>2.1462497572800356</v>
      </c>
      <c r="L21" s="178"/>
      <c r="M21" s="183">
        <v>5</v>
      </c>
      <c r="N21" s="190">
        <v>489.19928670557999</v>
      </c>
      <c r="O21" s="190">
        <v>7.4709640678352451E-2</v>
      </c>
      <c r="P21" s="188">
        <v>2.1490094183852664</v>
      </c>
      <c r="Q21" s="189">
        <v>1.0220947609453997E-2</v>
      </c>
      <c r="R21" s="189">
        <v>3.4650799605733335E-2</v>
      </c>
      <c r="S21" s="203">
        <v>2.1458600598340154</v>
      </c>
      <c r="U21" s="178"/>
      <c r="V21" s="183">
        <v>5</v>
      </c>
      <c r="W21" s="190">
        <v>489.04397667395813</v>
      </c>
      <c r="X21" s="190">
        <v>7.5741589716227881E-2</v>
      </c>
      <c r="Y21" s="188">
        <v>2.1342269948080235</v>
      </c>
      <c r="Z21" s="189">
        <v>-5.9300386746063754E-3</v>
      </c>
      <c r="AA21" s="189">
        <v>3.8444850616812833E-2</v>
      </c>
      <c r="AB21" s="203">
        <v>2.1379387412258706</v>
      </c>
      <c r="AD21" s="209"/>
      <c r="AE21" s="158">
        <v>5</v>
      </c>
      <c r="AF21" s="213">
        <v>489.30953077117977</v>
      </c>
      <c r="AG21" s="213">
        <v>8.8022048141629866E-2</v>
      </c>
      <c r="AH21" s="159">
        <v>2.246475255874341</v>
      </c>
      <c r="AI21" s="162">
        <v>0.10453234242116739</v>
      </c>
      <c r="AJ21" s="162">
        <v>3.8275665633810046E-2</v>
      </c>
      <c r="AK21" s="210">
        <v>2.1427290130100083</v>
      </c>
    </row>
    <row r="22" spans="2:37" ht="15">
      <c r="B22" s="165" t="s">
        <v>323</v>
      </c>
      <c r="C22" s="253"/>
      <c r="D22" s="254">
        <v>6</v>
      </c>
      <c r="E22" s="265">
        <v>592.96692814450182</v>
      </c>
      <c r="F22" s="265">
        <v>9.0096003180293913E-2</v>
      </c>
      <c r="G22" s="255">
        <v>2.1556786490744106</v>
      </c>
      <c r="H22" s="261">
        <v>1.7876580431728968E-2</v>
      </c>
      <c r="I22" s="261">
        <v>3.4587004431087101E-2</v>
      </c>
      <c r="J22" s="256">
        <v>2.1481358148252623</v>
      </c>
      <c r="L22" s="178"/>
      <c r="M22" s="183">
        <v>6</v>
      </c>
      <c r="N22" s="190">
        <v>592.32641724233997</v>
      </c>
      <c r="O22" s="190">
        <v>9.0356434201146418E-2</v>
      </c>
      <c r="P22" s="188">
        <v>2.1504678413344829</v>
      </c>
      <c r="Q22" s="189">
        <v>3.3765708463779714E-3</v>
      </c>
      <c r="R22" s="189">
        <v>3.4701163459882917E-2</v>
      </c>
      <c r="S22" s="203">
        <v>2.1440587825018613</v>
      </c>
      <c r="U22" s="178"/>
      <c r="V22" s="183">
        <v>6</v>
      </c>
      <c r="W22" s="190">
        <v>592.009867749911</v>
      </c>
      <c r="X22" s="190">
        <v>9.1624752575172094E-2</v>
      </c>
      <c r="Y22" s="188">
        <v>2.1350075316785193</v>
      </c>
      <c r="Z22" s="189">
        <v>-1.064189687008632E-2</v>
      </c>
      <c r="AA22" s="189">
        <v>3.7683034725429082E-2</v>
      </c>
      <c r="AB22" s="203">
        <v>2.1421643348321564</v>
      </c>
      <c r="AD22" s="209"/>
      <c r="AE22" s="158">
        <v>6</v>
      </c>
      <c r="AF22" s="213">
        <v>592.13040240097473</v>
      </c>
      <c r="AG22" s="213">
        <v>0.10479744259151502</v>
      </c>
      <c r="AH22" s="159">
        <v>2.2467924442376193</v>
      </c>
      <c r="AI22" s="162">
        <v>9.4743309749210233E-2</v>
      </c>
      <c r="AJ22" s="162">
        <v>3.7567577511245877E-2</v>
      </c>
      <c r="AK22" s="210">
        <v>2.145692674472881</v>
      </c>
    </row>
    <row r="23" spans="2:37" ht="15">
      <c r="B23" s="165" t="s">
        <v>324</v>
      </c>
      <c r="C23" s="253"/>
      <c r="D23" s="254">
        <v>7</v>
      </c>
      <c r="E23" s="265">
        <v>691.49520609442334</v>
      </c>
      <c r="F23" s="265">
        <v>0.10499660456508784</v>
      </c>
      <c r="G23" s="255">
        <v>2.1565877517036731</v>
      </c>
      <c r="H23" s="261">
        <v>2.3283365530393622E-2</v>
      </c>
      <c r="I23" s="261">
        <v>3.4552703737386066E-2</v>
      </c>
      <c r="J23" s="256">
        <v>2.1493895416330142</v>
      </c>
      <c r="L23" s="178"/>
      <c r="M23" s="183">
        <v>7</v>
      </c>
      <c r="N23" s="190">
        <v>691.04198608235993</v>
      </c>
      <c r="O23" s="190">
        <v>0.10534421610247872</v>
      </c>
      <c r="P23" s="188">
        <v>2.1513440956852179</v>
      </c>
      <c r="Q23" s="189">
        <v>1.3458153785306447E-2</v>
      </c>
      <c r="R23" s="189">
        <v>3.4558058897599608E-2</v>
      </c>
      <c r="S23" s="203">
        <v>2.1491884372238728</v>
      </c>
      <c r="U23" s="178"/>
      <c r="V23" s="183">
        <v>7</v>
      </c>
      <c r="W23" s="190">
        <v>690.89620845580021</v>
      </c>
      <c r="X23" s="190">
        <v>0.10688502859971501</v>
      </c>
      <c r="Y23" s="188">
        <v>2.1354761395475177</v>
      </c>
      <c r="Z23" s="189">
        <v>-4.1975186138909016E-3</v>
      </c>
      <c r="AA23" s="189">
        <v>3.7180687253343322E-2</v>
      </c>
      <c r="AB23" s="203">
        <v>2.1447883425351537</v>
      </c>
      <c r="AD23" s="209"/>
      <c r="AE23" s="158">
        <v>7</v>
      </c>
      <c r="AF23" s="213">
        <v>691.16668983499005</v>
      </c>
      <c r="AG23" s="213">
        <v>0.12095672612610965</v>
      </c>
      <c r="AH23" s="159">
        <v>2.2469822333284308</v>
      </c>
      <c r="AI23" s="162">
        <v>5.0105754748969604E-2</v>
      </c>
      <c r="AJ23" s="162">
        <v>3.7094766593034234E-2</v>
      </c>
      <c r="AK23" s="210">
        <v>2.1475123001630574</v>
      </c>
    </row>
    <row r="24" spans="2:37" ht="15">
      <c r="B24" s="165" t="s">
        <v>325</v>
      </c>
      <c r="C24" s="253"/>
      <c r="D24" s="254">
        <v>8</v>
      </c>
      <c r="E24" s="265">
        <v>788.85931534209249</v>
      </c>
      <c r="F24" s="265">
        <v>0.11972764446506644</v>
      </c>
      <c r="G24" s="255">
        <v>2.1571950093067525</v>
      </c>
      <c r="H24" s="261">
        <v>3.359350893807219E-2</v>
      </c>
      <c r="I24" s="261">
        <v>3.4529772592225054E-2</v>
      </c>
      <c r="J24" s="256">
        <v>2.1502414573388746</v>
      </c>
      <c r="L24" s="178"/>
      <c r="M24" s="183">
        <v>8</v>
      </c>
      <c r="N24" s="190">
        <v>788.03533564290001</v>
      </c>
      <c r="O24" s="190">
        <v>0.12007705872519479</v>
      </c>
      <c r="P24" s="188">
        <v>2.1519259330843954</v>
      </c>
      <c r="Q24" s="189">
        <v>2.5760679779972623E-2</v>
      </c>
      <c r="R24" s="189">
        <v>3.4530867130742507E-2</v>
      </c>
      <c r="S24" s="203">
        <v>2.1502000224164926</v>
      </c>
      <c r="U24" s="178"/>
      <c r="V24" s="183">
        <v>8</v>
      </c>
      <c r="W24" s="190">
        <v>787.72327134556747</v>
      </c>
      <c r="X24" s="190">
        <v>0.12183157209622629</v>
      </c>
      <c r="Y24" s="188">
        <v>2.1357854052283822</v>
      </c>
      <c r="Z24" s="189">
        <v>7.4900683003448626E-3</v>
      </c>
      <c r="AA24" s="189">
        <v>3.6819149895865981E-2</v>
      </c>
      <c r="AB24" s="203">
        <v>2.1465566934566822</v>
      </c>
      <c r="AD24" s="209"/>
      <c r="AE24" s="158">
        <v>8</v>
      </c>
      <c r="AF24" s="213">
        <v>787.99863700275284</v>
      </c>
      <c r="AG24" s="213">
        <v>0.13675715850784195</v>
      </c>
      <c r="AH24" s="159">
        <v>2.2471067736267698</v>
      </c>
      <c r="AI24" s="162">
        <v>8.3687958615363683E-2</v>
      </c>
      <c r="AJ24" s="162">
        <v>3.6752675286357554E-2</v>
      </c>
      <c r="AK24" s="210">
        <v>2.1487253918711398</v>
      </c>
    </row>
    <row r="25" spans="2:37" ht="15">
      <c r="B25" s="165" t="s">
        <v>326</v>
      </c>
      <c r="C25" s="253"/>
      <c r="D25" s="254">
        <v>9</v>
      </c>
      <c r="E25" s="265">
        <v>888.18070822404684</v>
      </c>
      <c r="F25" s="265">
        <v>0.13475949087623623</v>
      </c>
      <c r="G25" s="255">
        <v>2.1576325060947275</v>
      </c>
      <c r="H25" s="261">
        <v>4.3573122499660805E-2</v>
      </c>
      <c r="I25" s="261">
        <v>3.4513865265687969E-2</v>
      </c>
      <c r="J25" s="256">
        <v>2.1508386863411837</v>
      </c>
      <c r="L25" s="178"/>
      <c r="M25" s="183">
        <v>9</v>
      </c>
      <c r="N25" s="190">
        <v>887.48599807782</v>
      </c>
      <c r="O25" s="190">
        <v>0.13518788223156361</v>
      </c>
      <c r="P25" s="188">
        <v>2.1523472886872184</v>
      </c>
      <c r="Q25" s="189">
        <v>3.8311078684780127E-2</v>
      </c>
      <c r="R25" s="189">
        <v>3.4514199365382012E-2</v>
      </c>
      <c r="S25" s="203">
        <v>2.1508259847462865</v>
      </c>
      <c r="U25" s="178"/>
      <c r="V25" s="183">
        <v>9</v>
      </c>
      <c r="W25" s="190">
        <v>887.34571135823933</v>
      </c>
      <c r="X25" s="190">
        <v>0.13721256521806771</v>
      </c>
      <c r="Y25" s="188">
        <v>2.1360097468191461</v>
      </c>
      <c r="Z25" s="189">
        <v>2.3215701325896489E-2</v>
      </c>
      <c r="AA25" s="189">
        <v>3.6534558198688949E-2</v>
      </c>
      <c r="AB25" s="203">
        <v>2.1478578024816706</v>
      </c>
      <c r="AD25" s="209"/>
      <c r="AE25" s="158">
        <v>9</v>
      </c>
      <c r="AF25" s="213">
        <v>887.7340323524262</v>
      </c>
      <c r="AG25" s="213">
        <v>0.15303193644190988</v>
      </c>
      <c r="AH25" s="159">
        <v>2.2471969591830452</v>
      </c>
      <c r="AI25" s="162">
        <v>5.0687545443315697E-2</v>
      </c>
      <c r="AJ25" s="162">
        <v>3.6481627995017862E-2</v>
      </c>
      <c r="AK25" s="210">
        <v>2.1496134100965452</v>
      </c>
    </row>
    <row r="26" spans="2:37" ht="15">
      <c r="B26" s="165" t="s">
        <v>327</v>
      </c>
      <c r="C26" s="253"/>
      <c r="D26" s="254" t="s">
        <v>348</v>
      </c>
      <c r="E26" s="265">
        <v>985.32878616614312</v>
      </c>
      <c r="F26" s="265">
        <v>0.14946574763555182</v>
      </c>
      <c r="G26" s="255">
        <v>2.1579457144192014</v>
      </c>
      <c r="H26" s="261">
        <v>5.0136594570211114E-2</v>
      </c>
      <c r="I26" s="261">
        <v>3.4502760582382143E-2</v>
      </c>
      <c r="J26" s="256">
        <v>2.1512587754148904</v>
      </c>
      <c r="L26" s="178"/>
      <c r="M26" s="183" t="s">
        <v>348</v>
      </c>
      <c r="N26" s="190">
        <v>984.25431898685986</v>
      </c>
      <c r="O26" s="190">
        <v>0.14989449706071573</v>
      </c>
      <c r="P26" s="188">
        <v>2.1526473564398581</v>
      </c>
      <c r="Q26" s="189">
        <v>4.2672583235634956E-2</v>
      </c>
      <c r="R26" s="189">
        <v>3.4503123651581723E-2</v>
      </c>
      <c r="S26" s="203">
        <v>2.1512449007161365</v>
      </c>
      <c r="U26" s="178"/>
      <c r="V26" s="183" t="s">
        <v>348</v>
      </c>
      <c r="W26" s="190">
        <v>983.95474483376927</v>
      </c>
      <c r="X26" s="190">
        <v>0.1521303961941462</v>
      </c>
      <c r="Y26" s="188">
        <v>2.136168757054195</v>
      </c>
      <c r="Z26" s="189">
        <v>2.5916270142961714E-2</v>
      </c>
      <c r="AA26" s="189">
        <v>3.6316721525046385E-2</v>
      </c>
      <c r="AB26" s="203">
        <v>2.1487896085713123</v>
      </c>
      <c r="AD26" s="209"/>
      <c r="AE26" s="158" t="s">
        <v>348</v>
      </c>
      <c r="AF26" s="213">
        <v>984.3529466360186</v>
      </c>
      <c r="AG26" s="213">
        <v>0.16879856909167018</v>
      </c>
      <c r="AH26" s="159">
        <v>2.2472606833655924</v>
      </c>
      <c r="AI26" s="162">
        <v>7.7225646377689944E-2</v>
      </c>
      <c r="AJ26" s="162">
        <v>3.6273469505851155E-2</v>
      </c>
      <c r="AK26" s="210">
        <v>2.1502455468824437</v>
      </c>
    </row>
    <row r="27" spans="2:37" ht="15">
      <c r="B27" s="82"/>
      <c r="C27" s="253"/>
      <c r="D27" s="262"/>
      <c r="E27" s="262"/>
      <c r="F27" s="262"/>
      <c r="G27" s="263"/>
      <c r="H27" s="262"/>
      <c r="I27" s="262"/>
      <c r="J27" s="264"/>
      <c r="L27" s="178"/>
      <c r="M27" s="185"/>
      <c r="N27" s="185"/>
      <c r="O27" s="185"/>
      <c r="P27" s="198"/>
      <c r="Q27" s="185"/>
      <c r="R27" s="185"/>
      <c r="S27" s="205"/>
      <c r="U27" s="178"/>
      <c r="V27" s="185"/>
      <c r="W27" s="185"/>
      <c r="X27" s="185"/>
      <c r="Y27" s="198"/>
      <c r="Z27" s="185"/>
      <c r="AA27" s="185"/>
      <c r="AB27" s="205"/>
      <c r="AD27" s="209"/>
      <c r="AE27" s="214"/>
      <c r="AF27" s="214"/>
      <c r="AG27" s="214"/>
      <c r="AH27" s="215"/>
      <c r="AI27" s="214"/>
      <c r="AJ27" s="214"/>
      <c r="AK27" s="216"/>
    </row>
    <row r="28" spans="2:37" ht="15">
      <c r="B28" s="165" t="s">
        <v>39</v>
      </c>
      <c r="C28" s="253" t="s">
        <v>349</v>
      </c>
      <c r="D28" s="254">
        <v>1</v>
      </c>
      <c r="E28" s="265">
        <v>0.99504999999999999</v>
      </c>
      <c r="F28" s="266">
        <v>1.7000000000000001E-4</v>
      </c>
      <c r="G28" s="255">
        <v>2.080448301344854</v>
      </c>
      <c r="H28" s="261">
        <v>2.0098614529959855E-2</v>
      </c>
      <c r="I28" s="261">
        <v>4.0169085267383796E-2</v>
      </c>
      <c r="J28" s="256">
        <v>2.0761952257075111</v>
      </c>
      <c r="L28" s="178" t="s">
        <v>349</v>
      </c>
      <c r="M28" s="183">
        <v>1</v>
      </c>
      <c r="N28" s="190">
        <v>0.99470999999999998</v>
      </c>
      <c r="O28" s="191">
        <v>1.7000000000000001E-4</v>
      </c>
      <c r="P28" s="188">
        <v>2.0780413039482668</v>
      </c>
      <c r="Q28" s="189">
        <v>2.312113872290246E-2</v>
      </c>
      <c r="R28" s="189">
        <v>4.0171607896663533E-2</v>
      </c>
      <c r="S28" s="203">
        <v>2.0762705643307036</v>
      </c>
      <c r="U28" s="178" t="s">
        <v>349</v>
      </c>
      <c r="V28" s="183">
        <v>1</v>
      </c>
      <c r="W28" s="190">
        <v>0.99519999999999997</v>
      </c>
      <c r="X28" s="191">
        <v>1.6000000000000001E-4</v>
      </c>
      <c r="Y28" s="188">
        <v>2.0905603200437128</v>
      </c>
      <c r="Z28" s="190">
        <v>4.2200569882662402E-2</v>
      </c>
      <c r="AA28" s="190">
        <v>4.9981346365802572E-2</v>
      </c>
      <c r="AB28" s="203">
        <v>2.0661795420783564</v>
      </c>
      <c r="AD28" s="209" t="s">
        <v>349</v>
      </c>
      <c r="AE28" s="158">
        <v>1</v>
      </c>
      <c r="AF28" s="217">
        <v>0.99596003160883473</v>
      </c>
      <c r="AG28" s="217">
        <v>1.7246721837312919E-4</v>
      </c>
      <c r="AH28" s="159">
        <v>2.2219726789872971</v>
      </c>
      <c r="AI28" s="213">
        <v>2.4096663691863713E-2</v>
      </c>
      <c r="AJ28" s="213">
        <v>4.5354081522708464E-2</v>
      </c>
      <c r="AK28" s="210">
        <v>2.0618897455233425</v>
      </c>
    </row>
    <row r="29" spans="2:37" ht="15">
      <c r="B29" s="165" t="s">
        <v>311</v>
      </c>
      <c r="C29" s="253" t="s">
        <v>347</v>
      </c>
      <c r="D29" s="254">
        <v>2</v>
      </c>
      <c r="E29" s="266">
        <v>1.9976401979060725</v>
      </c>
      <c r="F29" s="266">
        <v>3.1105121456655085E-4</v>
      </c>
      <c r="G29" s="255">
        <v>2.1280742928276086</v>
      </c>
      <c r="H29" s="261">
        <v>1.0011423700418106E-2</v>
      </c>
      <c r="I29" s="261">
        <v>3.5870302459244621E-2</v>
      </c>
      <c r="J29" s="256">
        <v>2.1140096135857145</v>
      </c>
      <c r="L29" s="178" t="s">
        <v>347</v>
      </c>
      <c r="M29" s="183">
        <v>2</v>
      </c>
      <c r="N29" s="191">
        <v>1.9966969499068798</v>
      </c>
      <c r="O29" s="191">
        <v>3.1215929932989616E-4</v>
      </c>
      <c r="P29" s="188">
        <v>2.1239427371393473</v>
      </c>
      <c r="Q29" s="189">
        <v>1.0516868020947959E-2</v>
      </c>
      <c r="R29" s="189">
        <v>3.5846636599414956E-2</v>
      </c>
      <c r="S29" s="203">
        <v>2.1146351065871931</v>
      </c>
      <c r="U29" s="178" t="s">
        <v>347</v>
      </c>
      <c r="V29" s="183">
        <v>2</v>
      </c>
      <c r="W29" s="191">
        <v>1.9971396875419236</v>
      </c>
      <c r="X29" s="191">
        <v>3.1376431838192842E-4</v>
      </c>
      <c r="Y29" s="188">
        <v>2.1202022721691143</v>
      </c>
      <c r="Z29" s="189">
        <v>1.9526993718983476E-2</v>
      </c>
      <c r="AA29" s="189">
        <v>3.8708001482755466E-2</v>
      </c>
      <c r="AB29" s="203">
        <v>2.0865914848478955</v>
      </c>
      <c r="AD29" s="209" t="s">
        <v>347</v>
      </c>
      <c r="AE29" s="158">
        <v>2</v>
      </c>
      <c r="AF29" s="217">
        <v>1.9991407159416352</v>
      </c>
      <c r="AG29" s="217">
        <v>3.3526220333219333E-4</v>
      </c>
      <c r="AH29" s="159">
        <v>2.2402788220182446</v>
      </c>
      <c r="AI29" s="162">
        <v>1.0004012282560397E-2</v>
      </c>
      <c r="AJ29" s="162">
        <v>3.7509828367562961E-2</v>
      </c>
      <c r="AK29" s="210">
        <v>2.1003669119069301</v>
      </c>
    </row>
    <row r="30" spans="2:37" ht="15">
      <c r="B30" s="165" t="s">
        <v>312</v>
      </c>
      <c r="C30" s="253"/>
      <c r="D30" s="254">
        <v>3</v>
      </c>
      <c r="E30" s="267">
        <v>2.99240495134578</v>
      </c>
      <c r="F30" s="267">
        <v>4.5898182185751256E-4</v>
      </c>
      <c r="G30" s="255">
        <v>2.1438022441930769</v>
      </c>
      <c r="H30" s="261">
        <v>1.0024991310031659E-2</v>
      </c>
      <c r="I30" s="261">
        <v>3.5104989249754907E-2</v>
      </c>
      <c r="J30" s="256">
        <v>2.1316565875768618</v>
      </c>
      <c r="L30" s="178"/>
      <c r="M30" s="183">
        <v>3</v>
      </c>
      <c r="N30" s="192">
        <v>2.9909101619404797</v>
      </c>
      <c r="O30" s="192">
        <v>4.6059161325964553E-4</v>
      </c>
      <c r="P30" s="188">
        <v>2.1390674596775363</v>
      </c>
      <c r="Q30" s="189">
        <v>8.0239304762098635E-3</v>
      </c>
      <c r="R30" s="189">
        <v>3.5094528767183039E-2</v>
      </c>
      <c r="S30" s="203">
        <v>2.1319846310305781</v>
      </c>
      <c r="U30" s="178"/>
      <c r="V30" s="183">
        <v>3</v>
      </c>
      <c r="W30" s="192">
        <v>2.9919992718032309</v>
      </c>
      <c r="X30" s="192">
        <v>4.6575832498174186E-4</v>
      </c>
      <c r="Y30" s="188">
        <v>2.1288157559174028</v>
      </c>
      <c r="Z30" s="189">
        <v>1.5373599742862626E-2</v>
      </c>
      <c r="AA30" s="189">
        <v>3.6484457300433717E-2</v>
      </c>
      <c r="AB30" s="203">
        <v>2.1131226473024194</v>
      </c>
      <c r="AD30" s="209"/>
      <c r="AE30" s="158">
        <v>3</v>
      </c>
      <c r="AF30" s="218">
        <v>2.9947107122925276</v>
      </c>
      <c r="AG30" s="218">
        <v>4.9746345512619288E-4</v>
      </c>
      <c r="AH30" s="159">
        <v>2.2442019825261053</v>
      </c>
      <c r="AI30" s="162">
        <v>8.3478131104425743E-3</v>
      </c>
      <c r="AJ30" s="162">
        <v>3.5975656748749432E-2</v>
      </c>
      <c r="AK30" s="210">
        <v>2.1240365712234421</v>
      </c>
    </row>
    <row r="31" spans="2:37" ht="15">
      <c r="B31" s="165" t="s">
        <v>313</v>
      </c>
      <c r="C31" s="253"/>
      <c r="D31" s="254">
        <v>4</v>
      </c>
      <c r="E31" s="267">
        <v>3.9948503591732476</v>
      </c>
      <c r="F31" s="267">
        <v>6.094944348109285E-4</v>
      </c>
      <c r="G31" s="255">
        <v>2.1502566880753924</v>
      </c>
      <c r="H31" s="261">
        <v>-2.5031253519047585E-3</v>
      </c>
      <c r="I31" s="261">
        <v>3.5404139370542161E-2</v>
      </c>
      <c r="J31" s="256">
        <v>2.1236496118807544</v>
      </c>
      <c r="L31" s="178"/>
      <c r="M31" s="183">
        <v>4</v>
      </c>
      <c r="N31" s="192">
        <v>3.9926838546691199</v>
      </c>
      <c r="O31" s="192">
        <v>6.1159453493404153E-4</v>
      </c>
      <c r="P31" s="188">
        <v>2.1452675091545306</v>
      </c>
      <c r="Q31" s="189">
        <v>1.0017846004317487E-3</v>
      </c>
      <c r="R31" s="189">
        <v>3.7183004103493754E-2</v>
      </c>
      <c r="S31" s="203">
        <v>2.0973934381430017</v>
      </c>
      <c r="U31" s="178"/>
      <c r="V31" s="183">
        <v>4</v>
      </c>
      <c r="W31" s="192">
        <v>3.9942893757833344</v>
      </c>
      <c r="X31" s="192">
        <v>6.1976165231914882E-4</v>
      </c>
      <c r="Y31" s="188">
        <v>2.1322151744142714</v>
      </c>
      <c r="Z31" s="189">
        <v>6.2586361629119744E-3</v>
      </c>
      <c r="AA31" s="189">
        <v>3.568362095816191E-2</v>
      </c>
      <c r="AB31" s="203">
        <v>2.127798821946044</v>
      </c>
      <c r="AD31" s="209"/>
      <c r="AE31" s="158">
        <v>4</v>
      </c>
      <c r="AF31" s="218">
        <v>3.9982214264589713</v>
      </c>
      <c r="AG31" s="218">
        <v>6.611055828082544E-4</v>
      </c>
      <c r="AH31" s="159">
        <v>2.2456465252310345</v>
      </c>
      <c r="AI31" s="162">
        <v>7.5031218173023562E-4</v>
      </c>
      <c r="AJ31" s="162">
        <v>3.540694155156008E-2</v>
      </c>
      <c r="AK31" s="210">
        <v>2.1353686860843459</v>
      </c>
    </row>
    <row r="32" spans="2:37" ht="15">
      <c r="B32" s="165" t="s">
        <v>314</v>
      </c>
      <c r="C32" s="253"/>
      <c r="D32" s="254">
        <v>5</v>
      </c>
      <c r="E32" s="267">
        <v>4.9985458735091388</v>
      </c>
      <c r="F32" s="267">
        <v>7.607600128930141E-4</v>
      </c>
      <c r="G32" s="255">
        <v>2.1534305897300579</v>
      </c>
      <c r="H32" s="261">
        <v>-4.0010080788124638E-3</v>
      </c>
      <c r="I32" s="261">
        <v>3.4875705967351817E-2</v>
      </c>
      <c r="J32" s="256">
        <v>2.1382795682376323</v>
      </c>
      <c r="L32" s="178"/>
      <c r="M32" s="183">
        <v>5</v>
      </c>
      <c r="N32" s="192">
        <v>4.9959176402303997</v>
      </c>
      <c r="O32" s="192">
        <v>7.6338539829167774E-4</v>
      </c>
      <c r="P32" s="188">
        <v>2.1483155538402428</v>
      </c>
      <c r="Q32" s="189">
        <v>-3.2024620804721972E-3</v>
      </c>
      <c r="R32" s="189">
        <v>3.4820463625662913E-2</v>
      </c>
      <c r="S32" s="203">
        <v>2.1400453283892951</v>
      </c>
      <c r="U32" s="178"/>
      <c r="V32" s="183">
        <v>5</v>
      </c>
      <c r="W32" s="192">
        <v>4.9973495336239324</v>
      </c>
      <c r="X32" s="192">
        <v>7.7423011203899472E-4</v>
      </c>
      <c r="Y32" s="188">
        <v>2.1338595951357573</v>
      </c>
      <c r="Z32" s="189">
        <v>2.0009650126901781E-4</v>
      </c>
      <c r="AA32" s="189">
        <v>3.5302605812836209E-2</v>
      </c>
      <c r="AB32" s="203">
        <v>2.1359306136092173</v>
      </c>
      <c r="AD32" s="209"/>
      <c r="AE32" s="158">
        <v>5</v>
      </c>
      <c r="AF32" s="218">
        <v>5.0023721984846041</v>
      </c>
      <c r="AG32" s="218">
        <v>8.2490977980313838E-4</v>
      </c>
      <c r="AH32" s="159">
        <v>2.2463262490997358</v>
      </c>
      <c r="AI32" s="162">
        <v>-4.7975866209008372E-3</v>
      </c>
      <c r="AJ32" s="162">
        <v>3.512909782078158E-2</v>
      </c>
      <c r="AK32" s="210">
        <v>2.1412804407843291</v>
      </c>
    </row>
    <row r="33" spans="2:37" ht="15">
      <c r="B33" s="165" t="s">
        <v>315</v>
      </c>
      <c r="C33" s="253"/>
      <c r="D33" s="254">
        <v>6</v>
      </c>
      <c r="E33" s="267">
        <v>5.9926805732686006</v>
      </c>
      <c r="F33" s="267">
        <v>9.1085991498276195E-4</v>
      </c>
      <c r="G33" s="255">
        <v>2.1551939971167138</v>
      </c>
      <c r="H33" s="261">
        <v>-6.6745497870968791E-3</v>
      </c>
      <c r="I33" s="261">
        <v>3.4658707748653227E-2</v>
      </c>
      <c r="J33" s="256">
        <v>2.1455419141174596</v>
      </c>
      <c r="L33" s="178"/>
      <c r="M33" s="183">
        <v>6</v>
      </c>
      <c r="N33" s="192">
        <v>5.9896208198361593</v>
      </c>
      <c r="O33" s="192">
        <v>9.1401122345331754E-4</v>
      </c>
      <c r="P33" s="188">
        <v>2.1500085478345943</v>
      </c>
      <c r="Q33" s="189">
        <v>-6.6779005221058538E-3</v>
      </c>
      <c r="R33" s="189">
        <v>3.4622652147999707E-2</v>
      </c>
      <c r="S33" s="203">
        <v>2.1468404312534979</v>
      </c>
      <c r="U33" s="178"/>
      <c r="V33" s="183">
        <v>6</v>
      </c>
      <c r="W33" s="192">
        <v>5.9916090759160232</v>
      </c>
      <c r="X33" s="192">
        <v>9.2751369784962914E-4</v>
      </c>
      <c r="Y33" s="188">
        <v>2.1347665993283402</v>
      </c>
      <c r="Z33" s="189">
        <v>-1.1682446255066143E-3</v>
      </c>
      <c r="AA33" s="189">
        <v>3.5090094683835907E-2</v>
      </c>
      <c r="AB33" s="203">
        <v>2.1407161894182249</v>
      </c>
      <c r="AD33" s="209"/>
      <c r="AE33" s="158">
        <v>6</v>
      </c>
      <c r="AF33" s="218">
        <v>5.9974221478249055</v>
      </c>
      <c r="AG33" s="218">
        <v>9.8725756350970164E-4</v>
      </c>
      <c r="AH33" s="159">
        <v>2.2466960447621105</v>
      </c>
      <c r="AI33" s="162">
        <v>-6.1691409075789114E-3</v>
      </c>
      <c r="AJ33" s="162">
        <v>3.4970775368034598E-2</v>
      </c>
      <c r="AK33" s="210">
        <v>2.1446495311637563</v>
      </c>
    </row>
    <row r="34" spans="2:37" ht="15">
      <c r="B34" s="165" t="s">
        <v>316</v>
      </c>
      <c r="C34" s="253"/>
      <c r="D34" s="254">
        <v>7</v>
      </c>
      <c r="E34" s="267">
        <v>6.9954760109184271</v>
      </c>
      <c r="F34" s="267">
        <v>1.0624250695576382E-3</v>
      </c>
      <c r="G34" s="255">
        <v>2.1562878731526141</v>
      </c>
      <c r="H34" s="261">
        <v>0</v>
      </c>
      <c r="I34" s="261">
        <v>3.4560056732901606E-2</v>
      </c>
      <c r="J34" s="256">
        <v>2.1491220083377258</v>
      </c>
      <c r="L34" s="178"/>
      <c r="M34" s="183">
        <v>7</v>
      </c>
      <c r="N34" s="192">
        <v>6.9916345278249592</v>
      </c>
      <c r="O34" s="192">
        <v>1.0660554277853447E-3</v>
      </c>
      <c r="P34" s="188">
        <v>2.1510582450010882</v>
      </c>
      <c r="Q34" s="189">
        <v>5.7208499444325316E-4</v>
      </c>
      <c r="R34" s="189">
        <v>4.2668066599234819E-2</v>
      </c>
      <c r="S34" s="203">
        <v>2.0950468428192695</v>
      </c>
      <c r="U34" s="178"/>
      <c r="V34" s="183">
        <v>7</v>
      </c>
      <c r="W34" s="192">
        <v>6.9936991659063876</v>
      </c>
      <c r="X34" s="192">
        <v>1.0821025153710995E-3</v>
      </c>
      <c r="Y34" s="188">
        <v>2.1353261653384323</v>
      </c>
      <c r="Z34" s="189">
        <v>3.5744751581937412E-3</v>
      </c>
      <c r="AA34" s="189">
        <v>3.4956095453931135E-2</v>
      </c>
      <c r="AB34" s="203">
        <v>2.1437645736839239</v>
      </c>
      <c r="AD34" s="209"/>
      <c r="AE34" s="158">
        <v>7</v>
      </c>
      <c r="AF34" s="218">
        <v>7.0007328439103542</v>
      </c>
      <c r="AG34" s="218">
        <v>1.1509692915366554E-3</v>
      </c>
      <c r="AH34" s="159">
        <v>2.2469225469949592</v>
      </c>
      <c r="AI34" s="162">
        <v>-2.8567621023052424E-4</v>
      </c>
      <c r="AJ34" s="162">
        <v>3.4869145051625632E-2</v>
      </c>
      <c r="AK34" s="210">
        <v>2.1467522632439726</v>
      </c>
    </row>
    <row r="35" spans="2:37" ht="15">
      <c r="B35" s="165" t="s">
        <v>317</v>
      </c>
      <c r="C35" s="253"/>
      <c r="D35" s="254">
        <v>8</v>
      </c>
      <c r="E35" s="267">
        <v>7.9895507055654837</v>
      </c>
      <c r="F35" s="267">
        <v>1.2127696474019361E-3</v>
      </c>
      <c r="G35" s="255">
        <v>2.1570005109385626</v>
      </c>
      <c r="H35" s="261">
        <v>8.7611032281235679E-3</v>
      </c>
      <c r="I35" s="261">
        <v>3.4633179128241015E-2</v>
      </c>
      <c r="J35" s="256">
        <v>2.1464509929573063</v>
      </c>
      <c r="L35" s="178"/>
      <c r="M35" s="183">
        <v>8</v>
      </c>
      <c r="N35" s="192">
        <v>7.98518769789312</v>
      </c>
      <c r="O35" s="192">
        <v>1.2169140749488327E-3</v>
      </c>
      <c r="P35" s="188">
        <v>2.1517422389969507</v>
      </c>
      <c r="Q35" s="189">
        <v>1.0518975430240945E-2</v>
      </c>
      <c r="R35" s="189">
        <v>3.4581629149244515E-2</v>
      </c>
      <c r="S35" s="203">
        <v>2.1483081594436024</v>
      </c>
      <c r="U35" s="178"/>
      <c r="V35" s="183">
        <v>8</v>
      </c>
      <c r="W35" s="192">
        <v>7.9878386998046347</v>
      </c>
      <c r="X35" s="192">
        <v>1.2355257045789326E-3</v>
      </c>
      <c r="Y35" s="188">
        <v>2.1356899444743953</v>
      </c>
      <c r="Z35" s="189">
        <v>1.3394722258643391E-2</v>
      </c>
      <c r="AA35" s="189">
        <v>3.4866764657006492E-2</v>
      </c>
      <c r="AB35" s="203">
        <v>2.1457716940280727</v>
      </c>
      <c r="AD35" s="209"/>
      <c r="AE35" s="158">
        <v>8</v>
      </c>
      <c r="AF35" s="218">
        <v>7.9956327796899078</v>
      </c>
      <c r="AG35" s="218">
        <v>1.3133186304642333E-3</v>
      </c>
      <c r="AH35" s="159">
        <v>2.2470690297242397</v>
      </c>
      <c r="AI35" s="162">
        <v>9.7550465896618019E-3</v>
      </c>
      <c r="AJ35" s="162">
        <v>3.4800461607960041E-2</v>
      </c>
      <c r="AK35" s="210">
        <v>2.1481129701335027</v>
      </c>
    </row>
    <row r="36" spans="2:37" ht="15">
      <c r="B36" s="165" t="s">
        <v>318</v>
      </c>
      <c r="C36" s="253"/>
      <c r="D36" s="254">
        <v>9</v>
      </c>
      <c r="E36" s="267">
        <v>8.9917460920912671</v>
      </c>
      <c r="F36" s="267">
        <v>1.3644078268093714E-3</v>
      </c>
      <c r="G36" s="255">
        <v>2.1574975331450812</v>
      </c>
      <c r="H36" s="261">
        <v>2.1129668372002208E-2</v>
      </c>
      <c r="I36" s="261">
        <v>3.4552389007754272E-2</v>
      </c>
      <c r="J36" s="256">
        <v>2.1493871656913162</v>
      </c>
      <c r="L36" s="178"/>
      <c r="M36" s="183">
        <v>9</v>
      </c>
      <c r="N36" s="192">
        <v>8.9867213753615989</v>
      </c>
      <c r="O36" s="192">
        <v>1.3690504001406109E-3</v>
      </c>
      <c r="P36" s="188">
        <v>2.1522191904309667</v>
      </c>
      <c r="Q36" s="189">
        <v>2.2253995828590258E-2</v>
      </c>
      <c r="R36" s="189">
        <v>3.4541387376746398E-2</v>
      </c>
      <c r="S36" s="203">
        <v>2.1497983621787911</v>
      </c>
      <c r="U36" s="178"/>
      <c r="V36" s="183">
        <v>9</v>
      </c>
      <c r="W36" s="192">
        <v>8.9898887869970512</v>
      </c>
      <c r="X36" s="192">
        <v>1.3902106545487232E-3</v>
      </c>
      <c r="Y36" s="188">
        <v>2.1359430911851756</v>
      </c>
      <c r="Z36" s="189">
        <v>2.4248305563683716E-2</v>
      </c>
      <c r="AA36" s="189">
        <v>3.480305507695701E-2</v>
      </c>
      <c r="AB36" s="203">
        <v>2.1471660173676579</v>
      </c>
      <c r="AD36" s="209"/>
      <c r="AE36" s="158">
        <v>9</v>
      </c>
      <c r="AF36" s="218">
        <v>8.9988334658308098</v>
      </c>
      <c r="AG36" s="218">
        <v>1.4770292190093837E-3</v>
      </c>
      <c r="AH36" s="159">
        <v>2.247170682097114</v>
      </c>
      <c r="AI36" s="162">
        <v>2.2002222920624166E-2</v>
      </c>
      <c r="AJ36" s="162">
        <v>3.4750900213838747E-2</v>
      </c>
      <c r="AK36" s="210">
        <v>2.1490430200971198</v>
      </c>
    </row>
    <row r="37" spans="2:37" ht="15">
      <c r="B37" s="165" t="s">
        <v>41</v>
      </c>
      <c r="C37" s="253"/>
      <c r="D37" s="254" t="s">
        <v>348</v>
      </c>
      <c r="E37" s="267">
        <v>9.9858907927027953</v>
      </c>
      <c r="F37" s="267">
        <v>1.5148733399660119E-3</v>
      </c>
      <c r="G37" s="255">
        <v>2.157852436736174</v>
      </c>
      <c r="H37" s="261">
        <v>3.4046715334226062E-2</v>
      </c>
      <c r="I37" s="261">
        <v>3.4530786952490691E-2</v>
      </c>
      <c r="J37" s="256">
        <v>2.1501945422902744</v>
      </c>
      <c r="L37" s="178"/>
      <c r="M37" s="183" t="s">
        <v>348</v>
      </c>
      <c r="N37" s="192">
        <v>9.9802945467014403</v>
      </c>
      <c r="O37" s="192">
        <v>1.5200233216949724E-3</v>
      </c>
      <c r="P37" s="188">
        <v>2.1525597803080769</v>
      </c>
      <c r="Q37" s="189">
        <v>3.6069359107139452E-2</v>
      </c>
      <c r="R37" s="189">
        <v>3.452471916655539E-2</v>
      </c>
      <c r="S37" s="203">
        <v>2.1504234571835488</v>
      </c>
      <c r="U37" s="178"/>
      <c r="V37" s="183" t="s">
        <v>348</v>
      </c>
      <c r="W37" s="192">
        <v>9.9840383215947863</v>
      </c>
      <c r="X37" s="192">
        <v>1.543704499888891E-3</v>
      </c>
      <c r="Y37" s="188">
        <v>2.1361236235959833</v>
      </c>
      <c r="Z37" s="189">
        <v>3.9461101538710006E-2</v>
      </c>
      <c r="AA37" s="189">
        <v>3.4756622523482834E-2</v>
      </c>
      <c r="AB37" s="203">
        <v>2.1481457202437229</v>
      </c>
      <c r="AD37" s="209"/>
      <c r="AE37" s="158" t="s">
        <v>348</v>
      </c>
      <c r="AF37" s="218">
        <v>9.9937734052265625</v>
      </c>
      <c r="AG37" s="218">
        <v>1.6393964182611523E-3</v>
      </c>
      <c r="AH37" s="159">
        <v>2.2472429893631318</v>
      </c>
      <c r="AI37" s="162">
        <v>3.632157829743575E-2</v>
      </c>
      <c r="AJ37" s="162">
        <v>3.4714468823970369E-2</v>
      </c>
      <c r="AK37" s="210">
        <v>2.1496838409970422</v>
      </c>
    </row>
    <row r="38" spans="2:37" ht="15">
      <c r="B38" s="82"/>
      <c r="C38" s="253"/>
      <c r="D38" s="262"/>
      <c r="E38" s="262"/>
      <c r="F38" s="262"/>
      <c r="G38" s="263"/>
      <c r="H38" s="262"/>
      <c r="I38" s="262"/>
      <c r="J38" s="264"/>
      <c r="L38" s="178"/>
      <c r="M38" s="185"/>
      <c r="N38" s="185"/>
      <c r="O38" s="185"/>
      <c r="P38" s="198"/>
      <c r="Q38" s="185"/>
      <c r="R38" s="185"/>
      <c r="S38" s="205"/>
      <c r="U38" s="178"/>
      <c r="V38" s="185"/>
      <c r="W38" s="185"/>
      <c r="X38" s="185"/>
      <c r="Y38" s="198"/>
      <c r="Z38" s="185"/>
      <c r="AA38" s="185"/>
      <c r="AB38" s="205"/>
      <c r="AD38" s="209"/>
      <c r="AE38" s="214"/>
      <c r="AF38" s="214"/>
      <c r="AG38" s="214"/>
      <c r="AH38" s="215"/>
      <c r="AI38" s="214"/>
      <c r="AJ38" s="214"/>
      <c r="AK38" s="216"/>
    </row>
    <row r="39" spans="2:37" ht="15">
      <c r="B39" s="165" t="s">
        <v>302</v>
      </c>
      <c r="C39" s="253" t="s">
        <v>462</v>
      </c>
      <c r="D39" s="254">
        <v>1</v>
      </c>
      <c r="E39" s="266">
        <f>0.01001*1000</f>
        <v>10.01</v>
      </c>
      <c r="F39" s="268">
        <f>0.000009*1000</f>
        <v>9.0000000000000011E-3</v>
      </c>
      <c r="G39" s="255">
        <v>2.1351585277221945</v>
      </c>
      <c r="H39" s="265">
        <v>2.99693053734751E-2</v>
      </c>
      <c r="I39" s="265">
        <v>0.256395978363955</v>
      </c>
      <c r="J39" s="256">
        <v>2.2484967486200942</v>
      </c>
      <c r="L39" s="178" t="s">
        <v>464</v>
      </c>
      <c r="M39" s="183">
        <v>1</v>
      </c>
      <c r="N39" s="191">
        <v>10.005836</v>
      </c>
      <c r="O39" s="193">
        <v>1.7080000000000001E-3</v>
      </c>
      <c r="P39" s="188">
        <v>2.0752028533136793</v>
      </c>
      <c r="Q39" s="190">
        <v>3.6976654893246488E-2</v>
      </c>
      <c r="R39" s="190">
        <v>4.0658022413615186E-2</v>
      </c>
      <c r="S39" s="203">
        <v>2.0748616621658509</v>
      </c>
      <c r="U39" s="178" t="s">
        <v>350</v>
      </c>
      <c r="V39" s="183">
        <v>1</v>
      </c>
      <c r="W39" s="191">
        <v>10.0116</v>
      </c>
      <c r="X39" s="193">
        <v>1.6999999999999999E-3</v>
      </c>
      <c r="Y39" s="188">
        <v>2.0885054293286829</v>
      </c>
      <c r="Z39" s="190">
        <v>4.0950534807552334E-2</v>
      </c>
      <c r="AA39" s="190">
        <v>4.8840005989845496E-2</v>
      </c>
      <c r="AB39" s="203">
        <v>2.0674174985618916</v>
      </c>
      <c r="AD39" s="209" t="s">
        <v>474</v>
      </c>
      <c r="AE39" s="158">
        <v>1</v>
      </c>
      <c r="AF39" s="218">
        <v>10.021205885035201</v>
      </c>
      <c r="AG39" s="218">
        <v>1.6624077829409626E-3</v>
      </c>
      <c r="AH39" s="159">
        <v>2.220221936632067</v>
      </c>
      <c r="AI39" s="162">
        <v>4.0912070301598963E-2</v>
      </c>
      <c r="AJ39" s="162">
        <v>4.4109422790355936E-2</v>
      </c>
      <c r="AK39" s="210">
        <v>2.0612371722288789</v>
      </c>
    </row>
    <row r="40" spans="2:37" ht="15">
      <c r="B40" s="165" t="s">
        <v>303</v>
      </c>
      <c r="C40" s="253" t="s">
        <v>347</v>
      </c>
      <c r="D40" s="254">
        <v>2</v>
      </c>
      <c r="E40" s="268">
        <f>0.0200017041347912*1000</f>
        <v>20.001704134791201</v>
      </c>
      <c r="F40" s="268">
        <f>9.41146875959135E-06*1000</f>
        <v>9.4114687595913491E-3</v>
      </c>
      <c r="G40" s="255">
        <v>2.110718107230027</v>
      </c>
      <c r="H40" s="265">
        <v>3.9995036997748312E-2</v>
      </c>
      <c r="I40" s="265">
        <v>0.13040621939903219</v>
      </c>
      <c r="J40" s="256">
        <v>2.2151769651875965</v>
      </c>
      <c r="L40" s="178" t="s">
        <v>347</v>
      </c>
      <c r="M40" s="183">
        <v>2</v>
      </c>
      <c r="N40" s="193">
        <v>19.994771266703999</v>
      </c>
      <c r="O40" s="193">
        <v>3.1296410120622113E-3</v>
      </c>
      <c r="P40" s="188">
        <v>2.1228856445451076</v>
      </c>
      <c r="Q40" s="190">
        <v>2.6505665502787351E-2</v>
      </c>
      <c r="R40" s="190">
        <v>3.59449051017545E-2</v>
      </c>
      <c r="S40" s="203">
        <v>2.1125235406433358</v>
      </c>
      <c r="U40" s="178" t="s">
        <v>347</v>
      </c>
      <c r="V40" s="183">
        <v>2</v>
      </c>
      <c r="W40" s="192">
        <v>20.000498910926233</v>
      </c>
      <c r="X40" s="192">
        <v>3.1444756079831537E-3</v>
      </c>
      <c r="Y40" s="188">
        <v>2.1195846280131776</v>
      </c>
      <c r="Z40" s="190">
        <v>2.9497852800193833E-2</v>
      </c>
      <c r="AA40" s="190">
        <v>3.8050550586521951E-2</v>
      </c>
      <c r="AB40" s="203">
        <v>2.0844080100876687</v>
      </c>
      <c r="AD40" s="209" t="s">
        <v>347</v>
      </c>
      <c r="AE40" s="158">
        <v>2</v>
      </c>
      <c r="AF40" s="218">
        <v>20.020709808282309</v>
      </c>
      <c r="AG40" s="218">
        <v>3.2844668216827802E-3</v>
      </c>
      <c r="AH40" s="159">
        <v>2.2399821129277853</v>
      </c>
      <c r="AI40" s="162">
        <v>2.946864221182155E-2</v>
      </c>
      <c r="AJ40" s="162">
        <v>3.6828452785982208E-2</v>
      </c>
      <c r="AK40" s="210">
        <v>2.097996701581426</v>
      </c>
    </row>
    <row r="41" spans="2:37" ht="15">
      <c r="B41" s="165" t="s">
        <v>304</v>
      </c>
      <c r="C41" s="253"/>
      <c r="D41" s="254">
        <v>3</v>
      </c>
      <c r="E41" s="268">
        <f>0.0300115569690475*1000</f>
        <v>30.011556969047501</v>
      </c>
      <c r="F41" s="268">
        <f>9.86066487979601E-06*1000</f>
        <v>9.8606648797960102E-3</v>
      </c>
      <c r="G41" s="255">
        <v>2.0844930430551152</v>
      </c>
      <c r="H41" s="265">
        <v>2.6655361390081848E-2</v>
      </c>
      <c r="I41" s="265">
        <v>8.9258707498885259E-2</v>
      </c>
      <c r="J41" s="256">
        <v>2.1739002231017399</v>
      </c>
      <c r="L41" s="178"/>
      <c r="M41" s="183">
        <v>3</v>
      </c>
      <c r="N41" s="193">
        <v>30.000407424623997</v>
      </c>
      <c r="O41" s="193">
        <v>4.6213425936250958E-3</v>
      </c>
      <c r="P41" s="188">
        <v>2.1387381791265323</v>
      </c>
      <c r="Q41" s="190">
        <v>1.7998896960205783E-2</v>
      </c>
      <c r="R41" s="190">
        <v>3.5201613133966053E-2</v>
      </c>
      <c r="S41" s="203">
        <v>2.1287924629251882</v>
      </c>
      <c r="U41" s="178"/>
      <c r="V41" s="183">
        <v>3</v>
      </c>
      <c r="W41" s="192">
        <v>30.011899146317283</v>
      </c>
      <c r="X41" s="192">
        <v>4.6727309106092754E-3</v>
      </c>
      <c r="Y41" s="188">
        <v>2.1286336389821199</v>
      </c>
      <c r="Z41" s="190">
        <v>2.0990669601597071E-2</v>
      </c>
      <c r="AA41" s="190">
        <v>3.6078865515880978E-2</v>
      </c>
      <c r="AB41" s="203">
        <v>2.1100020208670807</v>
      </c>
      <c r="AD41" s="209"/>
      <c r="AE41" s="158">
        <v>3</v>
      </c>
      <c r="AF41" s="218">
        <v>30.041615666196012</v>
      </c>
      <c r="AG41" s="218">
        <v>4.9170021569003262E-3</v>
      </c>
      <c r="AH41" s="159">
        <v>2.2441238967691435</v>
      </c>
      <c r="AI41" s="162">
        <v>2.063744784804886E-2</v>
      </c>
      <c r="AJ41" s="162">
        <v>3.5565494415031283E-2</v>
      </c>
      <c r="AK41" s="210">
        <v>2.1207634693028763</v>
      </c>
    </row>
    <row r="42" spans="2:37" ht="15">
      <c r="B42" s="165" t="s">
        <v>305</v>
      </c>
      <c r="C42" s="253"/>
      <c r="D42" s="254">
        <v>4</v>
      </c>
      <c r="E42" s="268">
        <f>0.0400154092920633*1000</f>
        <v>40.015409292063296</v>
      </c>
      <c r="F42" s="268">
        <f>0.0000104987403955649*1000</f>
        <v>1.0498740395564901E-2</v>
      </c>
      <c r="G42" s="255">
        <v>2.0652358619948092</v>
      </c>
      <c r="H42" s="265">
        <v>4.2481982215442957E-2</v>
      </c>
      <c r="I42" s="265">
        <v>6.9652616691876987E-2</v>
      </c>
      <c r="J42" s="256">
        <v>2.1356288357311652</v>
      </c>
      <c r="L42" s="178"/>
      <c r="M42" s="183">
        <v>4</v>
      </c>
      <c r="N42" s="193">
        <v>40.001043264623995</v>
      </c>
      <c r="O42" s="193">
        <v>6.1281071079481737E-3</v>
      </c>
      <c r="P42" s="188">
        <v>2.1451102946026119</v>
      </c>
      <c r="Q42" s="190">
        <v>1.1749133088627149E-2</v>
      </c>
      <c r="R42" s="190">
        <v>3.504448937566737E-2</v>
      </c>
      <c r="S42" s="203">
        <v>2.133083192919051</v>
      </c>
      <c r="U42" s="178"/>
      <c r="V42" s="183">
        <v>4</v>
      </c>
      <c r="W42" s="189">
        <v>40.012898654241923</v>
      </c>
      <c r="X42" s="189">
        <v>6.2089767369026376E-3</v>
      </c>
      <c r="Y42" s="188">
        <v>2.1321289565259476</v>
      </c>
      <c r="Z42" s="190">
        <v>1.549426205986976E-2</v>
      </c>
      <c r="AA42" s="190">
        <v>3.5474519452757529E-2</v>
      </c>
      <c r="AB42" s="203">
        <v>2.1224974908288043</v>
      </c>
      <c r="AD42" s="209"/>
      <c r="AE42" s="158">
        <v>4</v>
      </c>
      <c r="AF42" s="162">
        <v>40.053020665262395</v>
      </c>
      <c r="AG42" s="162">
        <v>6.5495271887414481E-3</v>
      </c>
      <c r="AH42" s="159">
        <v>2.2456107484703618</v>
      </c>
      <c r="AI42" s="162">
        <v>1.5229377268238262E-2</v>
      </c>
      <c r="AJ42" s="162">
        <v>3.5195614552460765E-2</v>
      </c>
      <c r="AK42" s="210">
        <v>2.129803351023869</v>
      </c>
    </row>
    <row r="43" spans="2:37" ht="15">
      <c r="B43" s="165" t="s">
        <v>306</v>
      </c>
      <c r="C43" s="253"/>
      <c r="D43" s="254">
        <v>5</v>
      </c>
      <c r="E43" s="268">
        <f>0.0500142611890455*1000</f>
        <v>50.014261189045499</v>
      </c>
      <c r="F43" s="268">
        <f>0.0000113105078928091*1000</f>
        <v>1.13105078928091E-2</v>
      </c>
      <c r="G43" s="255">
        <v>2.0552782299028385</v>
      </c>
      <c r="H43" s="265">
        <v>3.3988983651355796E-2</v>
      </c>
      <c r="I43" s="265">
        <v>5.8700099579989271E-2</v>
      </c>
      <c r="J43" s="256">
        <v>2.1058737982825098</v>
      </c>
      <c r="L43" s="178"/>
      <c r="M43" s="183">
        <v>5</v>
      </c>
      <c r="N43" s="193">
        <v>49.995778729478396</v>
      </c>
      <c r="O43" s="193">
        <v>7.6400034366144488E-3</v>
      </c>
      <c r="P43" s="188">
        <v>2.1482236841073363</v>
      </c>
      <c r="Q43" s="190">
        <v>8.6003158651967622E-3</v>
      </c>
      <c r="R43" s="190">
        <v>3.5078205094771553E-2</v>
      </c>
      <c r="S43" s="203">
        <v>2.132314390329265</v>
      </c>
      <c r="U43" s="178"/>
      <c r="V43" s="183">
        <v>5</v>
      </c>
      <c r="W43" s="189">
        <v>50.023598840668896</v>
      </c>
      <c r="X43" s="189">
        <v>7.7503979173590863E-3</v>
      </c>
      <c r="Y43" s="188">
        <v>2.1338119030085054</v>
      </c>
      <c r="Z43" s="190">
        <v>1.15939729382377E-2</v>
      </c>
      <c r="AA43" s="190">
        <v>3.5264630964172858E-2</v>
      </c>
      <c r="AB43" s="203">
        <v>2.1276217195816929</v>
      </c>
      <c r="AD43" s="209"/>
      <c r="AE43" s="158">
        <v>5</v>
      </c>
      <c r="AF43" s="162">
        <v>50.069326107313188</v>
      </c>
      <c r="AG43" s="162">
        <v>8.1834428707813905E-3</v>
      </c>
      <c r="AH43" s="159">
        <v>2.2463065400605888</v>
      </c>
      <c r="AI43" s="162">
        <v>1.0784737991430447E-2</v>
      </c>
      <c r="AJ43" s="162">
        <v>3.5089765968379337E-2</v>
      </c>
      <c r="AK43" s="210">
        <v>2.1326330483656957</v>
      </c>
    </row>
    <row r="44" spans="2:37" ht="15">
      <c r="B44" s="165" t="s">
        <v>307</v>
      </c>
      <c r="C44" s="253"/>
      <c r="D44" s="254">
        <v>6</v>
      </c>
      <c r="E44" s="268">
        <f>0.0600241140233018*1000</f>
        <v>60.024114023301799</v>
      </c>
      <c r="F44" s="268">
        <f>0.0000122697963127539*1000</f>
        <v>1.22697963127539E-2</v>
      </c>
      <c r="G44" s="255">
        <v>2.0531101311035003</v>
      </c>
      <c r="H44" s="265">
        <v>2.8320849604363676E-2</v>
      </c>
      <c r="I44" s="265">
        <v>5.2033096406282175E-2</v>
      </c>
      <c r="J44" s="256">
        <v>2.08551098624711</v>
      </c>
      <c r="L44" s="178"/>
      <c r="M44" s="183">
        <v>6</v>
      </c>
      <c r="N44" s="193">
        <v>60.001314881039995</v>
      </c>
      <c r="O44" s="193">
        <v>9.1564734010971625E-3</v>
      </c>
      <c r="P44" s="188">
        <v>2.1499632124902361</v>
      </c>
      <c r="Q44" s="190">
        <v>0</v>
      </c>
      <c r="R44" s="190">
        <v>3.4601307027454509E-2</v>
      </c>
      <c r="S44" s="203">
        <v>2.1476269843891016</v>
      </c>
      <c r="U44" s="178"/>
      <c r="V44" s="183">
        <v>6</v>
      </c>
      <c r="W44" s="189">
        <v>60.034799062070206</v>
      </c>
      <c r="X44" s="189">
        <v>9.2937056073533874E-3</v>
      </c>
      <c r="Y44" s="188">
        <v>2.134743364471122</v>
      </c>
      <c r="Z44" s="190">
        <v>5.4965489526611951E-3</v>
      </c>
      <c r="AA44" s="190">
        <v>3.5220410834392327E-2</v>
      </c>
      <c r="AB44" s="203">
        <v>2.1288151860648461</v>
      </c>
      <c r="AD44" s="209"/>
      <c r="AE44" s="158">
        <v>6</v>
      </c>
      <c r="AF44" s="162">
        <v>60.090131956186404</v>
      </c>
      <c r="AG44" s="162">
        <v>9.8183838004512903E-3</v>
      </c>
      <c r="AH44" s="159">
        <v>2.2466865645868932</v>
      </c>
      <c r="AI44" s="162">
        <v>4.8259456348959144E-3</v>
      </c>
      <c r="AJ44" s="162">
        <v>3.5100549639919813E-2</v>
      </c>
      <c r="AK44" s="210">
        <v>2.1323600945813834</v>
      </c>
    </row>
    <row r="45" spans="2:37" ht="15">
      <c r="B45" s="165" t="s">
        <v>308</v>
      </c>
      <c r="C45" s="253"/>
      <c r="D45" s="254">
        <v>7</v>
      </c>
      <c r="E45" s="268">
        <f>0.0700159653238367*1000</f>
        <v>70.01596532383671</v>
      </c>
      <c r="F45" s="268">
        <f>0.0000133440543031849*1000</f>
        <v>1.33440543031849E-2</v>
      </c>
      <c r="G45" s="255">
        <v>2.0561477387954339</v>
      </c>
      <c r="H45" s="261">
        <v>3.2848373480510326E-2</v>
      </c>
      <c r="I45" s="261">
        <v>4.7773418769283094E-2</v>
      </c>
      <c r="J45" s="256">
        <v>2.0730963564171927</v>
      </c>
      <c r="L45" s="178"/>
      <c r="M45" s="183">
        <v>7</v>
      </c>
      <c r="N45" s="193">
        <v>69.989949958031985</v>
      </c>
      <c r="O45" s="193">
        <v>1.0672034956781354E-2</v>
      </c>
      <c r="P45" s="188">
        <v>2.1510266839481553</v>
      </c>
      <c r="Q45" s="189">
        <v>1.1572538107052175E-2</v>
      </c>
      <c r="R45" s="189">
        <v>3.5239241749614909E-2</v>
      </c>
      <c r="S45" s="203">
        <v>2.1286152885260328</v>
      </c>
      <c r="U45" s="178"/>
      <c r="V45" s="183">
        <v>7</v>
      </c>
      <c r="W45" s="189">
        <v>70.02339770263103</v>
      </c>
      <c r="X45" s="189">
        <v>1.0834549366309686E-2</v>
      </c>
      <c r="Y45" s="188">
        <v>2.1353099509051012</v>
      </c>
      <c r="Z45" s="189">
        <v>1.5851085937199787E-2</v>
      </c>
      <c r="AA45" s="189">
        <v>3.5266401899229707E-2</v>
      </c>
      <c r="AB45" s="203">
        <v>2.1277828489650479</v>
      </c>
      <c r="AD45" s="209"/>
      <c r="AE45" s="158">
        <v>7</v>
      </c>
      <c r="AF45" s="162">
        <v>70.089335852312004</v>
      </c>
      <c r="AG45" s="162">
        <v>1.1449964695501379E-2</v>
      </c>
      <c r="AH45" s="159">
        <v>2.2469159449117</v>
      </c>
      <c r="AI45" s="162">
        <v>1.4980452757419259E-2</v>
      </c>
      <c r="AJ45" s="162">
        <v>3.5179227273623652E-2</v>
      </c>
      <c r="AK45" s="210">
        <v>2.1303650500211537</v>
      </c>
    </row>
    <row r="46" spans="2:37" ht="15">
      <c r="B46" s="165" t="s">
        <v>309</v>
      </c>
      <c r="C46" s="253"/>
      <c r="D46" s="254">
        <v>8</v>
      </c>
      <c r="E46" s="268">
        <f>0.0800248180728863*1000</f>
        <v>80.024818072886305</v>
      </c>
      <c r="F46" s="268">
        <f>0.0000145107410366389*1000</f>
        <v>1.4510741036638901E-2</v>
      </c>
      <c r="G46" s="255">
        <v>2.0621232965672465</v>
      </c>
      <c r="H46" s="261">
        <v>2.4991275086698191E-2</v>
      </c>
      <c r="I46" s="261">
        <v>4.495094985730376E-2</v>
      </c>
      <c r="J46" s="256">
        <v>2.0663909133612317</v>
      </c>
      <c r="L46" s="178"/>
      <c r="M46" s="183">
        <v>8</v>
      </c>
      <c r="N46" s="193">
        <v>79.995186090518388</v>
      </c>
      <c r="O46" s="193">
        <v>1.2191141288725459E-2</v>
      </c>
      <c r="P46" s="188">
        <v>2.1517248561478035</v>
      </c>
      <c r="Q46" s="189">
        <v>2.1250265085657277E-2</v>
      </c>
      <c r="R46" s="189">
        <v>3.532721379145843E-2</v>
      </c>
      <c r="S46" s="203">
        <v>2.1267153928579097</v>
      </c>
      <c r="U46" s="178"/>
      <c r="V46" s="183">
        <v>8</v>
      </c>
      <c r="W46" s="189">
        <v>80.034497917037484</v>
      </c>
      <c r="X46" s="189">
        <v>1.2379499576817006E-2</v>
      </c>
      <c r="Y46" s="188">
        <v>2.1356811070939781</v>
      </c>
      <c r="Z46" s="189">
        <v>2.5362848923174041E-2</v>
      </c>
      <c r="AA46" s="189">
        <v>3.5372798865902416E-2</v>
      </c>
      <c r="AB46" s="203">
        <v>2.1254192375250547</v>
      </c>
      <c r="AD46" s="209"/>
      <c r="AE46" s="158">
        <v>8</v>
      </c>
      <c r="AF46" s="162">
        <v>80.109941683104225</v>
      </c>
      <c r="AG46" s="162">
        <v>1.3085140229055166E-2</v>
      </c>
      <c r="AH46" s="159">
        <v>2.247065459453256</v>
      </c>
      <c r="AI46" s="162">
        <v>2.434085228405317E-2</v>
      </c>
      <c r="AJ46" s="162">
        <v>3.5306838250745425E-2</v>
      </c>
      <c r="AK46" s="210">
        <v>2.1273440883020731</v>
      </c>
    </row>
    <row r="47" spans="2:37" ht="15">
      <c r="B47" s="165" t="s">
        <v>310</v>
      </c>
      <c r="C47" s="253"/>
      <c r="D47" s="254">
        <v>9</v>
      </c>
      <c r="E47" s="268">
        <f>0.0900276703106953*1000</f>
        <v>90.027670310695314</v>
      </c>
      <c r="F47" s="268">
        <f>0.0000157461269271074*1000</f>
        <v>1.57461269271074E-2</v>
      </c>
      <c r="G47" s="255">
        <v>2.0694298882468956</v>
      </c>
      <c r="H47" s="261">
        <v>2.7768160546092758E-2</v>
      </c>
      <c r="I47" s="261">
        <v>4.3048324240730663E-2</v>
      </c>
      <c r="J47" s="256">
        <v>2.0634096315816302</v>
      </c>
      <c r="L47" s="178"/>
      <c r="M47" s="183">
        <v>9</v>
      </c>
      <c r="N47" s="193">
        <v>89.995721924159994</v>
      </c>
      <c r="O47" s="193">
        <v>1.3710214169463702E-2</v>
      </c>
      <c r="P47" s="188">
        <v>2.1522063189502747</v>
      </c>
      <c r="Q47" s="189">
        <v>3.3222216712918563E-2</v>
      </c>
      <c r="R47" s="189">
        <v>3.5481823377305426E-2</v>
      </c>
      <c r="S47" s="203">
        <v>2.1234915021042906</v>
      </c>
      <c r="U47" s="178"/>
      <c r="V47" s="183">
        <v>9</v>
      </c>
      <c r="W47" s="189">
        <v>90.03519740397752</v>
      </c>
      <c r="X47" s="189">
        <v>1.3923266569799021E-2</v>
      </c>
      <c r="Y47" s="188">
        <v>2.1359364374481884</v>
      </c>
      <c r="Z47" s="189">
        <v>3.8649701535925257E-2</v>
      </c>
      <c r="AA47" s="189">
        <v>3.5525826975780765E-2</v>
      </c>
      <c r="AB47" s="203">
        <v>2.122260627769518</v>
      </c>
      <c r="AD47" s="209"/>
      <c r="AE47" s="158">
        <v>9</v>
      </c>
      <c r="AF47" s="162">
        <v>90.120946646008619</v>
      </c>
      <c r="AG47" s="162">
        <v>1.471881715333536E-2</v>
      </c>
      <c r="AH47" s="159">
        <v>2.2471679918637188</v>
      </c>
      <c r="AI47" s="162">
        <v>3.7947917355706691E-2</v>
      </c>
      <c r="AJ47" s="162">
        <v>3.5474510160420067E-2</v>
      </c>
      <c r="AK47" s="210">
        <v>2.1237234174391766</v>
      </c>
    </row>
    <row r="48" spans="2:37" ht="15">
      <c r="B48" s="165" t="s">
        <v>38</v>
      </c>
      <c r="C48" s="253"/>
      <c r="D48" s="254" t="s">
        <v>348</v>
      </c>
      <c r="E48" s="268">
        <f>0.100037523144952*1000</f>
        <v>100.037523144952</v>
      </c>
      <c r="F48" s="268">
        <f>0.0000170354935857927*1000</f>
        <v>1.7035493585792701E-2</v>
      </c>
      <c r="G48" s="255">
        <v>2.0770870650467534</v>
      </c>
      <c r="H48" s="261">
        <v>3.9983441799626422E-2</v>
      </c>
      <c r="I48" s="261">
        <v>4.1754374106286428E-2</v>
      </c>
      <c r="J48" s="256">
        <v>2.0626214825518496</v>
      </c>
      <c r="L48" s="178"/>
      <c r="M48" s="183" t="s">
        <v>348</v>
      </c>
      <c r="N48" s="193">
        <v>100.00115806936319</v>
      </c>
      <c r="O48" s="193">
        <v>1.5230505854501588E-2</v>
      </c>
      <c r="P48" s="188">
        <v>2.1525524003221514</v>
      </c>
      <c r="Q48" s="189">
        <v>4.8897101207651415E-2</v>
      </c>
      <c r="R48" s="189">
        <v>3.5678811925941717E-2</v>
      </c>
      <c r="S48" s="203">
        <v>2.1197540302271665</v>
      </c>
      <c r="U48" s="178"/>
      <c r="V48" s="183" t="s">
        <v>348</v>
      </c>
      <c r="W48" s="189">
        <v>100.04569757641474</v>
      </c>
      <c r="X48" s="189">
        <v>1.5468841246457379E-2</v>
      </c>
      <c r="Y48" s="188">
        <v>2.1361198288869407</v>
      </c>
      <c r="Z48" s="189">
        <v>5.4672399042788582E-2</v>
      </c>
      <c r="AA48" s="189">
        <v>3.5719193315832086E-2</v>
      </c>
      <c r="AB48" s="203">
        <v>2.1186497287357486</v>
      </c>
      <c r="AD48" s="209"/>
      <c r="AE48" s="158" t="s">
        <v>348</v>
      </c>
      <c r="AF48" s="162">
        <v>100.14175249488183</v>
      </c>
      <c r="AG48" s="162">
        <v>1.6354141053257699E-2</v>
      </c>
      <c r="AH48" s="159">
        <v>2.2472414688707678</v>
      </c>
      <c r="AI48" s="162">
        <v>5.3322886976548432E-2</v>
      </c>
      <c r="AJ48" s="162">
        <v>3.5678539259417753E-2</v>
      </c>
      <c r="AK48" s="210">
        <v>2.1197785286802198</v>
      </c>
    </row>
    <row r="49" spans="2:37" ht="15">
      <c r="B49" s="165"/>
      <c r="C49" s="253"/>
      <c r="D49" s="262"/>
      <c r="E49" s="262"/>
      <c r="F49" s="262"/>
      <c r="G49" s="263"/>
      <c r="H49" s="263"/>
      <c r="I49" s="269"/>
      <c r="J49" s="264"/>
      <c r="L49" s="178"/>
      <c r="M49" s="185"/>
      <c r="N49" s="185"/>
      <c r="O49" s="185"/>
      <c r="P49" s="198"/>
      <c r="Q49" s="198"/>
      <c r="R49" s="201"/>
      <c r="S49" s="205"/>
      <c r="U49" s="178"/>
      <c r="V49" s="185"/>
      <c r="W49" s="185"/>
      <c r="X49" s="185"/>
      <c r="Y49" s="198"/>
      <c r="Z49" s="198"/>
      <c r="AA49" s="201"/>
      <c r="AB49" s="205"/>
      <c r="AD49" s="209"/>
      <c r="AE49" s="214"/>
      <c r="AF49" s="214"/>
      <c r="AG49" s="214"/>
      <c r="AH49" s="215"/>
      <c r="AI49" s="215"/>
      <c r="AJ49" s="219"/>
      <c r="AK49" s="216"/>
    </row>
    <row r="50" spans="2:37" ht="15">
      <c r="B50" s="165" t="s">
        <v>37</v>
      </c>
      <c r="C50" s="253" t="s">
        <v>351</v>
      </c>
      <c r="D50" s="254">
        <v>1</v>
      </c>
      <c r="E50" s="266">
        <v>0.10003099999999999</v>
      </c>
      <c r="F50" s="268">
        <v>1.7E-5</v>
      </c>
      <c r="G50" s="255">
        <v>2.0770817378838871</v>
      </c>
      <c r="H50" s="261">
        <v>4.2985208026813534E-2</v>
      </c>
      <c r="I50" s="261">
        <v>4.175511477679994E-2</v>
      </c>
      <c r="J50" s="256">
        <v>2.0626215326420176</v>
      </c>
      <c r="L50" s="178" t="s">
        <v>465</v>
      </c>
      <c r="M50" s="183">
        <v>1</v>
      </c>
      <c r="N50" s="191">
        <v>9.9994E-2</v>
      </c>
      <c r="O50" s="193">
        <v>1.7E-5</v>
      </c>
      <c r="P50" s="188">
        <v>2.0748250584861565</v>
      </c>
      <c r="Q50" s="189">
        <v>3.9000340240770738E-2</v>
      </c>
      <c r="R50" s="189">
        <v>4.1758789903761896E-2</v>
      </c>
      <c r="S50" s="203">
        <v>2.062622068688317</v>
      </c>
      <c r="U50" s="178" t="s">
        <v>351</v>
      </c>
      <c r="V50" s="183">
        <v>1</v>
      </c>
      <c r="W50" s="191">
        <v>9.9981E-2</v>
      </c>
      <c r="X50" s="193">
        <v>1.7E-5</v>
      </c>
      <c r="Y50" s="188">
        <v>2.0881915613746327</v>
      </c>
      <c r="Z50" s="189">
        <v>3.9005547899263818E-2</v>
      </c>
      <c r="AA50" s="189">
        <v>4.964963940078021E-2</v>
      </c>
      <c r="AB50" s="203">
        <v>2.0592383811123183</v>
      </c>
      <c r="AD50" s="209" t="s">
        <v>475</v>
      </c>
      <c r="AE50" s="158">
        <v>1</v>
      </c>
      <c r="AF50" s="164">
        <v>0.10003304266786034</v>
      </c>
      <c r="AG50" s="164">
        <v>1.6523113553257367E-5</v>
      </c>
      <c r="AH50" s="159">
        <v>2.2199219251574065</v>
      </c>
      <c r="AI50" s="162">
        <v>4.298456754733454E-2</v>
      </c>
      <c r="AJ50" s="162">
        <v>4.5008724513850844E-2</v>
      </c>
      <c r="AK50" s="210">
        <v>2.0519567509165895</v>
      </c>
    </row>
    <row r="51" spans="2:37" ht="15">
      <c r="B51" s="165" t="s">
        <v>293</v>
      </c>
      <c r="C51" s="253" t="s">
        <v>347</v>
      </c>
      <c r="D51" s="254">
        <v>2</v>
      </c>
      <c r="E51" s="268">
        <v>0.20037507185192513</v>
      </c>
      <c r="F51" s="268">
        <v>3.1238653932896224E-5</v>
      </c>
      <c r="G51" s="255">
        <v>2.1269326330621334</v>
      </c>
      <c r="H51" s="261">
        <v>4.4914020525725795E-2</v>
      </c>
      <c r="I51" s="261">
        <v>4.0858385140654631E-2</v>
      </c>
      <c r="J51" s="256">
        <v>2.0730210554282027</v>
      </c>
      <c r="L51" s="178" t="s">
        <v>347</v>
      </c>
      <c r="M51" s="183">
        <v>2</v>
      </c>
      <c r="N51" s="193">
        <v>0.20036073892723194</v>
      </c>
      <c r="O51" s="193">
        <v>3.1361404034273391E-5</v>
      </c>
      <c r="P51" s="188">
        <v>2.1228758738872657</v>
      </c>
      <c r="Q51" s="189">
        <v>4.1922381425487792E-2</v>
      </c>
      <c r="R51" s="189">
        <v>4.0857698612836058E-2</v>
      </c>
      <c r="S51" s="203">
        <v>2.0730193083715056</v>
      </c>
      <c r="U51" s="178" t="s">
        <v>347</v>
      </c>
      <c r="V51" s="183">
        <v>2</v>
      </c>
      <c r="W51" s="193">
        <v>0.20036301415089477</v>
      </c>
      <c r="X51" s="193">
        <v>3.1501552040748945E-5</v>
      </c>
      <c r="Y51" s="188">
        <v>2.1195708802496487</v>
      </c>
      <c r="Z51" s="189">
        <v>4.6413531470703248E-2</v>
      </c>
      <c r="AA51" s="189">
        <v>4.2708603880885654E-2</v>
      </c>
      <c r="AB51" s="203">
        <v>2.0567623591744084</v>
      </c>
      <c r="AD51" s="209" t="s">
        <v>347</v>
      </c>
      <c r="AE51" s="158">
        <v>2</v>
      </c>
      <c r="AF51" s="164">
        <v>0.20048612330581286</v>
      </c>
      <c r="AG51" s="164">
        <v>3.2817160479577246E-5</v>
      </c>
      <c r="AH51" s="159">
        <v>2.2399697623814343</v>
      </c>
      <c r="AI51" s="162">
        <v>5.1373658150221845E-2</v>
      </c>
      <c r="AJ51" s="162">
        <v>4.1620416647742603E-2</v>
      </c>
      <c r="AK51" s="210">
        <v>2.0646937981207052</v>
      </c>
    </row>
    <row r="52" spans="2:37" ht="15">
      <c r="B52" s="165" t="s">
        <v>294</v>
      </c>
      <c r="C52" s="253"/>
      <c r="D52" s="254">
        <v>3</v>
      </c>
      <c r="E52" s="266">
        <v>0.30040459431522282</v>
      </c>
      <c r="F52" s="266">
        <v>4.6091257672671655E-5</v>
      </c>
      <c r="G52" s="255">
        <v>2.1434358164215848</v>
      </c>
      <c r="H52" s="265">
        <v>3.6615859212464207E-2</v>
      </c>
      <c r="I52" s="265">
        <v>4.6827083328710453E-2</v>
      </c>
      <c r="J52" s="256">
        <v>2.1028545766039777</v>
      </c>
      <c r="L52" s="178"/>
      <c r="M52" s="183">
        <v>3</v>
      </c>
      <c r="N52" s="191">
        <v>0.30035409650063999</v>
      </c>
      <c r="O52" s="191">
        <v>4.6267737733319125E-5</v>
      </c>
      <c r="P52" s="188">
        <v>2.138728726783079</v>
      </c>
      <c r="Q52" s="190">
        <v>3.6621692289708983E-2</v>
      </c>
      <c r="R52" s="190">
        <v>4.6823000195974213E-2</v>
      </c>
      <c r="S52" s="203">
        <v>2.1028320171159476</v>
      </c>
      <c r="U52" s="178"/>
      <c r="V52" s="183">
        <v>3</v>
      </c>
      <c r="W52" s="191">
        <v>0.30034400720162896</v>
      </c>
      <c r="X52" s="191">
        <v>4.6762881447597106E-5</v>
      </c>
      <c r="Y52" s="188">
        <v>2.1286220088372647</v>
      </c>
      <c r="Z52" s="190">
        <v>4.6610985624737193E-2</v>
      </c>
      <c r="AA52" s="190">
        <v>4.7485736700465152E-2</v>
      </c>
      <c r="AB52" s="203">
        <v>2.0928315562884361</v>
      </c>
      <c r="AD52" s="209"/>
      <c r="AE52" s="158">
        <v>3</v>
      </c>
      <c r="AF52" s="217">
        <v>0.30051916597367323</v>
      </c>
      <c r="AG52" s="217">
        <v>4.9113775852261081E-5</v>
      </c>
      <c r="AH52" s="159">
        <v>2.2441161308784237</v>
      </c>
      <c r="AI52" s="213">
        <v>5.0910438880720291E-2</v>
      </c>
      <c r="AJ52" s="213">
        <v>4.7110464922039207E-2</v>
      </c>
      <c r="AK52" s="210">
        <v>2.0984769996259338</v>
      </c>
    </row>
    <row r="53" spans="2:37" ht="15">
      <c r="B53" s="165" t="s">
        <v>295</v>
      </c>
      <c r="C53" s="253"/>
      <c r="D53" s="254">
        <v>4</v>
      </c>
      <c r="E53" s="266">
        <v>0.40072814182930194</v>
      </c>
      <c r="F53" s="266">
        <v>6.1146992371421271E-5</v>
      </c>
      <c r="G53" s="255">
        <v>2.1500932643427624</v>
      </c>
      <c r="H53" s="265">
        <v>3.9925765794095555E-2</v>
      </c>
      <c r="I53" s="265">
        <v>5.5545573571299141E-2</v>
      </c>
      <c r="J53" s="256">
        <v>2.153175703255362</v>
      </c>
      <c r="L53" s="178"/>
      <c r="M53" s="183">
        <v>4</v>
      </c>
      <c r="N53" s="191">
        <v>0.40069747632844793</v>
      </c>
      <c r="O53" s="191">
        <v>6.1385816871732036E-5</v>
      </c>
      <c r="P53" s="188">
        <v>2.145120318657233</v>
      </c>
      <c r="Q53" s="190">
        <v>4.666639825470853E-2</v>
      </c>
      <c r="R53" s="190">
        <v>5.5542226682316995E-2</v>
      </c>
      <c r="S53" s="203">
        <v>2.1531572566218093</v>
      </c>
      <c r="U53" s="178"/>
      <c r="V53" s="183">
        <v>4</v>
      </c>
      <c r="W53" s="191">
        <v>0.40071702767225126</v>
      </c>
      <c r="X53" s="191">
        <v>6.2180830702092404E-5</v>
      </c>
      <c r="Y53" s="188">
        <v>2.1321321616363855</v>
      </c>
      <c r="Z53" s="190">
        <v>5.8642069275098962E-2</v>
      </c>
      <c r="AA53" s="190">
        <v>5.5824254183319814E-2</v>
      </c>
      <c r="AB53" s="203">
        <v>2.1468540544182182</v>
      </c>
      <c r="AD53" s="209"/>
      <c r="AE53" s="158">
        <v>4</v>
      </c>
      <c r="AF53" s="217">
        <v>0.40096624606919584</v>
      </c>
      <c r="AG53" s="217">
        <v>6.5493314469221406E-5</v>
      </c>
      <c r="AH53" s="159">
        <v>2.2456106329535284</v>
      </c>
      <c r="AI53" s="213">
        <v>6.0601872587986751E-2</v>
      </c>
      <c r="AJ53" s="213">
        <v>5.5685362864611371E-2</v>
      </c>
      <c r="AK53" s="210">
        <v>2.1506170344361513</v>
      </c>
    </row>
    <row r="54" spans="2:37" ht="15">
      <c r="B54" s="165" t="s">
        <v>296</v>
      </c>
      <c r="C54" s="253"/>
      <c r="D54" s="254">
        <v>5</v>
      </c>
      <c r="E54" s="266">
        <v>0.50054964656959788</v>
      </c>
      <c r="F54" s="266">
        <v>7.6187535650553936E-5</v>
      </c>
      <c r="G54" s="255">
        <v>2.1533310058635422</v>
      </c>
      <c r="H54" s="265">
        <v>5.9931784666970161E-2</v>
      </c>
      <c r="I54" s="265">
        <v>6.571783697146949E-2</v>
      </c>
      <c r="J54" s="256">
        <v>2.2059037396122703</v>
      </c>
      <c r="L54" s="178"/>
      <c r="M54" s="183">
        <v>5</v>
      </c>
      <c r="N54" s="191">
        <v>0.50049182124863989</v>
      </c>
      <c r="O54" s="191">
        <v>7.6481528147475883E-5</v>
      </c>
      <c r="P54" s="188">
        <v>2.1482255550439282</v>
      </c>
      <c r="Q54" s="190">
        <v>6.7330555823926094E-2</v>
      </c>
      <c r="R54" s="190">
        <v>6.5711070559812845E-2</v>
      </c>
      <c r="S54" s="203">
        <v>2.2058720617548113</v>
      </c>
      <c r="U54" s="178"/>
      <c r="V54" s="183">
        <v>5</v>
      </c>
      <c r="W54" s="191">
        <v>0.50055101044052752</v>
      </c>
      <c r="X54" s="191">
        <v>7.7552900905977036E-5</v>
      </c>
      <c r="Y54" s="188">
        <v>2.1338102808419137</v>
      </c>
      <c r="Z54" s="190">
        <v>7.5912706566760538E-2</v>
      </c>
      <c r="AA54" s="190">
        <v>6.5847801049193605E-2</v>
      </c>
      <c r="AB54" s="203">
        <v>2.2018274614459363</v>
      </c>
      <c r="AD54" s="209"/>
      <c r="AE54" s="158">
        <v>5</v>
      </c>
      <c r="AF54" s="217">
        <v>0.50087127716521862</v>
      </c>
      <c r="AG54" s="217">
        <v>8.1790376113661525E-5</v>
      </c>
      <c r="AH54" s="159">
        <v>2.2463052005324595</v>
      </c>
      <c r="AI54" s="213">
        <v>7.9658908848047286E-2</v>
      </c>
      <c r="AJ54" s="213">
        <v>6.5806972459635751E-2</v>
      </c>
      <c r="AK54" s="210">
        <v>2.2043537030312321</v>
      </c>
    </row>
    <row r="55" spans="2:37" ht="15">
      <c r="B55" s="165" t="s">
        <v>297</v>
      </c>
      <c r="C55" s="253"/>
      <c r="D55" s="254">
        <v>6</v>
      </c>
      <c r="E55" s="266">
        <v>0.60058216928851582</v>
      </c>
      <c r="F55" s="266">
        <v>9.1289142239347429E-5</v>
      </c>
      <c r="G55" s="255">
        <v>2.1551435485835611</v>
      </c>
      <c r="H55" s="265">
        <v>6.3269481755081569E-2</v>
      </c>
      <c r="I55" s="265">
        <v>7.6759982213294498E-2</v>
      </c>
      <c r="J55" s="256">
        <v>2.2523973306357106</v>
      </c>
      <c r="L55" s="178"/>
      <c r="M55" s="183">
        <v>6</v>
      </c>
      <c r="N55" s="191">
        <v>0.60048817901279983</v>
      </c>
      <c r="O55" s="191">
        <v>9.1637203091624237E-5</v>
      </c>
      <c r="P55" s="188">
        <v>2.149963531592102</v>
      </c>
      <c r="Q55" s="190">
        <v>5.9948362112941196E-2</v>
      </c>
      <c r="R55" s="190">
        <v>7.6748575782188674E-2</v>
      </c>
      <c r="S55" s="203">
        <v>2.2523548730583465</v>
      </c>
      <c r="U55" s="178"/>
      <c r="V55" s="183">
        <v>6</v>
      </c>
      <c r="W55" s="191">
        <v>0.60053400363115905</v>
      </c>
      <c r="X55" s="191">
        <v>9.2966006534334492E-5</v>
      </c>
      <c r="Y55" s="188">
        <v>2.1347414971028522</v>
      </c>
      <c r="Z55" s="190">
        <v>7.3597639909248891E-2</v>
      </c>
      <c r="AA55" s="190">
        <v>7.6817955336991706E-2</v>
      </c>
      <c r="AB55" s="203">
        <v>2.2497114802931764</v>
      </c>
      <c r="AD55" s="209"/>
      <c r="AE55" s="158">
        <v>6</v>
      </c>
      <c r="AF55" s="217">
        <v>0.60090632001388888</v>
      </c>
      <c r="AG55" s="217">
        <v>9.8111549728830907E-5</v>
      </c>
      <c r="AH55" s="159">
        <v>2.2466852879319732</v>
      </c>
      <c r="AI55" s="213">
        <v>8.4869372159008666E-2</v>
      </c>
      <c r="AJ55" s="213">
        <v>7.6823544922404854E-2</v>
      </c>
      <c r="AK55" s="210">
        <v>2.2514203288788881</v>
      </c>
    </row>
    <row r="56" spans="2:37" ht="15">
      <c r="B56" s="165" t="s">
        <v>298</v>
      </c>
      <c r="C56" s="253"/>
      <c r="D56" s="254">
        <v>7</v>
      </c>
      <c r="E56" s="266">
        <v>0.70092771867714321</v>
      </c>
      <c r="F56" s="266">
        <v>1.0645456504459038E-4</v>
      </c>
      <c r="G56" s="255">
        <v>2.1562563056847068</v>
      </c>
      <c r="H56" s="265">
        <v>6.8478007837849603E-2</v>
      </c>
      <c r="I56" s="265">
        <v>8.8329366338780038E-2</v>
      </c>
      <c r="J56" s="256">
        <v>2.2906012012420303</v>
      </c>
      <c r="L56" s="178"/>
      <c r="M56" s="183">
        <v>7</v>
      </c>
      <c r="N56" s="191">
        <v>0.70085256017587194</v>
      </c>
      <c r="O56" s="191">
        <v>1.0686532416049055E-4</v>
      </c>
      <c r="P56" s="188">
        <v>2.1510309343226361</v>
      </c>
      <c r="Q56" s="190">
        <v>7.2765043887693961E-2</v>
      </c>
      <c r="R56" s="190">
        <v>8.8319639208848125E-2</v>
      </c>
      <c r="S56" s="203">
        <v>2.2905730193669731</v>
      </c>
      <c r="U56" s="178"/>
      <c r="V56" s="183">
        <v>7</v>
      </c>
      <c r="W56" s="191">
        <v>0.70091602473131964</v>
      </c>
      <c r="X56" s="191">
        <v>1.08450924756122E-4</v>
      </c>
      <c r="Y56" s="188">
        <v>2.1353110008369667</v>
      </c>
      <c r="Z56" s="190">
        <v>8.930742462444978E-2</v>
      </c>
      <c r="AA56" s="190">
        <v>8.8359179238795771E-2</v>
      </c>
      <c r="AB56" s="203">
        <v>2.2888247330944775</v>
      </c>
      <c r="AD56" s="209"/>
      <c r="AE56" s="158">
        <v>7</v>
      </c>
      <c r="AF56" s="217">
        <v>0.70135840056143639</v>
      </c>
      <c r="AG56" s="217">
        <v>1.1450242122532048E-4</v>
      </c>
      <c r="AH56" s="159">
        <v>2.2469159755051362</v>
      </c>
      <c r="AI56" s="213">
        <v>0.10122922934404441</v>
      </c>
      <c r="AJ56" s="213">
        <v>8.8392756853344315E-2</v>
      </c>
      <c r="AK56" s="210">
        <v>2.2900080358123072</v>
      </c>
    </row>
    <row r="57" spans="2:37" ht="15">
      <c r="B57" s="165" t="s">
        <v>299</v>
      </c>
      <c r="C57" s="253"/>
      <c r="D57" s="254">
        <v>8</v>
      </c>
      <c r="E57" s="266">
        <v>0.80096124148126779</v>
      </c>
      <c r="F57" s="266">
        <v>1.2158304421041887E-4</v>
      </c>
      <c r="G57" s="255">
        <v>2.1569828611290816</v>
      </c>
      <c r="H57" s="265">
        <v>7.9900884633025013E-2</v>
      </c>
      <c r="I57" s="265">
        <v>0.10015367101838422</v>
      </c>
      <c r="J57" s="256">
        <v>2.3209777469333113</v>
      </c>
      <c r="L57" s="178"/>
      <c r="M57" s="183">
        <v>8</v>
      </c>
      <c r="N57" s="191">
        <v>0.80084691781286377</v>
      </c>
      <c r="O57" s="191">
        <v>1.2204758321001932E-4</v>
      </c>
      <c r="P57" s="188">
        <v>2.1517273938296646</v>
      </c>
      <c r="Q57" s="190">
        <v>8.6529264018710667E-2</v>
      </c>
      <c r="R57" s="190">
        <v>0.10013893684074038</v>
      </c>
      <c r="S57" s="203">
        <v>2.3209444621717079</v>
      </c>
      <c r="U57" s="178"/>
      <c r="V57" s="183">
        <v>8</v>
      </c>
      <c r="W57" s="191">
        <v>0.80089801785200243</v>
      </c>
      <c r="X57" s="191">
        <v>1.2388050386468005E-4</v>
      </c>
      <c r="Y57" s="188">
        <v>2.1356814227206393</v>
      </c>
      <c r="Z57" s="190">
        <v>0.10712461909463043</v>
      </c>
      <c r="AA57" s="190">
        <v>0.10016038208211114</v>
      </c>
      <c r="AB57" s="203">
        <v>2.3197534795829307</v>
      </c>
      <c r="AD57" s="209"/>
      <c r="AE57" s="158">
        <v>8</v>
      </c>
      <c r="AF57" s="217">
        <v>0.80139044313889174</v>
      </c>
      <c r="AG57" s="217">
        <v>1.3082577992798233E-4</v>
      </c>
      <c r="AH57" s="159">
        <v>2.247065267517784</v>
      </c>
      <c r="AI57" s="213">
        <v>0.12078660743794493</v>
      </c>
      <c r="AJ57" s="213">
        <v>0.100210326172854</v>
      </c>
      <c r="AK57" s="210">
        <v>2.3205899524237905</v>
      </c>
    </row>
    <row r="58" spans="2:37" ht="15">
      <c r="B58" s="165" t="s">
        <v>300</v>
      </c>
      <c r="C58" s="253"/>
      <c r="D58" s="254">
        <v>9</v>
      </c>
      <c r="E58" s="266">
        <v>0.90128878933617396</v>
      </c>
      <c r="F58" s="266">
        <v>1.3676277026527161E-4</v>
      </c>
      <c r="G58" s="255">
        <v>2.157485524024942</v>
      </c>
      <c r="H58" s="265">
        <v>9.2086769561798718E-2</v>
      </c>
      <c r="I58" s="265">
        <v>0.11219055951899275</v>
      </c>
      <c r="J58" s="256">
        <v>2.3451201811585758</v>
      </c>
      <c r="L58" s="178"/>
      <c r="M58" s="183">
        <v>9</v>
      </c>
      <c r="N58" s="191">
        <v>0.90119029764067182</v>
      </c>
      <c r="O58" s="191">
        <v>1.3728966602063179E-4</v>
      </c>
      <c r="P58" s="188">
        <v>2.1522094729995271</v>
      </c>
      <c r="Q58" s="190">
        <v>0.10796316720754819</v>
      </c>
      <c r="R58" s="190">
        <v>0.11217740887581792</v>
      </c>
      <c r="S58" s="203">
        <v>2.3450969050842083</v>
      </c>
      <c r="U58" s="178"/>
      <c r="V58" s="183">
        <v>9</v>
      </c>
      <c r="W58" s="191">
        <v>0.90127603867236827</v>
      </c>
      <c r="X58" s="191">
        <v>1.3937544170995224E-4</v>
      </c>
      <c r="Y58" s="188">
        <v>2.135937453211747</v>
      </c>
      <c r="Z58" s="190">
        <v>0.13058637294648312</v>
      </c>
      <c r="AA58" s="190">
        <v>0.11219349638795914</v>
      </c>
      <c r="AB58" s="203">
        <v>2.3442769087962412</v>
      </c>
      <c r="AD58" s="209"/>
      <c r="AE58" s="158">
        <v>9</v>
      </c>
      <c r="AF58" s="217">
        <v>0.90183952341522433</v>
      </c>
      <c r="AG58" s="217">
        <v>1.4721787496358246E-4</v>
      </c>
      <c r="AH58" s="159">
        <v>2.2471681472721836</v>
      </c>
      <c r="AI58" s="213">
        <v>0.1437021685889209</v>
      </c>
      <c r="AJ58" s="213">
        <v>0.11225790368679989</v>
      </c>
      <c r="AK58" s="210">
        <v>2.344887158983072</v>
      </c>
    </row>
    <row r="59" spans="2:37" ht="15.75" thickBot="1">
      <c r="B59" s="165" t="s">
        <v>301</v>
      </c>
      <c r="C59" s="270"/>
      <c r="D59" s="271" t="s">
        <v>348</v>
      </c>
      <c r="E59" s="272">
        <v>1.0013283126515391</v>
      </c>
      <c r="F59" s="272">
        <v>1.5190362882188367E-4</v>
      </c>
      <c r="G59" s="273">
        <v>2.1578455504837137</v>
      </c>
      <c r="H59" s="274">
        <v>0.11384434692036066</v>
      </c>
      <c r="I59" s="274">
        <v>0.12430431983570873</v>
      </c>
      <c r="J59" s="275">
        <v>2.364251541970221</v>
      </c>
      <c r="L59" s="180"/>
      <c r="M59" s="186" t="s">
        <v>348</v>
      </c>
      <c r="N59" s="194">
        <v>1.0011856553412477</v>
      </c>
      <c r="O59" s="194">
        <v>1.5248362971967831E-4</v>
      </c>
      <c r="P59" s="195">
        <v>2.1525545342860664</v>
      </c>
      <c r="Q59" s="199">
        <v>0.12884108557871138</v>
      </c>
      <c r="R59" s="199">
        <v>0.12428555154041994</v>
      </c>
      <c r="S59" s="206">
        <v>2.3642252197495988</v>
      </c>
      <c r="U59" s="180"/>
      <c r="V59" s="186" t="s">
        <v>348</v>
      </c>
      <c r="W59" s="194">
        <v>1.001262032072846</v>
      </c>
      <c r="X59" s="194">
        <v>1.548128134566968E-4</v>
      </c>
      <c r="Y59" s="195">
        <v>2.1361203853598805</v>
      </c>
      <c r="Z59" s="199">
        <v>0.14900481301560467</v>
      </c>
      <c r="AA59" s="199">
        <v>0.1242946225562078</v>
      </c>
      <c r="AB59" s="206">
        <v>2.3636405373471909</v>
      </c>
      <c r="AD59" s="220"/>
      <c r="AE59" s="221" t="s">
        <v>348</v>
      </c>
      <c r="AF59" s="222">
        <v>1.0018745662638946</v>
      </c>
      <c r="AG59" s="222">
        <v>1.6354287945929757E-4</v>
      </c>
      <c r="AH59" s="223">
        <v>2.2472414737401567</v>
      </c>
      <c r="AI59" s="224">
        <v>0.16518561760486383</v>
      </c>
      <c r="AJ59" s="224">
        <v>0.12436855487700561</v>
      </c>
      <c r="AK59" s="225">
        <v>2.3640942300062178</v>
      </c>
    </row>
    <row r="60" spans="2:37" ht="16.5" thickTop="1" thickBot="1">
      <c r="B60" s="165"/>
      <c r="C60" s="2"/>
      <c r="D60" s="15"/>
      <c r="E60" s="15"/>
      <c r="F60" s="15"/>
      <c r="G60" s="15"/>
      <c r="H60" s="15"/>
      <c r="I60" s="15"/>
      <c r="J60" s="15"/>
      <c r="L60" s="181"/>
      <c r="M60" s="187"/>
      <c r="N60" s="187"/>
      <c r="O60" s="187"/>
      <c r="P60" s="187"/>
      <c r="Q60" s="187"/>
      <c r="R60" s="187"/>
      <c r="S60" s="187"/>
      <c r="U60" s="181"/>
      <c r="V60" s="187"/>
      <c r="W60" s="187"/>
      <c r="X60" s="187"/>
      <c r="Y60" s="187"/>
      <c r="Z60" s="187"/>
      <c r="AA60" s="187"/>
      <c r="AB60" s="187"/>
      <c r="AD60" s="226"/>
      <c r="AE60" s="227"/>
      <c r="AF60" s="227"/>
      <c r="AG60" s="227"/>
      <c r="AH60" s="227"/>
      <c r="AI60" s="227"/>
      <c r="AJ60" s="227"/>
      <c r="AK60" s="227"/>
    </row>
    <row r="61" spans="2:37" ht="15.75" thickTop="1">
      <c r="B61" s="165"/>
      <c r="C61" s="249" t="s">
        <v>341</v>
      </c>
      <c r="D61" s="250" t="s">
        <v>342</v>
      </c>
      <c r="E61" s="250" t="s">
        <v>34</v>
      </c>
      <c r="F61" s="250" t="s">
        <v>129</v>
      </c>
      <c r="G61" s="251" t="s">
        <v>17</v>
      </c>
      <c r="H61" s="250" t="s">
        <v>107</v>
      </c>
      <c r="I61" s="250" t="s">
        <v>129</v>
      </c>
      <c r="J61" s="252" t="s">
        <v>17</v>
      </c>
      <c r="L61" s="177" t="s">
        <v>341</v>
      </c>
      <c r="M61" s="182" t="s">
        <v>342</v>
      </c>
      <c r="N61" s="182" t="s">
        <v>34</v>
      </c>
      <c r="O61" s="182" t="s">
        <v>129</v>
      </c>
      <c r="P61" s="196" t="s">
        <v>17</v>
      </c>
      <c r="Q61" s="182" t="s">
        <v>107</v>
      </c>
      <c r="R61" s="182" t="s">
        <v>129</v>
      </c>
      <c r="S61" s="202" t="s">
        <v>17</v>
      </c>
      <c r="U61" s="177" t="s">
        <v>341</v>
      </c>
      <c r="V61" s="182" t="s">
        <v>342</v>
      </c>
      <c r="W61" s="182" t="s">
        <v>34</v>
      </c>
      <c r="X61" s="182" t="s">
        <v>129</v>
      </c>
      <c r="Y61" s="196" t="s">
        <v>17</v>
      </c>
      <c r="Z61" s="182" t="s">
        <v>107</v>
      </c>
      <c r="AA61" s="182" t="s">
        <v>129</v>
      </c>
      <c r="AB61" s="202" t="s">
        <v>17</v>
      </c>
      <c r="AD61" s="207" t="s">
        <v>341</v>
      </c>
      <c r="AE61" s="208" t="s">
        <v>342</v>
      </c>
      <c r="AF61" s="208" t="s">
        <v>34</v>
      </c>
      <c r="AG61" s="208" t="s">
        <v>129</v>
      </c>
      <c r="AH61" s="235" t="s">
        <v>17</v>
      </c>
      <c r="AI61" s="208" t="s">
        <v>107</v>
      </c>
      <c r="AJ61" s="208" t="s">
        <v>129</v>
      </c>
      <c r="AK61" s="236" t="s">
        <v>17</v>
      </c>
    </row>
    <row r="62" spans="2:37" ht="15">
      <c r="B62" s="165"/>
      <c r="C62" s="253"/>
      <c r="D62" s="254"/>
      <c r="E62" s="254"/>
      <c r="F62" s="254" t="s">
        <v>130</v>
      </c>
      <c r="G62" s="255"/>
      <c r="H62" s="254"/>
      <c r="I62" s="254" t="s">
        <v>130</v>
      </c>
      <c r="J62" s="256"/>
      <c r="L62" s="178"/>
      <c r="M62" s="183"/>
      <c r="N62" s="183"/>
      <c r="O62" s="183" t="s">
        <v>130</v>
      </c>
      <c r="P62" s="188"/>
      <c r="Q62" s="183"/>
      <c r="R62" s="183" t="s">
        <v>130</v>
      </c>
      <c r="S62" s="203"/>
      <c r="U62" s="178"/>
      <c r="V62" s="183"/>
      <c r="W62" s="183"/>
      <c r="X62" s="183" t="s">
        <v>130</v>
      </c>
      <c r="Y62" s="188"/>
      <c r="Z62" s="183"/>
      <c r="AA62" s="183" t="s">
        <v>130</v>
      </c>
      <c r="AB62" s="203"/>
      <c r="AD62" s="209"/>
      <c r="AE62" s="158"/>
      <c r="AF62" s="158"/>
      <c r="AG62" s="158" t="s">
        <v>130</v>
      </c>
      <c r="AH62" s="159"/>
      <c r="AI62" s="158"/>
      <c r="AJ62" s="158" t="s">
        <v>130</v>
      </c>
      <c r="AK62" s="210"/>
    </row>
    <row r="63" spans="2:37" ht="15">
      <c r="B63" s="165"/>
      <c r="C63" s="257"/>
      <c r="D63" s="258"/>
      <c r="E63" s="258"/>
      <c r="F63" s="258"/>
      <c r="G63" s="259"/>
      <c r="H63" s="258" t="s">
        <v>133</v>
      </c>
      <c r="I63" s="258" t="s">
        <v>133</v>
      </c>
      <c r="J63" s="260"/>
      <c r="L63" s="179"/>
      <c r="M63" s="184"/>
      <c r="N63" s="184"/>
      <c r="O63" s="184"/>
      <c r="P63" s="197"/>
      <c r="Q63" s="184" t="s">
        <v>133</v>
      </c>
      <c r="R63" s="184" t="s">
        <v>133</v>
      </c>
      <c r="S63" s="204"/>
      <c r="U63" s="179"/>
      <c r="V63" s="184"/>
      <c r="W63" s="184"/>
      <c r="X63" s="184"/>
      <c r="Y63" s="197"/>
      <c r="Z63" s="184" t="s">
        <v>133</v>
      </c>
      <c r="AA63" s="184" t="s">
        <v>133</v>
      </c>
      <c r="AB63" s="204"/>
      <c r="AD63" s="211"/>
      <c r="AE63" s="160"/>
      <c r="AF63" s="160"/>
      <c r="AG63" s="160"/>
      <c r="AH63" s="161"/>
      <c r="AI63" s="160" t="s">
        <v>133</v>
      </c>
      <c r="AJ63" s="160" t="s">
        <v>133</v>
      </c>
      <c r="AK63" s="212"/>
    </row>
    <row r="64" spans="2:37" ht="15.75" thickBot="1">
      <c r="B64" s="165" t="s">
        <v>328</v>
      </c>
      <c r="C64" s="270" t="s">
        <v>352</v>
      </c>
      <c r="D64" s="271">
        <v>0</v>
      </c>
      <c r="E64" s="273">
        <v>49.4</v>
      </c>
      <c r="F64" s="273">
        <v>1.5</v>
      </c>
      <c r="G64" s="273">
        <v>2.4695700710407475</v>
      </c>
      <c r="H64" s="276">
        <v>0</v>
      </c>
      <c r="I64" s="276">
        <v>3.4666240277923185E-2</v>
      </c>
      <c r="J64" s="275">
        <v>2.145342961322775</v>
      </c>
      <c r="L64" s="180" t="s">
        <v>352</v>
      </c>
      <c r="M64" s="186">
        <v>0</v>
      </c>
      <c r="N64" s="195">
        <v>49.1</v>
      </c>
      <c r="O64" s="195">
        <v>1.5</v>
      </c>
      <c r="P64" s="195">
        <v>2.4695699542836897</v>
      </c>
      <c r="Q64" s="200">
        <v>0</v>
      </c>
      <c r="R64" s="200">
        <v>3.4668874520247077E-2</v>
      </c>
      <c r="S64" s="206">
        <v>2.1452521305125649</v>
      </c>
      <c r="U64" s="180" t="s">
        <v>352</v>
      </c>
      <c r="V64" s="186">
        <v>0</v>
      </c>
      <c r="W64" s="195">
        <v>49.1</v>
      </c>
      <c r="X64" s="195">
        <v>1.5</v>
      </c>
      <c r="Y64" s="195">
        <v>2.4695681121572051</v>
      </c>
      <c r="Z64" s="200">
        <v>3.2825258952639946</v>
      </c>
      <c r="AA64" s="200">
        <v>3.5595672470394212E-2</v>
      </c>
      <c r="AB64" s="206">
        <v>2.1351602087183434</v>
      </c>
      <c r="AD64" s="220" t="s">
        <v>352</v>
      </c>
      <c r="AE64" s="221">
        <v>0</v>
      </c>
      <c r="AF64" s="223">
        <v>48.994562896053388</v>
      </c>
      <c r="AG64" s="223">
        <v>1.4817669033609313</v>
      </c>
      <c r="AH64" s="223">
        <v>2.4695576836117428</v>
      </c>
      <c r="AI64" s="224">
        <v>2.9562002114135382</v>
      </c>
      <c r="AJ64" s="224">
        <v>6.9553506198457613E-2</v>
      </c>
      <c r="AK64" s="225">
        <v>2.0987767400473811</v>
      </c>
    </row>
    <row r="65" spans="2:6" ht="13.5" thickTop="1"/>
    <row r="70" spans="2:6">
      <c r="B70" s="277" t="s">
        <v>301</v>
      </c>
    </row>
    <row r="71" spans="2:6">
      <c r="C71" t="s">
        <v>0</v>
      </c>
      <c r="D71" t="s">
        <v>152</v>
      </c>
      <c r="E71" t="s">
        <v>478</v>
      </c>
      <c r="F71" t="s">
        <v>479</v>
      </c>
    </row>
    <row r="72" spans="2:6">
      <c r="B72" s="1">
        <f>C2</f>
        <v>36426</v>
      </c>
      <c r="C72">
        <f>VLOOKUP($B$70,Reports,4,FALSE)</f>
        <v>1.0013283126515391</v>
      </c>
      <c r="D72">
        <f>VLOOKUP($B$70,Reports,5,FALSE)</f>
        <v>1.5190362882188367E-4</v>
      </c>
      <c r="E72">
        <f>VLOOKUP($B$70,Reports,7,FALSE)</f>
        <v>0.11384434692036066</v>
      </c>
      <c r="F72">
        <f>VLOOKUP($B$70,Reports,8,FALSE)</f>
        <v>0.12430431983570873</v>
      </c>
    </row>
    <row r="73" spans="2:6">
      <c r="B73" s="1">
        <f>L2</f>
        <v>38240</v>
      </c>
      <c r="C73">
        <f>VLOOKUP($B$70,Reports,13,FALSE)</f>
        <v>1.0011856553412477</v>
      </c>
      <c r="D73">
        <f>VLOOKUP($B$70,Reports,14,FALSE)</f>
        <v>1.5248362971967831E-4</v>
      </c>
      <c r="E73">
        <f>VLOOKUP($B$70,Reports,16,FALSE)</f>
        <v>0.12884108557871138</v>
      </c>
      <c r="F73">
        <f>VLOOKUP($B$70,Reports,17,FALSE)</f>
        <v>0.12428555154041994</v>
      </c>
    </row>
    <row r="74" spans="2:6">
      <c r="B74" s="1">
        <f>U2</f>
        <v>40148</v>
      </c>
      <c r="C74">
        <f>VLOOKUP($B$70,Reports,22,FALSE)</f>
        <v>1.001262032072846</v>
      </c>
      <c r="D74">
        <f>VLOOKUP($B$70,Reports,23,FALSE)</f>
        <v>1.548128134566968E-4</v>
      </c>
      <c r="E74">
        <f>VLOOKUP($B$70,Reports,25,FALSE)</f>
        <v>0.14900481301560467</v>
      </c>
      <c r="F74">
        <f>VLOOKUP($B$70,Reports,26,FALSE)</f>
        <v>0.1242946225562078</v>
      </c>
    </row>
    <row r="75" spans="2:6">
      <c r="B75" s="1">
        <f>AD2</f>
        <v>42124</v>
      </c>
      <c r="C75">
        <f>VLOOKUP($B$70,Reports,31,FALSE)</f>
        <v>1.0018745662638946</v>
      </c>
      <c r="D75">
        <f>VLOOKUP($B$70,Reports,32,FALSE)</f>
        <v>1.6354287945929757E-4</v>
      </c>
      <c r="E75">
        <f>VLOOKUP($B$70,Reports,34,FALSE)</f>
        <v>0.16518561760486383</v>
      </c>
      <c r="F75">
        <f>VLOOKUP($B$70,Reports,35,FALSE)</f>
        <v>0.12436855487700561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43</vt:i4>
      </vt:variant>
    </vt:vector>
  </HeadingPairs>
  <TitlesOfParts>
    <vt:vector size="58" baseType="lpstr">
      <vt:lpstr>Commentary</vt:lpstr>
      <vt:lpstr>pyUBreadings</vt:lpstr>
      <vt:lpstr>pyUBresults</vt:lpstr>
      <vt:lpstr>py4284readings</vt:lpstr>
      <vt:lpstr>pyReport</vt:lpstr>
      <vt:lpstr>excelResults</vt:lpstr>
      <vt:lpstr>Universal Bridge</vt:lpstr>
      <vt:lpstr>Uncertainty</vt:lpstr>
      <vt:lpstr>LReport</vt:lpstr>
      <vt:lpstr>LHistory</vt:lpstr>
      <vt:lpstr>RoomLogger</vt:lpstr>
      <vt:lpstr>Report</vt:lpstr>
      <vt:lpstr>AH2700Results</vt:lpstr>
      <vt:lpstr>Range7</vt:lpstr>
      <vt:lpstr>GRhistory</vt:lpstr>
      <vt:lpstr>alpha</vt:lpstr>
      <vt:lpstr>Andeen</vt:lpstr>
      <vt:lpstr>beta</vt:lpstr>
      <vt:lpstr>C_1</vt:lpstr>
      <vt:lpstr>C_standard_uncertainty</vt:lpstr>
      <vt:lpstr>C_unit_mult</vt:lpstr>
      <vt:lpstr>correction_c</vt:lpstr>
      <vt:lpstr>corrections</vt:lpstr>
      <vt:lpstr>Data</vt:lpstr>
      <vt:lpstr>Date</vt:lpstr>
      <vt:lpstr>frequency</vt:lpstr>
      <vt:lpstr>G_1</vt:lpstr>
      <vt:lpstr>G_2</vt:lpstr>
      <vt:lpstr>G_standard_uncertainty</vt:lpstr>
      <vt:lpstr>G_unit_mult</vt:lpstr>
      <vt:lpstr>Inductance</vt:lpstr>
      <vt:lpstr>L_standard_uncertainty</vt:lpstr>
      <vt:lpstr>L_v</vt:lpstr>
      <vt:lpstr>label</vt:lpstr>
      <vt:lpstr>multiplier</vt:lpstr>
      <vt:lpstr>Nominal_Value</vt:lpstr>
      <vt:lpstr>NominalValue</vt:lpstr>
      <vt:lpstr>Old_date</vt:lpstr>
      <vt:lpstr>Old_Inductance</vt:lpstr>
      <vt:lpstr>Old_Resistance</vt:lpstr>
      <vt:lpstr>Params</vt:lpstr>
      <vt:lpstr>Report!Print_Area</vt:lpstr>
      <vt:lpstr>Uncertainty!Print_Area</vt:lpstr>
      <vt:lpstr>pyvalues</vt:lpstr>
      <vt:lpstr>R_4A</vt:lpstr>
      <vt:lpstr>R_4B</vt:lpstr>
      <vt:lpstr>R_4C</vt:lpstr>
      <vt:lpstr>R_standard_uncertainty</vt:lpstr>
      <vt:lpstr>R_v</vt:lpstr>
      <vt:lpstr>Range</vt:lpstr>
      <vt:lpstr>Rangex</vt:lpstr>
      <vt:lpstr>Record</vt:lpstr>
      <vt:lpstr>Reports</vt:lpstr>
      <vt:lpstr>Resistance</vt:lpstr>
      <vt:lpstr>Results</vt:lpstr>
      <vt:lpstr>ub_uncertainty</vt:lpstr>
      <vt:lpstr>Uncertainty</vt:lpstr>
      <vt:lpstr>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2017-05-30T01:29:38Z</cp:lastPrinted>
  <dcterms:created xsi:type="dcterms:W3CDTF">1999-09-28T04:51:25Z</dcterms:created>
  <dcterms:modified xsi:type="dcterms:W3CDTF">2023-10-12T23:51:04Z</dcterms:modified>
</cp:coreProperties>
</file>