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928ed5740df2fdd/Documents/AccessEngineering/Natural Convection Coefficients/Final Files_New/"/>
    </mc:Choice>
  </mc:AlternateContent>
  <xr:revisionPtr revIDLastSave="0" documentId="8_{8472ABAE-D45A-4F4B-8390-B9D4F1D96E9E}" xr6:coauthVersionLast="43" xr6:coauthVersionMax="43" xr10:uidLastSave="{00000000-0000-0000-0000-000000000000}"/>
  <bookViews>
    <workbookView xWindow="-120" yWindow="-120" windowWidth="20730" windowHeight="11160" tabRatio="879" xr2:uid="{00000000-000D-0000-FFFF-FFFF00000000}"/>
  </bookViews>
  <sheets>
    <sheet name="1. Contents" sheetId="4" r:id="rId1"/>
    <sheet name="2. Fluid Properties" sheetId="1" r:id="rId2"/>
    <sheet name="3. Vertical Plane or Cylinder" sheetId="2" r:id="rId3"/>
    <sheet name="4. Horiz Plane" sheetId="13816" r:id="rId4"/>
    <sheet name="5. Horiz Cylinder" sheetId="33644" r:id="rId5"/>
  </sheets>
  <definedNames>
    <definedName name="_xlnm._FilterDatabase" localSheetId="1" hidden="1">'2. Fluid Properties'!#REF!</definedName>
    <definedName name="Density">'2. Fluid Properties'!$D$29</definedName>
    <definedName name="FilmTemp">'2. Fluid Properties'!$D$17</definedName>
    <definedName name="FluidTemp">'2. Fluid Properties'!$D$9</definedName>
    <definedName name="SpecHeat">'2. Fluid Properties'!$D$61</definedName>
    <definedName name="SurfTemp">'2. Fluid Properties'!$D$8</definedName>
    <definedName name="ThermCond">'2. Fluid Properties'!$D$78</definedName>
    <definedName name="ThExpCoeff">'2. Fluid Properties'!$D$94</definedName>
    <definedName name="Viscosity">'2. Fluid Properties'!$D$44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3816" l="1"/>
  <c r="K10" i="1"/>
  <c r="D16" i="1" s="1"/>
  <c r="L10" i="1"/>
  <c r="M10" i="1"/>
  <c r="N10" i="1"/>
  <c r="O10" i="1"/>
  <c r="P10" i="1"/>
  <c r="Q10" i="1"/>
  <c r="D36" i="1" s="1"/>
  <c r="S10" i="1"/>
  <c r="T10" i="1"/>
  <c r="V10" i="1"/>
  <c r="X10" i="1"/>
  <c r="D53" i="1" s="1"/>
  <c r="Y10" i="1"/>
  <c r="Z10" i="1"/>
  <c r="AA10" i="1"/>
  <c r="AB10" i="1"/>
  <c r="AC10" i="1"/>
  <c r="AE10" i="1"/>
  <c r="AI10" i="1"/>
  <c r="AL10" i="1"/>
  <c r="E17" i="1" s="1"/>
  <c r="AM10" i="1"/>
  <c r="AN10" i="1"/>
  <c r="AO10" i="1"/>
  <c r="AP10" i="1"/>
  <c r="AQ10" i="1"/>
  <c r="AR10" i="1"/>
  <c r="AS10" i="1"/>
  <c r="AG13" i="1"/>
  <c r="AG14" i="1"/>
  <c r="AG15" i="1"/>
  <c r="AG16" i="1"/>
  <c r="D17" i="1"/>
  <c r="AD4" i="1" s="1"/>
  <c r="AD6" i="1" s="1"/>
  <c r="U17" i="1"/>
  <c r="AG17" i="1"/>
  <c r="U18" i="1"/>
  <c r="AG18" i="1"/>
  <c r="U19" i="1"/>
  <c r="AG19" i="1"/>
  <c r="AG20" i="1"/>
  <c r="U21" i="1"/>
  <c r="AG21" i="1"/>
  <c r="AG22" i="1"/>
  <c r="AG23" i="1"/>
  <c r="AG24" i="1"/>
  <c r="AG25" i="1"/>
  <c r="AG26" i="1"/>
  <c r="AG27" i="1"/>
  <c r="R28" i="1"/>
  <c r="R10" i="1"/>
  <c r="AF28" i="1"/>
  <c r="AF10" i="1"/>
  <c r="F29" i="1"/>
  <c r="AG29" i="1"/>
  <c r="AG30" i="1"/>
  <c r="AG31" i="1"/>
  <c r="AG32" i="1"/>
  <c r="AC33" i="1"/>
  <c r="AG33" i="1"/>
  <c r="AG34" i="1"/>
  <c r="AG35" i="1"/>
  <c r="AG36" i="1"/>
  <c r="U37" i="1"/>
  <c r="AG37" i="1"/>
  <c r="AG38" i="1"/>
  <c r="AG39" i="1"/>
  <c r="AG40" i="1"/>
  <c r="AG41" i="1"/>
  <c r="AG42" i="1"/>
  <c r="AG43" i="1"/>
  <c r="AH43" i="1"/>
  <c r="F44" i="1"/>
  <c r="AG44" i="1"/>
  <c r="AG45" i="1"/>
  <c r="AG46" i="1"/>
  <c r="U47" i="1"/>
  <c r="AG47" i="1"/>
  <c r="AG48" i="1"/>
  <c r="AG49" i="1"/>
  <c r="AG50" i="1"/>
  <c r="U51" i="1"/>
  <c r="AG51" i="1"/>
  <c r="AG52" i="1"/>
  <c r="AG53" i="1"/>
  <c r="U54" i="1"/>
  <c r="AG54" i="1"/>
  <c r="U55" i="1"/>
  <c r="AG55" i="1"/>
  <c r="AG56" i="1"/>
  <c r="U57" i="1"/>
  <c r="AG57" i="1"/>
  <c r="U58" i="1"/>
  <c r="AG58" i="1"/>
  <c r="AG59" i="1"/>
  <c r="AG60" i="1"/>
  <c r="F61" i="1"/>
  <c r="AG61" i="1"/>
  <c r="AG62" i="1"/>
  <c r="AG63" i="1"/>
  <c r="AG64" i="1"/>
  <c r="AH64" i="1"/>
  <c r="AG65" i="1"/>
  <c r="AG66" i="1"/>
  <c r="AG67" i="1"/>
  <c r="AG68" i="1"/>
  <c r="AG69" i="1"/>
  <c r="D70" i="1"/>
  <c r="U70" i="1"/>
  <c r="AG70" i="1"/>
  <c r="AG71" i="1"/>
  <c r="AG72" i="1"/>
  <c r="AG73" i="1"/>
  <c r="AG74" i="1"/>
  <c r="AH74" i="1"/>
  <c r="U75" i="1"/>
  <c r="AG75" i="1"/>
  <c r="AG76" i="1"/>
  <c r="AG77" i="1"/>
  <c r="F78" i="1"/>
  <c r="AG78" i="1"/>
  <c r="AG79" i="1"/>
  <c r="AG80" i="1"/>
  <c r="AG81" i="1"/>
  <c r="AG82" i="1"/>
  <c r="AG10" i="1" s="1"/>
  <c r="AG83" i="1"/>
  <c r="AG84" i="1"/>
  <c r="AG85" i="1"/>
  <c r="O86" i="1"/>
  <c r="U86" i="1"/>
  <c r="U10" i="1" s="1"/>
  <c r="AC86" i="1"/>
  <c r="AH86" i="1"/>
  <c r="AH10" i="1" s="1"/>
  <c r="AI86" i="1"/>
  <c r="F94" i="1"/>
  <c r="D15" i="2"/>
  <c r="D20" i="13816"/>
  <c r="D18" i="33644"/>
  <c r="D113" i="33644"/>
  <c r="D116" i="33644" s="1"/>
  <c r="D117" i="33644" s="1"/>
  <c r="D118" i="33644" s="1"/>
  <c r="D119" i="33644" s="1"/>
  <c r="D120" i="33644" s="1"/>
  <c r="D121" i="33644" s="1"/>
  <c r="D122" i="33644" s="1"/>
  <c r="D123" i="33644" s="1"/>
  <c r="D124" i="33644" s="1"/>
  <c r="D125" i="33644" s="1"/>
  <c r="D126" i="33644" s="1"/>
  <c r="D127" i="33644" s="1"/>
  <c r="D100" i="1"/>
  <c r="E70" i="1" l="1"/>
  <c r="E36" i="1"/>
  <c r="G99" i="1"/>
  <c r="Q11" i="1"/>
  <c r="C35" i="1" s="1"/>
  <c r="D44" i="1" s="1"/>
  <c r="X11" i="1"/>
  <c r="C52" i="1" s="1"/>
  <c r="D61" i="1" s="1"/>
  <c r="AE11" i="1"/>
  <c r="C69" i="1" s="1"/>
  <c r="D78" i="1" s="1"/>
  <c r="D21" i="33644" s="1"/>
  <c r="D99" i="1"/>
  <c r="G98" i="1" s="1"/>
  <c r="E53" i="1"/>
  <c r="K11" i="1"/>
  <c r="D18" i="2" l="1"/>
  <c r="D23" i="13816"/>
  <c r="C20" i="1"/>
  <c r="D29" i="1" s="1"/>
  <c r="C85" i="1"/>
  <c r="D94" i="1" s="1"/>
  <c r="D21" i="2" l="1"/>
  <c r="D24" i="2" s="1"/>
  <c r="D36" i="2" s="1"/>
  <c r="D38" i="2" s="1"/>
  <c r="D26" i="13816"/>
  <c r="D28" i="13816" s="1"/>
  <c r="D24" i="33644"/>
  <c r="D27" i="33644" s="1"/>
  <c r="D37" i="33644" l="1"/>
  <c r="D39" i="33644" s="1"/>
  <c r="C42" i="33644"/>
  <c r="D41" i="13816"/>
  <c r="D43" i="13816" s="1"/>
  <c r="D47" i="13816"/>
  <c r="D49" i="13816" s="1"/>
  <c r="D55" i="13816"/>
  <c r="D57" i="13816" s="1"/>
</calcChain>
</file>

<file path=xl/sharedStrings.xml><?xml version="1.0" encoding="utf-8"?>
<sst xmlns="http://schemas.openxmlformats.org/spreadsheetml/2006/main" count="749" uniqueCount="550">
  <si>
    <t>Discussion and References</t>
  </si>
  <si>
    <t>Workbook Contents</t>
  </si>
  <si>
    <t>Click on tabs at the bottom of the screen to access the following:</t>
  </si>
  <si>
    <t>Water</t>
  </si>
  <si>
    <t>OR</t>
  </si>
  <si>
    <t>(Enter Values in yellow cells only)</t>
  </si>
  <si>
    <t>Fluid Density Result:</t>
  </si>
  <si>
    <t>c1</t>
  </si>
  <si>
    <t>c2</t>
  </si>
  <si>
    <t>c3</t>
  </si>
  <si>
    <t>c4</t>
  </si>
  <si>
    <t>Mol. Weight</t>
  </si>
  <si>
    <t>FLUID DENSITY</t>
  </si>
  <si>
    <t>Variables for Density Calculations:</t>
  </si>
  <si>
    <t>Variables for Viscosity Calculations:</t>
  </si>
  <si>
    <t>c5</t>
  </si>
  <si>
    <t>Calculations:</t>
  </si>
  <si>
    <t>Excel Vlookup results based on selected fluid:</t>
  </si>
  <si>
    <t>Viscosity from above menu selection:</t>
  </si>
  <si>
    <t>Fluid Viscosity Result:</t>
  </si>
  <si>
    <t>FLUID VISCOSITY</t>
  </si>
  <si>
    <t>Churchill Equation</t>
  </si>
  <si>
    <t>Colebrook Equation</t>
  </si>
  <si>
    <t>Density of water:</t>
  </si>
  <si>
    <t>Enter the indicated input data:</t>
  </si>
  <si>
    <t>Initial estimate of f</t>
  </si>
  <si>
    <t>1st iteration with Colbrook;</t>
  </si>
  <si>
    <t>2nd iteration with Colbrook;</t>
  </si>
  <si>
    <t>3rd iteration with Colbrook;</t>
  </si>
  <si>
    <t>4th iteration with Colbrook;</t>
  </si>
  <si>
    <t>5th iteration with Colbrook;</t>
  </si>
  <si>
    <t>6th iteration with Colbrook;</t>
  </si>
  <si>
    <t>7th iteration with Colbrook;</t>
  </si>
  <si>
    <t>8th iteration with Colbrook;</t>
  </si>
  <si>
    <t>9th iteration with Colbrook;</t>
  </si>
  <si>
    <t>10th iteration with Colbrook;</t>
  </si>
  <si>
    <t>11th iteration with Colbrook;</t>
  </si>
  <si>
    <t>12th iteration with Colbrook;</t>
  </si>
  <si>
    <r>
      <rPr>
        <b/>
        <sz val="12"/>
        <rFont val="Arial"/>
        <family val="2"/>
      </rPr>
      <t>Tab 1.</t>
    </r>
    <r>
      <rPr>
        <sz val="12"/>
        <rFont val="Arial"/>
        <family val="2"/>
      </rPr>
      <t xml:space="preserve"> Contents  (current tab)</t>
    </r>
  </si>
  <si>
    <t>Density from above menu selection:</t>
  </si>
  <si>
    <r>
      <t>Temperature Range (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C):</t>
    </r>
  </si>
  <si>
    <r>
      <t>kg/m</t>
    </r>
    <r>
      <rPr>
        <vertAlign val="superscript"/>
        <sz val="10"/>
        <rFont val="Arial"/>
        <family val="2"/>
      </rPr>
      <t>3</t>
    </r>
  </si>
  <si>
    <r>
      <t>Fluid Density (kg/m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):</t>
    </r>
  </si>
  <si>
    <t>Pa-s</t>
  </si>
  <si>
    <r>
      <t>m</t>
    </r>
    <r>
      <rPr>
        <sz val="10"/>
        <rFont val="Arial"/>
      </rPr>
      <t xml:space="preserve"> is in Pa-s </t>
    </r>
  </si>
  <si>
    <r>
      <t>kg/m</t>
    </r>
    <r>
      <rPr>
        <b/>
        <vertAlign val="superscript"/>
        <sz val="10"/>
        <color indexed="9"/>
        <rFont val="Arial"/>
        <family val="2"/>
      </rPr>
      <t>3</t>
    </r>
    <r>
      <rPr>
        <b/>
        <sz val="10"/>
        <color indexed="9"/>
        <rFont val="Arial"/>
        <family val="2"/>
      </rPr>
      <t xml:space="preserve"> </t>
    </r>
  </si>
  <si>
    <t>Enter a Fluid Density Obtained Elsewhere</t>
  </si>
  <si>
    <t>Enter a Fluid Viscosity Obtained Elsewhere</t>
  </si>
  <si>
    <t>yellow cells only)</t>
  </si>
  <si>
    <t>(Enter Values in</t>
  </si>
  <si>
    <t xml:space="preserve">  (This is the density value that will be used in all of the other worksheets.)</t>
  </si>
  <si>
    <t xml:space="preserve">  (This is the viscosity value that will be used in all of the other worksheets.)</t>
  </si>
  <si>
    <t>Fluid Viscosity (Pa-s)</t>
  </si>
  <si>
    <r>
      <rPr>
        <b/>
        <sz val="12"/>
        <rFont val="Arial"/>
        <family val="2"/>
      </rPr>
      <t>Tab 3.</t>
    </r>
    <r>
      <rPr>
        <sz val="12"/>
        <rFont val="Arial"/>
        <family val="2"/>
      </rPr>
      <t xml:space="preserve"> Vertical Plane</t>
    </r>
  </si>
  <si>
    <r>
      <rPr>
        <b/>
        <sz val="12"/>
        <rFont val="Arial"/>
        <family val="2"/>
      </rPr>
      <t xml:space="preserve">Tab 4.  </t>
    </r>
    <r>
      <rPr>
        <sz val="12"/>
        <rFont val="Arial"/>
        <family val="2"/>
      </rPr>
      <t>Horizontal Plane</t>
    </r>
  </si>
  <si>
    <r>
      <rPr>
        <b/>
        <sz val="12"/>
        <rFont val="Arial"/>
        <family val="2"/>
      </rPr>
      <t>Tab 5.</t>
    </r>
    <r>
      <rPr>
        <sz val="12"/>
        <rFont val="Arial"/>
        <family val="2"/>
      </rPr>
      <t xml:space="preserve"> Horizontal Cylinder</t>
    </r>
  </si>
  <si>
    <t>values for use in the other Worksheets</t>
  </si>
  <si>
    <t>Selection of Fluid and Setting the Fluid Property</t>
  </si>
  <si>
    <t>Select a Fluid and Enter Temperature</t>
  </si>
  <si>
    <t>Air</t>
  </si>
  <si>
    <t xml:space="preserve"> 0 to 80</t>
  </si>
  <si>
    <t xml:space="preserve"> 0 to 373</t>
  </si>
  <si>
    <t>Range, ºC</t>
  </si>
  <si>
    <r>
      <t>Surface Temperature (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C):</t>
    </r>
  </si>
  <si>
    <r>
      <t>Fluid Temperature (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C):</t>
    </r>
  </si>
  <si>
    <t>Fluid Pressure (kPa):</t>
  </si>
  <si>
    <t>Enter Temperatures and Pressure</t>
  </si>
  <si>
    <t>SPECIFIC HEAT</t>
  </si>
  <si>
    <t>Specific Heat from above menu selection:</t>
  </si>
  <si>
    <t>Enter a Fluid Specific Heat Obtained Elsewhere</t>
  </si>
  <si>
    <t>Fluid Specific Heat Result:</t>
  </si>
  <si>
    <t xml:space="preserve">  (This is the specific heat value that will be used in all of the other worksheets.)</t>
  </si>
  <si>
    <t>J/kg-K</t>
  </si>
  <si>
    <t>Fluid Sp. Heat (J/kg-K)</t>
  </si>
  <si>
    <t>THERMAL CONDUCTIVITY</t>
  </si>
  <si>
    <t>Thermal Conductivity from above menu selection:</t>
  </si>
  <si>
    <t>W/m-K</t>
  </si>
  <si>
    <t>Enter a Thermal Conductivity Obtained Elsewhere</t>
  </si>
  <si>
    <t>Fluid Th. Cond. (W/m-K)</t>
  </si>
  <si>
    <t>Fluid Thermal Conductivity Result:</t>
  </si>
  <si>
    <t xml:space="preserve">  (This is the thermal conductivity value that will be used in all of the other worksheets.)</t>
  </si>
  <si>
    <t>Variables for Specific Heat Calculations:</t>
  </si>
  <si>
    <t>Variables for Thermal Conductivity Calculations:</t>
  </si>
  <si>
    <t xml:space="preserve"> 0 to 260</t>
  </si>
  <si>
    <t xml:space="preserve"> -173 to 1227</t>
  </si>
  <si>
    <t xml:space="preserve"> -203 to 1727</t>
  </si>
  <si>
    <t xml:space="preserve"> -193 to 1727</t>
  </si>
  <si>
    <t xml:space="preserve"> 0 to 500</t>
  </si>
  <si>
    <t xml:space="preserve"> Natural Convection Heat Transfer Coefficient Correlations</t>
  </si>
  <si>
    <r>
      <t xml:space="preserve">Height of Surface, </t>
    </r>
    <r>
      <rPr>
        <b/>
        <sz val="12"/>
        <rFont val="Arial"/>
        <family val="2"/>
      </rPr>
      <t>L</t>
    </r>
    <r>
      <rPr>
        <sz val="10"/>
        <rFont val="Arial"/>
      </rPr>
      <t xml:space="preserve"> =</t>
    </r>
  </si>
  <si>
    <t>Preliminary Calculations:</t>
  </si>
  <si>
    <r>
      <t xml:space="preserve">Temperature Diff, </t>
    </r>
    <r>
      <rPr>
        <b/>
        <sz val="12"/>
        <rFont val="Symbol"/>
        <family val="1"/>
        <charset val="2"/>
      </rPr>
      <t>D</t>
    </r>
    <r>
      <rPr>
        <b/>
        <sz val="11"/>
        <rFont val="Arial"/>
        <family val="2"/>
      </rPr>
      <t>T</t>
    </r>
    <r>
      <rPr>
        <sz val="10"/>
        <rFont val="Arial"/>
      </rPr>
      <t xml:space="preserve"> =</t>
    </r>
  </si>
  <si>
    <r>
      <t xml:space="preserve">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C</t>
    </r>
  </si>
  <si>
    <t xml:space="preserve"> m</t>
  </si>
  <si>
    <r>
      <t xml:space="preserve">Prandtl Number, </t>
    </r>
    <r>
      <rPr>
        <b/>
        <sz val="11"/>
        <rFont val="Arial"/>
        <family val="2"/>
      </rPr>
      <t>Pr</t>
    </r>
    <r>
      <rPr>
        <sz val="10"/>
        <rFont val="Arial"/>
      </rPr>
      <t xml:space="preserve"> =</t>
    </r>
  </si>
  <si>
    <r>
      <t xml:space="preserve">Grashof Number, </t>
    </r>
    <r>
      <rPr>
        <b/>
        <sz val="11"/>
        <rFont val="Arial"/>
        <family val="2"/>
      </rPr>
      <t>Gr</t>
    </r>
    <r>
      <rPr>
        <sz val="10"/>
        <rFont val="Arial"/>
      </rPr>
      <t xml:space="preserve"> =</t>
    </r>
  </si>
  <si>
    <r>
      <t xml:space="preserve">Rayleigh Number, </t>
    </r>
    <r>
      <rPr>
        <b/>
        <sz val="11"/>
        <rFont val="Arial"/>
        <family val="2"/>
      </rPr>
      <t>Ra</t>
    </r>
    <r>
      <rPr>
        <sz val="10"/>
        <rFont val="Arial"/>
      </rPr>
      <t xml:space="preserve"> =</t>
    </r>
  </si>
  <si>
    <t>Heat Transfer Coefficient Calculation</t>
  </si>
  <si>
    <r>
      <t xml:space="preserve">Nusselt Number, </t>
    </r>
    <r>
      <rPr>
        <b/>
        <sz val="12"/>
        <rFont val="Arial"/>
        <family val="2"/>
      </rPr>
      <t>Nu</t>
    </r>
    <r>
      <rPr>
        <sz val="10"/>
        <rFont val="Arial"/>
      </rPr>
      <t xml:space="preserve"> =</t>
    </r>
  </si>
  <si>
    <r>
      <t xml:space="preserve">Convective H.T. Coeff., </t>
    </r>
    <r>
      <rPr>
        <b/>
        <sz val="12"/>
        <rFont val="Arial"/>
        <family val="2"/>
      </rPr>
      <t>h</t>
    </r>
    <r>
      <rPr>
        <sz val="10"/>
        <rFont val="Arial"/>
      </rPr>
      <t xml:space="preserve"> =</t>
    </r>
  </si>
  <si>
    <r>
      <t xml:space="preserve"> W/m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-K</t>
    </r>
  </si>
  <si>
    <t>H.T. COEFF.</t>
  </si>
  <si>
    <t>PRELIM. CALCULATIONS</t>
  </si>
  <si>
    <t xml:space="preserve">        Natural Convection Heat Transfer Coefficient Correlations</t>
  </si>
  <si>
    <t xml:space="preserve"> The definitions of the dimensionless numbers and the correlation used for Nusselt number are shown</t>
  </si>
  <si>
    <t xml:space="preserve"> below.  For more discussion of natural convection and correlations for Nusselt No., see:</t>
  </si>
  <si>
    <t>Natural Convection from an Isothermal Horizontal Plane - (S.I. units)</t>
  </si>
  <si>
    <r>
      <t xml:space="preserve">Area of Plate, </t>
    </r>
    <r>
      <rPr>
        <b/>
        <sz val="12"/>
        <rFont val="Arial"/>
        <family val="2"/>
      </rPr>
      <t>A</t>
    </r>
    <r>
      <rPr>
        <sz val="10"/>
        <rFont val="Arial"/>
      </rPr>
      <t xml:space="preserve"> =</t>
    </r>
  </si>
  <si>
    <r>
      <t xml:space="preserve">Perimeter of Plate, </t>
    </r>
    <r>
      <rPr>
        <b/>
        <sz val="12"/>
        <rFont val="Arial"/>
        <family val="2"/>
      </rPr>
      <t>P</t>
    </r>
    <r>
      <rPr>
        <sz val="10"/>
        <rFont val="Arial"/>
      </rPr>
      <t xml:space="preserve"> =</t>
    </r>
  </si>
  <si>
    <r>
      <t xml:space="preserve"> m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</t>
    </r>
  </si>
  <si>
    <t xml:space="preserve">                   lower surface of cool plate.</t>
  </si>
  <si>
    <t>Case I:  H.T. from upper surface of hot plate or from</t>
  </si>
  <si>
    <r>
      <t>A.  for 10</t>
    </r>
    <r>
      <rPr>
        <b/>
        <vertAlign val="super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&lt; Ra &lt; 10</t>
    </r>
    <r>
      <rPr>
        <b/>
        <vertAlign val="superscript"/>
        <sz val="11"/>
        <rFont val="Arial"/>
        <family val="2"/>
      </rPr>
      <t>7</t>
    </r>
    <r>
      <rPr>
        <b/>
        <sz val="11"/>
        <rFont val="Arial"/>
        <family val="2"/>
      </rPr>
      <t>:</t>
    </r>
  </si>
  <si>
    <r>
      <t>B.  for 10</t>
    </r>
    <r>
      <rPr>
        <b/>
        <vertAlign val="superscript"/>
        <sz val="11"/>
        <rFont val="Arial"/>
        <family val="2"/>
      </rPr>
      <t>7</t>
    </r>
    <r>
      <rPr>
        <b/>
        <sz val="11"/>
        <rFont val="Arial"/>
        <family val="2"/>
      </rPr>
      <t xml:space="preserve"> &lt; Ra &lt; 10</t>
    </r>
    <r>
      <rPr>
        <b/>
        <vertAlign val="superscript"/>
        <sz val="11"/>
        <rFont val="Arial"/>
        <family val="2"/>
      </rPr>
      <t>11</t>
    </r>
    <r>
      <rPr>
        <b/>
        <sz val="11"/>
        <rFont val="Arial"/>
        <family val="2"/>
      </rPr>
      <t>:</t>
    </r>
  </si>
  <si>
    <t>Case II:  H.T. from upper surface of cool plate or from</t>
  </si>
  <si>
    <t xml:space="preserve">                   lower surface of hot plate.</t>
  </si>
  <si>
    <t>HEAT TRANSFER COEFFICIENT</t>
  </si>
  <si>
    <r>
      <t xml:space="preserve">         ( for 10</t>
    </r>
    <r>
      <rPr>
        <b/>
        <vertAlign val="superscript"/>
        <sz val="11"/>
        <rFont val="Arial"/>
        <family val="2"/>
      </rPr>
      <t>5</t>
    </r>
    <r>
      <rPr>
        <b/>
        <sz val="11"/>
        <rFont val="Arial"/>
        <family val="2"/>
      </rPr>
      <t xml:space="preserve"> &lt; Ra &lt; 10</t>
    </r>
    <r>
      <rPr>
        <b/>
        <vertAlign val="superscript"/>
        <sz val="11"/>
        <rFont val="Arial"/>
        <family val="2"/>
      </rPr>
      <t>10</t>
    </r>
    <r>
      <rPr>
        <b/>
        <sz val="11"/>
        <rFont val="Arial"/>
        <family val="2"/>
      </rPr>
      <t>):</t>
    </r>
  </si>
  <si>
    <r>
      <t xml:space="preserve">  Char. Length,</t>
    </r>
    <r>
      <rPr>
        <b/>
        <sz val="11"/>
        <rFont val="Arial"/>
        <family val="2"/>
      </rPr>
      <t xml:space="preserve"> L = A/P </t>
    </r>
    <r>
      <rPr>
        <sz val="10"/>
        <rFont val="Arial"/>
      </rPr>
      <t xml:space="preserve"> =</t>
    </r>
  </si>
  <si>
    <t>temperature, surface temperature, or fluid pressure values</t>
  </si>
  <si>
    <r>
      <t>NOTE:</t>
    </r>
    <r>
      <rPr>
        <sz val="11"/>
        <rFont val="Arial"/>
        <family val="2"/>
      </rPr>
      <t xml:space="preserve">  Go to the </t>
    </r>
    <r>
      <rPr>
        <b/>
        <sz val="11"/>
        <rFont val="Arial"/>
        <family val="2"/>
      </rPr>
      <t>Fluid Properties</t>
    </r>
    <r>
      <rPr>
        <sz val="11"/>
        <rFont val="Arial"/>
        <family val="2"/>
      </rPr>
      <t xml:space="preserve"> worksheet to change fluid </t>
    </r>
  </si>
  <si>
    <t xml:space="preserve"> </t>
  </si>
  <si>
    <t xml:space="preserve">   Correlation #1:  (for heat transfer from the upper surface of a hot plate to a cooler fluid above it</t>
  </si>
  <si>
    <t xml:space="preserve">     or from the lower surface of a cool plate to a warmer fluid below it)</t>
  </si>
  <si>
    <r>
      <t>Nu = 0.54 Ra</t>
    </r>
    <r>
      <rPr>
        <b/>
        <vertAlign val="superscript"/>
        <sz val="12"/>
        <rFont val="Arial"/>
        <family val="2"/>
      </rPr>
      <t>1/4</t>
    </r>
    <r>
      <rPr>
        <b/>
        <sz val="12"/>
        <rFont val="Arial"/>
        <family val="2"/>
      </rPr>
      <t xml:space="preserve">   ( 10</t>
    </r>
    <r>
      <rPr>
        <b/>
        <vertAlign val="superscript"/>
        <sz val="12"/>
        <rFont val="Arial"/>
        <family val="2"/>
      </rPr>
      <t>4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&lt;</t>
    </r>
    <r>
      <rPr>
        <b/>
        <sz val="12"/>
        <rFont val="Arial"/>
        <family val="2"/>
      </rPr>
      <t xml:space="preserve">  Ra  </t>
    </r>
    <r>
      <rPr>
        <b/>
        <u/>
        <sz val="12"/>
        <rFont val="Arial"/>
        <family val="2"/>
      </rPr>
      <t>&lt;</t>
    </r>
    <r>
      <rPr>
        <b/>
        <sz val="12"/>
        <rFont val="Arial"/>
        <family val="2"/>
      </rPr>
      <t xml:space="preserve">  10</t>
    </r>
    <r>
      <rPr>
        <b/>
        <vertAlign val="superscript"/>
        <sz val="12"/>
        <rFont val="Arial"/>
        <family val="2"/>
      </rPr>
      <t>7</t>
    </r>
    <r>
      <rPr>
        <b/>
        <sz val="12"/>
        <rFont val="Arial"/>
        <family val="2"/>
      </rPr>
      <t xml:space="preserve"> )</t>
    </r>
  </si>
  <si>
    <r>
      <t>Nu = 0.15 Ra</t>
    </r>
    <r>
      <rPr>
        <b/>
        <vertAlign val="superscript"/>
        <sz val="12"/>
        <rFont val="Arial"/>
        <family val="2"/>
      </rPr>
      <t>1/3</t>
    </r>
    <r>
      <rPr>
        <b/>
        <sz val="12"/>
        <rFont val="Arial"/>
        <family val="2"/>
      </rPr>
      <t xml:space="preserve">   ( 10</t>
    </r>
    <r>
      <rPr>
        <b/>
        <vertAlign val="superscript"/>
        <sz val="12"/>
        <rFont val="Arial"/>
        <family val="2"/>
      </rPr>
      <t>7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&lt;</t>
    </r>
    <r>
      <rPr>
        <b/>
        <sz val="12"/>
        <rFont val="Arial"/>
        <family val="2"/>
      </rPr>
      <t xml:space="preserve">  Ra  </t>
    </r>
    <r>
      <rPr>
        <b/>
        <u/>
        <sz val="12"/>
        <rFont val="Arial"/>
        <family val="2"/>
      </rPr>
      <t>&lt;</t>
    </r>
    <r>
      <rPr>
        <b/>
        <sz val="12"/>
        <rFont val="Arial"/>
        <family val="2"/>
      </rPr>
      <t xml:space="preserve">  10</t>
    </r>
    <r>
      <rPr>
        <b/>
        <vertAlign val="superscript"/>
        <sz val="12"/>
        <rFont val="Arial"/>
        <family val="2"/>
      </rPr>
      <t>11</t>
    </r>
    <r>
      <rPr>
        <b/>
        <sz val="12"/>
        <rFont val="Arial"/>
        <family val="2"/>
      </rPr>
      <t xml:space="preserve"> )</t>
    </r>
  </si>
  <si>
    <t xml:space="preserve">   Correlation #2:  (for heat transfer from the upper surface of a cool plate to a warmer fluid above it</t>
  </si>
  <si>
    <t xml:space="preserve">     or from the lower surface of a warm plate to a cooler fluid below it)</t>
  </si>
  <si>
    <r>
      <t>Nu = 0.27 Ra</t>
    </r>
    <r>
      <rPr>
        <b/>
        <vertAlign val="superscript"/>
        <sz val="12"/>
        <rFont val="Arial"/>
        <family val="2"/>
      </rPr>
      <t>1/4</t>
    </r>
    <r>
      <rPr>
        <b/>
        <sz val="12"/>
        <rFont val="Arial"/>
        <family val="2"/>
      </rPr>
      <t xml:space="preserve">   ( 10</t>
    </r>
    <r>
      <rPr>
        <b/>
        <vertAlign val="superscript"/>
        <sz val="12"/>
        <rFont val="Arial"/>
        <family val="2"/>
      </rPr>
      <t>5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&lt;</t>
    </r>
    <r>
      <rPr>
        <b/>
        <sz val="12"/>
        <rFont val="Arial"/>
        <family val="2"/>
      </rPr>
      <t xml:space="preserve">  Ra  </t>
    </r>
    <r>
      <rPr>
        <b/>
        <u/>
        <sz val="12"/>
        <rFont val="Arial"/>
        <family val="2"/>
      </rPr>
      <t>&lt;</t>
    </r>
    <r>
      <rPr>
        <b/>
        <sz val="12"/>
        <rFont val="Arial"/>
        <family val="2"/>
      </rPr>
      <t xml:space="preserve">  10</t>
    </r>
    <r>
      <rPr>
        <b/>
        <vertAlign val="superscript"/>
        <sz val="12"/>
        <rFont val="Arial"/>
        <family val="2"/>
      </rPr>
      <t>10</t>
    </r>
    <r>
      <rPr>
        <b/>
        <sz val="12"/>
        <rFont val="Arial"/>
        <family val="2"/>
      </rPr>
      <t xml:space="preserve"> )</t>
    </r>
  </si>
  <si>
    <t>Natural Convection from an Isothermal Horizontal Cylinder - (S.I. units)</t>
  </si>
  <si>
    <t xml:space="preserve"> shown below.  For more discussion of natural convection and correlations for Nusselt No., see:</t>
  </si>
  <si>
    <t xml:space="preserve"> The definitions of the dimensionless numbers and the correlations used for Nusselt number are</t>
  </si>
  <si>
    <t xml:space="preserve">Click at right to Select Fluid </t>
  </si>
  <si>
    <t>THERM EXP COEFF</t>
  </si>
  <si>
    <t>Thermal Exp. Coeff. from above menu selection:</t>
  </si>
  <si>
    <r>
      <t>K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</t>
    </r>
  </si>
  <si>
    <t>Thermal Expansion Coeff:</t>
  </si>
  <si>
    <t>Enter a Thermal Expans. Coeff. Obtained Elsewhere</t>
  </si>
  <si>
    <r>
      <t>Thermal Exp Coeff (K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>)</t>
    </r>
  </si>
  <si>
    <t xml:space="preserve">  (This is the thermal expansion coefficient value that will be used in all of the other worksheets.)</t>
  </si>
  <si>
    <r>
      <t xml:space="preserve">  K</t>
    </r>
    <r>
      <rPr>
        <b/>
        <vertAlign val="superscript"/>
        <sz val="10"/>
        <color indexed="9"/>
        <rFont val="Arial"/>
        <family val="2"/>
      </rPr>
      <t>-1</t>
    </r>
    <r>
      <rPr>
        <b/>
        <sz val="10"/>
        <color indexed="9"/>
        <rFont val="Arial"/>
        <family val="2"/>
      </rPr>
      <t xml:space="preserve"> </t>
    </r>
  </si>
  <si>
    <t>Density</t>
  </si>
  <si>
    <t>Viscosity</t>
  </si>
  <si>
    <t>Specific Heat</t>
  </si>
  <si>
    <t>Thermal Conductivity</t>
  </si>
  <si>
    <t xml:space="preserve">  T is in K</t>
  </si>
  <si>
    <t xml:space="preserve">  The density of air is calculated with the Ideal Gas Law</t>
  </si>
  <si>
    <t xml:space="preserve">   T is in K</t>
  </si>
  <si>
    <t>Viscosity of Air:</t>
  </si>
  <si>
    <t xml:space="preserve">   T is in K,</t>
  </si>
  <si>
    <t>Specific Heat of Air:</t>
  </si>
  <si>
    <r>
      <t xml:space="preserve">   m</t>
    </r>
    <r>
      <rPr>
        <sz val="11"/>
        <rFont val="Arial"/>
        <family val="2"/>
      </rPr>
      <t xml:space="preserve">  =  exp[C1 + C2/T + C3(lnT) + C4(T</t>
    </r>
    <r>
      <rPr>
        <vertAlign val="superscript"/>
        <sz val="11"/>
        <rFont val="Arial"/>
        <family val="2"/>
      </rPr>
      <t>C5</t>
    </r>
    <r>
      <rPr>
        <sz val="11"/>
        <rFont val="Arial"/>
        <family val="2"/>
      </rPr>
      <t>)]</t>
    </r>
  </si>
  <si>
    <r>
      <t xml:space="preserve">   m</t>
    </r>
    <r>
      <rPr>
        <sz val="11"/>
        <rFont val="Arial"/>
        <family val="2"/>
      </rPr>
      <t xml:space="preserve">  =  (C1T</t>
    </r>
    <r>
      <rPr>
        <vertAlign val="superscript"/>
        <sz val="11"/>
        <rFont val="Arial"/>
        <family val="2"/>
      </rPr>
      <t>C2</t>
    </r>
    <r>
      <rPr>
        <sz val="11"/>
        <rFont val="Arial"/>
        <family val="2"/>
      </rPr>
      <t>)/(1 + C3/T)</t>
    </r>
  </si>
  <si>
    <r>
      <t xml:space="preserve">  Cp = {C1 + (C2[(C3/T)/sinh(C3/T)]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 + C4[(C5/T)/cosh(C5/T)]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}/28.9</t>
    </r>
  </si>
  <si>
    <t>Cp is in J/kg-K</t>
  </si>
  <si>
    <r>
      <t xml:space="preserve">  Cp = (C1 - C2T + C3T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 - C4T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 xml:space="preserve"> + C5T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>)/18.015</t>
    </r>
  </si>
  <si>
    <t>Equations and References</t>
  </si>
  <si>
    <t>Thermal Conductivity of Air</t>
  </si>
  <si>
    <t>k is in W/m-K</t>
  </si>
  <si>
    <r>
      <t xml:space="preserve">  k = C1TC2/(1 - C3/T + C4/T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</si>
  <si>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t xml:space="preserve">            T is in K</t>
  </si>
  <si>
    <r>
      <t xml:space="preserve">  k = C1T</t>
    </r>
    <r>
      <rPr>
        <vertAlign val="superscript"/>
        <sz val="11"/>
        <rFont val="Arial"/>
        <family val="2"/>
      </rPr>
      <t>C2</t>
    </r>
    <r>
      <rPr>
        <sz val="11"/>
        <rFont val="Arial"/>
        <family val="2"/>
      </rPr>
      <t>/(1 - C3/T + C4/T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</si>
  <si>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 xml:space="preserve"> The thermal expansion coefficient of air is calculated as </t>
    </r>
    <r>
      <rPr>
        <b/>
        <sz val="10"/>
        <rFont val="Symbol"/>
        <family val="1"/>
        <charset val="2"/>
      </rPr>
      <t>b</t>
    </r>
    <r>
      <rPr>
        <b/>
        <sz val="10"/>
        <rFont val="Arial"/>
        <family val="2"/>
      </rPr>
      <t xml:space="preserve"> = 1/T, where T is in K.</t>
    </r>
  </si>
  <si>
    <r>
      <rPr>
        <b/>
        <sz val="12"/>
        <rFont val="Arial"/>
        <family val="2"/>
      </rPr>
      <t>Tab 2.</t>
    </r>
    <r>
      <rPr>
        <sz val="12"/>
        <rFont val="Arial"/>
        <family val="2"/>
      </rPr>
      <t xml:space="preserve"> Fluid Properties - Set values of fluid properties for other worksheets</t>
    </r>
  </si>
  <si>
    <t>1,1,2-Trichloroethane</t>
  </si>
  <si>
    <t>1,2-Butadiene</t>
  </si>
  <si>
    <t>1,2-Propylene glycol</t>
  </si>
  <si>
    <t>1,3-Butadiene</t>
  </si>
  <si>
    <t>1-Butanol</t>
  </si>
  <si>
    <t>1-Octanol</t>
  </si>
  <si>
    <t>1-Propanol</t>
  </si>
  <si>
    <t>2-Butanol</t>
  </si>
  <si>
    <t>2-Octanol</t>
  </si>
  <si>
    <t>2-Propanol</t>
  </si>
  <si>
    <t>Acetic acid</t>
  </si>
  <si>
    <t>Acetic anhydride</t>
  </si>
  <si>
    <t>Acetone</t>
  </si>
  <si>
    <t>Acetonitrile</t>
  </si>
  <si>
    <t>Acrylic acid</t>
  </si>
  <si>
    <t>Benzene</t>
  </si>
  <si>
    <t>Benzoic acid</t>
  </si>
  <si>
    <t>Bromobenzene</t>
  </si>
  <si>
    <t>Butyl acetate</t>
  </si>
  <si>
    <t>Carbon disulfide</t>
  </si>
  <si>
    <t>Carbon tetrachloride</t>
  </si>
  <si>
    <t>Chlorobenzene</t>
  </si>
  <si>
    <t>Chloroform</t>
  </si>
  <si>
    <t>Chloromethane</t>
  </si>
  <si>
    <t>Cumene</t>
  </si>
  <si>
    <t>Cyclohexane</t>
  </si>
  <si>
    <t>Cyclopentane</t>
  </si>
  <si>
    <t>Decane</t>
  </si>
  <si>
    <t>Dibutyl ether</t>
  </si>
  <si>
    <t>Diethanol amine</t>
  </si>
  <si>
    <t>Diethyl ether</t>
  </si>
  <si>
    <t>Dimethyl sulfoxide</t>
  </si>
  <si>
    <t>Diphenyl ether</t>
  </si>
  <si>
    <t>Dodecane</t>
  </si>
  <si>
    <t>Ethanol</t>
  </si>
  <si>
    <t>Ethyl acetate</t>
  </si>
  <si>
    <t>Ethyl benzoate</t>
  </si>
  <si>
    <t>Ethylene glycol</t>
  </si>
  <si>
    <t>Ethylenediamine</t>
  </si>
  <si>
    <t>Fluorobenzene</t>
  </si>
  <si>
    <t>Formamide</t>
  </si>
  <si>
    <t>Heptane</t>
  </si>
  <si>
    <t>Hexadecane</t>
  </si>
  <si>
    <t>Hexane</t>
  </si>
  <si>
    <t>Hydrazine</t>
  </si>
  <si>
    <t>Isopropyl amine</t>
  </si>
  <si>
    <t>Methacrylic acid</t>
  </si>
  <si>
    <t>Methanol</t>
  </si>
  <si>
    <t>Methyl acetate</t>
  </si>
  <si>
    <t>Methyl methacrylate</t>
  </si>
  <si>
    <t>Methyl tert-butyl ether</t>
  </si>
  <si>
    <t>Methylcyclohexane</t>
  </si>
  <si>
    <t>Methylethyl ketone</t>
  </si>
  <si>
    <t>Methylisobutyl ketone</t>
  </si>
  <si>
    <t>m-Xylene</t>
  </si>
  <si>
    <t>Nonane</t>
  </si>
  <si>
    <t>Octane</t>
  </si>
  <si>
    <t>Octanoic acid</t>
  </si>
  <si>
    <t>o-Xylene</t>
  </si>
  <si>
    <t>Pentadecane</t>
  </si>
  <si>
    <t>Pentane</t>
  </si>
  <si>
    <t>Phenol</t>
  </si>
  <si>
    <t>Phthalic anhydride</t>
  </si>
  <si>
    <t>Propionic acid</t>
  </si>
  <si>
    <t>Propylbenzene</t>
  </si>
  <si>
    <t>p-Xylene</t>
  </si>
  <si>
    <t>Styrene</t>
  </si>
  <si>
    <t>Tetrahydrofuran</t>
  </si>
  <si>
    <t>Toluene</t>
  </si>
  <si>
    <t>Triethyl amine</t>
  </si>
  <si>
    <t>Undecane</t>
  </si>
  <si>
    <t>Vinyl chloride</t>
  </si>
  <si>
    <t xml:space="preserve"> -36 to 329</t>
  </si>
  <si>
    <t xml:space="preserve"> -137 to 179</t>
  </si>
  <si>
    <t xml:space="preserve"> -60 to 352</t>
  </si>
  <si>
    <t xml:space="preserve"> -109 to 152</t>
  </si>
  <si>
    <t xml:space="preserve"> -89 to 290</t>
  </si>
  <si>
    <t xml:space="preserve">  -15 to 379</t>
  </si>
  <si>
    <t xml:space="preserve"> -126 to 264</t>
  </si>
  <si>
    <t xml:space="preserve"> -115 to 262</t>
  </si>
  <si>
    <t xml:space="preserve"> -31 to 357</t>
  </si>
  <si>
    <t xml:space="preserve"> -88 to 235</t>
  </si>
  <si>
    <t>17 to 318</t>
  </si>
  <si>
    <t xml:space="preserve"> -73 to 333</t>
  </si>
  <si>
    <t xml:space="preserve"> -95 to 235</t>
  </si>
  <si>
    <t xml:space="preserve"> -44 to 273</t>
  </si>
  <si>
    <t>13 to 342</t>
  </si>
  <si>
    <t>6 to 289</t>
  </si>
  <si>
    <t>122 to 478</t>
  </si>
  <si>
    <t xml:space="preserve"> -31 to 397</t>
  </si>
  <si>
    <t xml:space="preserve"> -73 to 302</t>
  </si>
  <si>
    <t xml:space="preserve"> -112 to 279</t>
  </si>
  <si>
    <t xml:space="preserve"> -23 to 283</t>
  </si>
  <si>
    <t xml:space="preserve"> -45 to 359</t>
  </si>
  <si>
    <t xml:space="preserve"> -63 to 263</t>
  </si>
  <si>
    <t xml:space="preserve"> -98 to 311</t>
  </si>
  <si>
    <t xml:space="preserve"> -96 to 358</t>
  </si>
  <si>
    <t>7 to 281</t>
  </si>
  <si>
    <t xml:space="preserve"> -136 to 507</t>
  </si>
  <si>
    <t xml:space="preserve"> -29 to 344</t>
  </si>
  <si>
    <t>29 to 464</t>
  </si>
  <si>
    <t xml:space="preserve"> -116 to 194</t>
  </si>
  <si>
    <t>19 to 456</t>
  </si>
  <si>
    <t>27 to 494</t>
  </si>
  <si>
    <t xml:space="preserve"> -9 to 385</t>
  </si>
  <si>
    <t xml:space="preserve"> -114 to 241</t>
  </si>
  <si>
    <t xml:space="preserve"> -83 to 250</t>
  </si>
  <si>
    <t xml:space="preserve"> -35 to 425</t>
  </si>
  <si>
    <t xml:space="preserve"> -13 to 447</t>
  </si>
  <si>
    <t>12 to 320</t>
  </si>
  <si>
    <t xml:space="preserve"> -42 to 287</t>
  </si>
  <si>
    <t>3 to 498</t>
  </si>
  <si>
    <t xml:space="preserve"> -90 to 267</t>
  </si>
  <si>
    <t>18 to 450</t>
  </si>
  <si>
    <t xml:space="preserve"> 2 to 380</t>
  </si>
  <si>
    <t xml:space="preserve"> -95 to 199</t>
  </si>
  <si>
    <t xml:space="preserve"> 15 to 389</t>
  </si>
  <si>
    <t xml:space="preserve"> -98 to 240</t>
  </si>
  <si>
    <t xml:space="preserve"> -98 to 234</t>
  </si>
  <si>
    <t xml:space="preserve"> -48 to 293</t>
  </si>
  <si>
    <t xml:space="preserve"> -108 to 224</t>
  </si>
  <si>
    <t xml:space="preserve"> -147 to 299</t>
  </si>
  <si>
    <t xml:space="preserve"> -87 to 263</t>
  </si>
  <si>
    <t xml:space="preserve"> -84 to 301</t>
  </si>
  <si>
    <t xml:space="preserve"> -48 to 344</t>
  </si>
  <si>
    <t xml:space="preserve"> -53 to 321</t>
  </si>
  <si>
    <t xml:space="preserve"> -57 to 296</t>
  </si>
  <si>
    <t xml:space="preserve"> 17 to 421</t>
  </si>
  <si>
    <t xml:space="preserve"> -25 to 357</t>
  </si>
  <si>
    <t xml:space="preserve"> 10 to 436</t>
  </si>
  <si>
    <t xml:space="preserve"> -130 to 197</t>
  </si>
  <si>
    <t xml:space="preserve"> 41 to 421</t>
  </si>
  <si>
    <t>131 to 518</t>
  </si>
  <si>
    <t xml:space="preserve"> -21 to 328</t>
  </si>
  <si>
    <t xml:space="preserve"> -99 to 365</t>
  </si>
  <si>
    <t xml:space="preserve"> 13 to 343</t>
  </si>
  <si>
    <t xml:space="preserve"> -30 to 363</t>
  </si>
  <si>
    <t xml:space="preserve"> -108 to 267</t>
  </si>
  <si>
    <t xml:space="preserve"> -95 to 319</t>
  </si>
  <si>
    <t xml:space="preserve"> -25 to 366</t>
  </si>
  <si>
    <t xml:space="preserve"> -154 to 159</t>
  </si>
  <si>
    <t xml:space="preserve"> -36 to 114</t>
  </si>
  <si>
    <t xml:space="preserve"> -136 to 11</t>
  </si>
  <si>
    <t xml:space="preserve"> -60 to 228</t>
  </si>
  <si>
    <t xml:space="preserve"> -23 to 127</t>
  </si>
  <si>
    <t xml:space="preserve"> 83 to 119</t>
  </si>
  <si>
    <t xml:space="preserve"> 7 to 195</t>
  </si>
  <si>
    <t xml:space="preserve"> -126 to 97</t>
  </si>
  <si>
    <t xml:space="preserve"> -115 to 100</t>
  </si>
  <si>
    <t xml:space="preserve"> -32 to 180</t>
  </si>
  <si>
    <t xml:space="preserve"> -88 to 82</t>
  </si>
  <si>
    <t>17 to 118</t>
  </si>
  <si>
    <t xml:space="preserve"> -63 to 140</t>
  </si>
  <si>
    <t xml:space="preserve"> -83 to 56</t>
  </si>
  <si>
    <t xml:space="preserve"> -44 to 163</t>
  </si>
  <si>
    <t>13 to 187</t>
  </si>
  <si>
    <t>6 to 272</t>
  </si>
  <si>
    <t>123 to 327</t>
  </si>
  <si>
    <t xml:space="preserve"> -31 to 156</t>
  </si>
  <si>
    <t xml:space="preserve"> -23 to 126</t>
  </si>
  <si>
    <t xml:space="preserve"> -111 to 169</t>
  </si>
  <si>
    <t xml:space="preserve"> -23 to 182</t>
  </si>
  <si>
    <t xml:space="preserve"> -23 to 267</t>
  </si>
  <si>
    <t xml:space="preserve"> - 63 to 80</t>
  </si>
  <si>
    <t xml:space="preserve"> -98 to 130</t>
  </si>
  <si>
    <t xml:space="preserve"> -73 to 127</t>
  </si>
  <si>
    <t xml:space="preserve"> 7 to 170</t>
  </si>
  <si>
    <t xml:space="preserve"> -48 to 52</t>
  </si>
  <si>
    <t xml:space="preserve"> -6 to 488</t>
  </si>
  <si>
    <t xml:space="preserve"> -98 to 141</t>
  </si>
  <si>
    <t xml:space="preserve"> 20 to 316</t>
  </si>
  <si>
    <t xml:space="preserve"> 73 to 100</t>
  </si>
  <si>
    <t xml:space="preserve"> 19 to 191</t>
  </si>
  <si>
    <t xml:space="preserve"> 20 to 340</t>
  </si>
  <si>
    <t xml:space="preserve"> -11 to 253</t>
  </si>
  <si>
    <t xml:space="preserve"> -73 to 167</t>
  </si>
  <si>
    <t xml:space="preserve"> -53 to 200</t>
  </si>
  <si>
    <t xml:space="preserve"> -23 to 214</t>
  </si>
  <si>
    <t xml:space="preserve"> -13 to 303</t>
  </si>
  <si>
    <t xml:space="preserve"> 11 to 210</t>
  </si>
  <si>
    <t xml:space="preserve"> - 41 to 180</t>
  </si>
  <si>
    <t xml:space="preserve"> 0 to 220</t>
  </si>
  <si>
    <t xml:space="preserve"> -93 to 159</t>
  </si>
  <si>
    <t xml:space="preserve"> 18 to 291</t>
  </si>
  <si>
    <t xml:space="preserve"> -98 to 133</t>
  </si>
  <si>
    <t xml:space="preserve"> 1 to 250</t>
  </si>
  <si>
    <t xml:space="preserve"> -23 to 180</t>
  </si>
  <si>
    <t xml:space="preserve"> 15 to 161</t>
  </si>
  <si>
    <t xml:space="preserve"> -98 to 65</t>
  </si>
  <si>
    <t xml:space="preserve"> -23 to 152</t>
  </si>
  <si>
    <t xml:space="preserve"> -13 to 127</t>
  </si>
  <si>
    <t xml:space="preserve"> -108 to 177</t>
  </si>
  <si>
    <t xml:space="preserve"> -126 to 185</t>
  </si>
  <si>
    <t xml:space="preserve"> -84 - 116</t>
  </si>
  <si>
    <t xml:space="preserve"> -48.to 140</t>
  </si>
  <si>
    <t xml:space="preserve"> -55 to 320</t>
  </si>
  <si>
    <t xml:space="preserve"> -62 to 182</t>
  </si>
  <si>
    <t xml:space="preserve"> 17 to 240</t>
  </si>
  <si>
    <t xml:space="preserve"> -25 to 145</t>
  </si>
  <si>
    <t xml:space="preserve"> 10 to 271</t>
  </si>
  <si>
    <t xml:space="preserve"> -130 to 192</t>
  </si>
  <si>
    <t xml:space="preserve"> 18 to 282</t>
  </si>
  <si>
    <t>131 to 285</t>
  </si>
  <si>
    <t xml:space="preserve"> -21 to 141</t>
  </si>
  <si>
    <t xml:space="preserve"> -73 to 159</t>
  </si>
  <si>
    <t xml:space="preserve"> 13 to 140</t>
  </si>
  <si>
    <t xml:space="preserve"> -30 to 145</t>
  </si>
  <si>
    <t xml:space="preserve"> -108 to 100</t>
  </si>
  <si>
    <t xml:space="preserve"> -95 to 111</t>
  </si>
  <si>
    <t xml:space="preserve"> -23 to 86</t>
  </si>
  <si>
    <t xml:space="preserve"> -25 to 238</t>
  </si>
  <si>
    <t xml:space="preserve"> -143 to 127</t>
  </si>
  <si>
    <t xml:space="preserve"> -36 to 27</t>
  </si>
  <si>
    <t xml:space="preserve"> -136 to 17</t>
  </si>
  <si>
    <t xml:space="preserve"> -60 to 188</t>
  </si>
  <si>
    <t xml:space="preserve"> -108 to 77</t>
  </si>
  <si>
    <t xml:space="preserve"> -89 to 118</t>
  </si>
  <si>
    <t xml:space="preserve"> -23 to 194</t>
  </si>
  <si>
    <t xml:space="preserve"> -126 to 127</t>
  </si>
  <si>
    <t xml:space="preserve"> -115 to 99</t>
  </si>
  <si>
    <t xml:space="preserve"> -88 to 180</t>
  </si>
  <si>
    <t xml:space="preserve"> -126 to 82</t>
  </si>
  <si>
    <t xml:space="preserve"> -23 to 77</t>
  </si>
  <si>
    <t xml:space="preserve"> -95 to 56</t>
  </si>
  <si>
    <t xml:space="preserve"> -44 to 82</t>
  </si>
  <si>
    <t>13 to 102</t>
  </si>
  <si>
    <t>6 to 80</t>
  </si>
  <si>
    <t>122 to 177</t>
  </si>
  <si>
    <t xml:space="preserve"> 20 to 222</t>
  </si>
  <si>
    <t xml:space="preserve"> 25 to 126</t>
  </si>
  <si>
    <t xml:space="preserve"> -23 to 116</t>
  </si>
  <si>
    <t xml:space="preserve"> -45 to 87</t>
  </si>
  <si>
    <t xml:space="preserve"> - 40 to 93</t>
  </si>
  <si>
    <t xml:space="preserve"> -98 to 100</t>
  </si>
  <si>
    <t xml:space="preserve"> -96 to 152</t>
  </si>
  <si>
    <t xml:space="preserve"> 7 to 127</t>
  </si>
  <si>
    <t xml:space="preserve"> -116 to 187</t>
  </si>
  <si>
    <t xml:space="preserve"> -29 to 187</t>
  </si>
  <si>
    <t xml:space="preserve"> -98 to 177</t>
  </si>
  <si>
    <t xml:space="preserve"> 28 to 268</t>
  </si>
  <si>
    <t xml:space="preserve"> 18 to 160</t>
  </si>
  <si>
    <t xml:space="preserve"> 27 to 297</t>
  </si>
  <si>
    <t xml:space="preserve"> -9 to 57</t>
  </si>
  <si>
    <t xml:space="preserve"> -114 to 117</t>
  </si>
  <si>
    <t xml:space="preserve"> -83 to 133</t>
  </si>
  <si>
    <t xml:space="preserve"> -34 to 213</t>
  </si>
  <si>
    <t xml:space="preserve"> -13 to 220</t>
  </si>
  <si>
    <t xml:space="preserve"> 11 to 117</t>
  </si>
  <si>
    <t xml:space="preserve"> - 33 to 47</t>
  </si>
  <si>
    <t xml:space="preserve"> 18 to 220</t>
  </si>
  <si>
    <t xml:space="preserve"> -91 to 247</t>
  </si>
  <si>
    <t xml:space="preserve"> 18 to 287</t>
  </si>
  <si>
    <t xml:space="preserve"> -96 to 187</t>
  </si>
  <si>
    <t xml:space="preserve"> -95 to 47</t>
  </si>
  <si>
    <t xml:space="preserve"> -98 to 127</t>
  </si>
  <si>
    <t xml:space="preserve"> -20 to 100</t>
  </si>
  <si>
    <t xml:space="preserve"> -48 to 101</t>
  </si>
  <si>
    <t xml:space="preserve"> -109 to 55</t>
  </si>
  <si>
    <t xml:space="preserve"> -127 to 47</t>
  </si>
  <si>
    <t xml:space="preserve"> -87 to 100</t>
  </si>
  <si>
    <t xml:space="preserve"> -84 to 116</t>
  </si>
  <si>
    <t xml:space="preserve"> -56 to 267</t>
  </si>
  <si>
    <t xml:space="preserve"> -53 to 52</t>
  </si>
  <si>
    <t xml:space="preserve"> -57 to 187</t>
  </si>
  <si>
    <t xml:space="preserve"> 17 to 239</t>
  </si>
  <si>
    <t xml:space="preserve"> -25 to 144</t>
  </si>
  <si>
    <t xml:space="preserve"> -130 to 117</t>
  </si>
  <si>
    <t xml:space="preserve"> 41 to 152</t>
  </si>
  <si>
    <t xml:space="preserve"> -99 to 159</t>
  </si>
  <si>
    <t xml:space="preserve"> 13 to 327</t>
  </si>
  <si>
    <t xml:space="preserve"> -31 to 145</t>
  </si>
  <si>
    <t xml:space="preserve"> -108 to 66</t>
  </si>
  <si>
    <t xml:space="preserve"> -95 to 227</t>
  </si>
  <si>
    <t xml:space="preserve"> -73 to 89</t>
  </si>
  <si>
    <t xml:space="preserve"> -26 to 160</t>
  </si>
  <si>
    <t xml:space="preserve"> -37 to 209</t>
  </si>
  <si>
    <t xml:space="preserve"> -48 to 140</t>
  </si>
  <si>
    <t>Liquid Density:  Table 2-32</t>
  </si>
  <si>
    <t>T in K</t>
  </si>
  <si>
    <t xml:space="preserve"> -15 to 727</t>
  </si>
  <si>
    <t xml:space="preserve"> -32 to 727</t>
  </si>
  <si>
    <t xml:space="preserve"> -73 to 727</t>
  </si>
  <si>
    <t xml:space="preserve"> -86 to 727</t>
  </si>
  <si>
    <t xml:space="preserve"> -60 to 727</t>
  </si>
  <si>
    <t xml:space="preserve"> -73 to 140</t>
  </si>
  <si>
    <t xml:space="preserve"> -95 to 70</t>
  </si>
  <si>
    <t xml:space="preserve"> -44 to 76</t>
  </si>
  <si>
    <t>13 to 211</t>
  </si>
  <si>
    <t>6 to 140</t>
  </si>
  <si>
    <t>122 to 323</t>
  </si>
  <si>
    <t xml:space="preserve"> -31 to 219</t>
  </si>
  <si>
    <t xml:space="preserve"> -109 to-4</t>
  </si>
  <si>
    <t xml:space="preserve"> -89 to 119</t>
  </si>
  <si>
    <t xml:space="preserve"> -73 to 181</t>
  </si>
  <si>
    <t xml:space="preserve"> -112 to 46</t>
  </si>
  <si>
    <t xml:space="preserve"> -45 to 132</t>
  </si>
  <si>
    <t xml:space="preserve"> - 64 to 127</t>
  </si>
  <si>
    <t xml:space="preserve"> -98 to 77</t>
  </si>
  <si>
    <t xml:space="preserve"> -96 to 140</t>
  </si>
  <si>
    <t xml:space="preserve"> 7 to 81</t>
  </si>
  <si>
    <t xml:space="preserve"> -94 to 49</t>
  </si>
  <si>
    <t xml:space="preserve"> -30 to 174</t>
  </si>
  <si>
    <t xml:space="preserve"> -98 to 250</t>
  </si>
  <si>
    <t xml:space="preserve"> 28 to 400</t>
  </si>
  <si>
    <t xml:space="preserve"> 27 to 258</t>
  </si>
  <si>
    <t xml:space="preserve"> -10 to 216</t>
  </si>
  <si>
    <t xml:space="preserve"> -114 to 80</t>
  </si>
  <si>
    <t xml:space="preserve"> -84 to 77</t>
  </si>
  <si>
    <t xml:space="preserve"> -35 to 276</t>
  </si>
  <si>
    <t xml:space="preserve"> -13 to 197</t>
  </si>
  <si>
    <t xml:space="preserve"> - 35 to 80</t>
  </si>
  <si>
    <t xml:space="preserve"> 3 to 220</t>
  </si>
  <si>
    <t xml:space="preserve"> -91 to 99</t>
  </si>
  <si>
    <t xml:space="preserve"> -95 to 97</t>
  </si>
  <si>
    <t xml:space="preserve"> 2 to 350</t>
  </si>
  <si>
    <t xml:space="preserve"> -95 to 32</t>
  </si>
  <si>
    <t xml:space="preserve"> 15 to 257</t>
  </si>
  <si>
    <t xml:space="preserve"> -98 to 113</t>
  </si>
  <si>
    <t xml:space="preserve"> 0 to 101</t>
  </si>
  <si>
    <t xml:space="preserve"> -87 to 80</t>
  </si>
  <si>
    <t xml:space="preserve"> -84 to 178</t>
  </si>
  <si>
    <t xml:space="preserve"> 17 to 90</t>
  </si>
  <si>
    <t xml:space="preserve"> -53 to 151</t>
  </si>
  <si>
    <t xml:space="preserve"> -57 to 126</t>
  </si>
  <si>
    <t xml:space="preserve"> -130 to 172</t>
  </si>
  <si>
    <t xml:space="preserve"> 41 to 182</t>
  </si>
  <si>
    <t xml:space="preserve"> -21 to 270</t>
  </si>
  <si>
    <t xml:space="preserve"> -100 to 310</t>
  </si>
  <si>
    <t xml:space="preserve"> -95 to 202</t>
  </si>
  <si>
    <t xml:space="preserve"> -115 to 210</t>
  </si>
  <si>
    <t xml:space="preserve"> -26 to 196</t>
  </si>
  <si>
    <t xml:space="preserve"> -154 to 72</t>
  </si>
  <si>
    <t xml:space="preserve"> 0 to 360</t>
  </si>
  <si>
    <r>
      <t xml:space="preserve">                                  D</t>
    </r>
    <r>
      <rPr>
        <sz val="10"/>
        <rFont val="Arial"/>
      </rPr>
      <t>T =</t>
    </r>
  </si>
  <si>
    <t xml:space="preserve">                         T1 =</t>
  </si>
  <si>
    <t xml:space="preserve">                         T2 =</t>
  </si>
  <si>
    <r>
      <t xml:space="preserve">          r</t>
    </r>
    <r>
      <rPr>
        <sz val="10"/>
        <rFont val="Arial"/>
      </rPr>
      <t>1 =</t>
    </r>
  </si>
  <si>
    <r>
      <t xml:space="preserve">          r</t>
    </r>
    <r>
      <rPr>
        <sz val="10"/>
        <rFont val="Arial"/>
      </rPr>
      <t>2 =</t>
    </r>
  </si>
  <si>
    <r>
      <t xml:space="preserve">    </t>
    </r>
    <r>
      <rPr>
        <b/>
        <sz val="11"/>
        <rFont val="Symbol"/>
        <family val="1"/>
        <charset val="2"/>
      </rPr>
      <t xml:space="preserve">b </t>
    </r>
    <r>
      <rPr>
        <b/>
        <sz val="11"/>
        <rFont val="Arial"/>
        <family val="2"/>
      </rPr>
      <t xml:space="preserve">= </t>
    </r>
    <r>
      <rPr>
        <b/>
        <sz val="11"/>
        <rFont val="Symbol"/>
        <family val="1"/>
        <charset val="2"/>
      </rPr>
      <t>r</t>
    </r>
    <r>
      <rPr>
        <b/>
        <sz val="11"/>
        <rFont val="Arial"/>
        <family val="2"/>
      </rPr>
      <t>d(1/</t>
    </r>
    <r>
      <rPr>
        <b/>
        <sz val="11"/>
        <rFont val="Symbol"/>
        <family val="1"/>
        <charset val="2"/>
      </rPr>
      <t>r</t>
    </r>
    <r>
      <rPr>
        <b/>
        <sz val="11"/>
        <rFont val="Arial"/>
        <family val="2"/>
      </rPr>
      <t xml:space="preserve">)/dT ~ </t>
    </r>
    <r>
      <rPr>
        <b/>
        <sz val="11"/>
        <rFont val="Symbol"/>
        <family val="1"/>
        <charset val="2"/>
      </rPr>
      <t>rD</t>
    </r>
    <r>
      <rPr>
        <b/>
        <sz val="11"/>
        <rFont val="Arial"/>
        <family val="2"/>
      </rPr>
      <t>(1/</t>
    </r>
    <r>
      <rPr>
        <b/>
        <sz val="11"/>
        <rFont val="Symbol"/>
        <family val="1"/>
        <charset val="2"/>
      </rPr>
      <t>r</t>
    </r>
    <r>
      <rPr>
        <b/>
        <sz val="11"/>
        <rFont val="Arial"/>
        <family val="2"/>
      </rPr>
      <t>)/</t>
    </r>
    <r>
      <rPr>
        <b/>
        <sz val="11"/>
        <rFont val="Symbol"/>
        <family val="1"/>
        <charset val="2"/>
      </rPr>
      <t>D</t>
    </r>
    <r>
      <rPr>
        <b/>
        <sz val="11"/>
        <rFont val="Arial"/>
        <family val="2"/>
      </rPr>
      <t xml:space="preserve">T = </t>
    </r>
    <r>
      <rPr>
        <b/>
        <sz val="11"/>
        <rFont val="Symbol"/>
        <family val="1"/>
        <charset val="2"/>
      </rPr>
      <t xml:space="preserve"> r</t>
    </r>
    <r>
      <rPr>
        <b/>
        <sz val="11"/>
        <rFont val="Arial"/>
        <family val="2"/>
      </rPr>
      <t>[(1/</t>
    </r>
    <r>
      <rPr>
        <b/>
        <sz val="11"/>
        <rFont val="Symbol"/>
        <family val="1"/>
        <charset val="2"/>
      </rPr>
      <t>r</t>
    </r>
    <r>
      <rPr>
        <b/>
        <sz val="11"/>
        <rFont val="Arial"/>
        <family val="2"/>
      </rPr>
      <t>2) - (1/</t>
    </r>
    <r>
      <rPr>
        <b/>
        <sz val="11"/>
        <rFont val="Symbol"/>
        <family val="1"/>
        <charset val="2"/>
      </rPr>
      <t>r</t>
    </r>
    <r>
      <rPr>
        <b/>
        <sz val="11"/>
        <rFont val="Arial"/>
        <family val="2"/>
      </rPr>
      <t>1)]/(T2 - T1)</t>
    </r>
  </si>
  <si>
    <t>The source for the data in the tables below used to calculate fluid density, viscosity, specific heat, and thermal conductivity are the tables itemized below from:</t>
  </si>
  <si>
    <t>Limits of Temperature Range</t>
  </si>
  <si>
    <t xml:space="preserve"> -116 to 160</t>
  </si>
  <si>
    <t>t for heptane</t>
  </si>
  <si>
    <t>Parameters for Heptane Specific Heat Calculation:</t>
  </si>
  <si>
    <r>
      <t xml:space="preserve">Preliminary calculations for calculating the thermal expansion coefficient, </t>
    </r>
    <r>
      <rPr>
        <b/>
        <sz val="11"/>
        <rFont val="Symbol"/>
        <family val="1"/>
        <charset val="2"/>
      </rPr>
      <t>b</t>
    </r>
    <r>
      <rPr>
        <sz val="10"/>
        <rFont val="Arial"/>
      </rPr>
      <t>, from:</t>
    </r>
  </si>
  <si>
    <t>Viscosity of Liquids:</t>
  </si>
  <si>
    <t>Specific Heat of Liquids:</t>
  </si>
  <si>
    <t>Thermal Conductivity of liquids</t>
  </si>
  <si>
    <t>Thermal Expansion Coefficient of Liquids</t>
  </si>
  <si>
    <r>
      <t xml:space="preserve">    </t>
    </r>
    <r>
      <rPr>
        <sz val="11"/>
        <rFont val="Symbol"/>
        <family val="1"/>
        <charset val="2"/>
      </rPr>
      <t xml:space="preserve">b </t>
    </r>
    <r>
      <rPr>
        <sz val="11"/>
        <rFont val="Arial"/>
        <family val="2"/>
      </rPr>
      <t xml:space="preserve">= (1/V)dV/dT = (1/v)dv/dT = </t>
    </r>
    <r>
      <rPr>
        <sz val="11"/>
        <rFont val="Symbol"/>
        <family val="1"/>
        <charset val="2"/>
      </rPr>
      <t>r</t>
    </r>
    <r>
      <rPr>
        <sz val="11"/>
        <rFont val="Arial"/>
        <family val="2"/>
      </rPr>
      <t>d(1/</t>
    </r>
    <r>
      <rPr>
        <sz val="11"/>
        <rFont val="Symbol"/>
        <family val="1"/>
        <charset val="2"/>
      </rPr>
      <t>r</t>
    </r>
    <r>
      <rPr>
        <sz val="11"/>
        <rFont val="Arial"/>
        <family val="2"/>
      </rPr>
      <t xml:space="preserve">)/dT ~ </t>
    </r>
    <r>
      <rPr>
        <sz val="11"/>
        <rFont val="Symbol"/>
        <family val="1"/>
        <charset val="2"/>
      </rPr>
      <t>rD</t>
    </r>
    <r>
      <rPr>
        <sz val="11"/>
        <rFont val="Arial"/>
        <family val="2"/>
      </rPr>
      <t>(1/</t>
    </r>
    <r>
      <rPr>
        <sz val="11"/>
        <rFont val="Symbol"/>
        <family val="1"/>
        <charset val="2"/>
      </rPr>
      <t>r</t>
    </r>
    <r>
      <rPr>
        <sz val="11"/>
        <rFont val="Arial"/>
        <family val="2"/>
      </rPr>
      <t>)/</t>
    </r>
    <r>
      <rPr>
        <sz val="11"/>
        <rFont val="Symbol"/>
        <family val="1"/>
        <charset val="2"/>
      </rPr>
      <t>D</t>
    </r>
    <r>
      <rPr>
        <sz val="11"/>
        <rFont val="Arial"/>
        <family val="2"/>
      </rPr>
      <t xml:space="preserve">T = </t>
    </r>
    <r>
      <rPr>
        <sz val="11"/>
        <rFont val="Symbol"/>
        <family val="1"/>
        <charset val="2"/>
      </rPr>
      <t xml:space="preserve"> r</t>
    </r>
    <r>
      <rPr>
        <sz val="11"/>
        <rFont val="Arial"/>
        <family val="2"/>
      </rPr>
      <t>[(1/</t>
    </r>
    <r>
      <rPr>
        <sz val="11"/>
        <rFont val="Symbol"/>
        <family val="1"/>
        <charset val="2"/>
      </rPr>
      <t>r</t>
    </r>
    <r>
      <rPr>
        <sz val="11"/>
        <rFont val="Arial"/>
        <family val="2"/>
      </rPr>
      <t>2) - (1/</t>
    </r>
    <r>
      <rPr>
        <sz val="11"/>
        <rFont val="Symbol"/>
        <family val="1"/>
        <charset val="2"/>
      </rPr>
      <t>r</t>
    </r>
    <r>
      <rPr>
        <sz val="11"/>
        <rFont val="Arial"/>
        <family val="2"/>
      </rPr>
      <t>1)]/(T2 - T1)</t>
    </r>
  </si>
  <si>
    <r>
      <t>t</t>
    </r>
    <r>
      <rPr>
        <sz val="11"/>
        <rFont val="Arial"/>
        <family val="2"/>
      </rPr>
      <t xml:space="preserve">  =  1  -  T/647.096</t>
    </r>
  </si>
  <si>
    <r>
      <t>r</t>
    </r>
    <r>
      <rPr>
        <sz val="11"/>
        <rFont val="Arial"/>
        <family val="2"/>
      </rPr>
      <t xml:space="preserve"> is in 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 xml:space="preserve"> </t>
    </r>
  </si>
  <si>
    <r>
      <t xml:space="preserve">The values of 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 xml:space="preserve"> come from the equations at the top of this section.</t>
    </r>
  </si>
  <si>
    <r>
      <t xml:space="preserve">  T is in K, </t>
    </r>
    <r>
      <rPr>
        <sz val="10"/>
        <rFont val="Symbol"/>
        <family val="1"/>
        <charset val="2"/>
      </rPr>
      <t>b</t>
    </r>
    <r>
      <rPr>
        <sz val="10"/>
        <rFont val="Arial"/>
      </rPr>
      <t xml:space="preserve"> is in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</t>
    </r>
  </si>
  <si>
    <t xml:space="preserve"> The equations used to calculate the fluid properties in this worksheet are shown below.</t>
  </si>
  <si>
    <t xml:space="preserve"> The source for these equations and the constants in the Lookup Table used to make</t>
  </si>
  <si>
    <t xml:space="preserve"> the calculations came from:</t>
  </si>
  <si>
    <t xml:space="preserve"> Links to the tables for each fluid property are given at the top of the worksheet.</t>
  </si>
  <si>
    <t>Density of liquids other than water:</t>
  </si>
  <si>
    <r>
      <t xml:space="preserve">  r</t>
    </r>
    <r>
      <rPr>
        <sz val="12"/>
        <rFont val="Arial"/>
        <family val="2"/>
      </rPr>
      <t xml:space="preserve">  =  (MW)(17.863 + 58.606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0.35</t>
    </r>
    <r>
      <rPr>
        <sz val="12"/>
        <rFont val="Arial"/>
        <family val="2"/>
      </rPr>
      <t xml:space="preserve"> - 95.396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2/3</t>
    </r>
    <r>
      <rPr>
        <sz val="12"/>
        <rFont val="Arial"/>
        <family val="2"/>
      </rPr>
      <t xml:space="preserve"> + 213.89</t>
    </r>
    <r>
      <rPr>
        <sz val="12"/>
        <rFont val="Symbol"/>
        <family val="1"/>
        <charset val="2"/>
      </rPr>
      <t>t</t>
    </r>
    <r>
      <rPr>
        <sz val="12"/>
        <rFont val="Arial"/>
        <family val="2"/>
      </rPr>
      <t xml:space="preserve"> - 141.26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4/3</t>
    </r>
    <r>
      <rPr>
        <sz val="12"/>
        <rFont val="Arial"/>
        <family val="2"/>
      </rPr>
      <t>)</t>
    </r>
  </si>
  <si>
    <r>
      <t xml:space="preserve">  r</t>
    </r>
    <r>
      <rPr>
        <sz val="12"/>
        <rFont val="Arial"/>
        <family val="2"/>
      </rPr>
      <t xml:space="preserve">  =  (MW)(C1 + C2T + C3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 C4</t>
    </r>
    <r>
      <rPr>
        <sz val="12"/>
        <rFont val="Symbol"/>
        <family val="1"/>
        <charset val="2"/>
      </rPr>
      <t>T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</si>
  <si>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r>
      <t xml:space="preserve">     r</t>
    </r>
    <r>
      <rPr>
        <sz val="11"/>
        <rFont val="Arial"/>
        <family val="2"/>
      </rPr>
      <t xml:space="preserve"> is in 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 xml:space="preserve"> </t>
    </r>
  </si>
  <si>
    <t xml:space="preserve">   Natural Convection Heat Transfer Coefficient Calculator - S.I. Units</t>
  </si>
  <si>
    <t>Copyright © McGraw-Hill Global Education Holdings, LLC.  All rights reserved.</t>
  </si>
  <si>
    <t>Other Fluid</t>
  </si>
  <si>
    <t xml:space="preserve">   Choose "Other Fluid" (at the bottom</t>
  </si>
  <si>
    <t xml:space="preserve">   of the list) if you want to enter fluid</t>
  </si>
  <si>
    <t xml:space="preserve">   properties obtained elsewhere.</t>
  </si>
  <si>
    <t xml:space="preserve">   of the list in the menu near the top of</t>
  </si>
  <si>
    <t xml:space="preserve">   this worksheet, if you want to enter</t>
  </si>
  <si>
    <t xml:space="preserve">   fluid properties obtained elsewhere.</t>
  </si>
  <si>
    <t>Natural Convection from an Isothermal Vertical Plane or Cylinder - (S.I. units)</t>
  </si>
  <si>
    <t xml:space="preserve">  NOTE:  The cells containing formulas are locked (protected) to avoid the</t>
  </si>
  <si>
    <t xml:space="preserve">  possibility of inadvertently typing over any of the formulas.  You may,</t>
  </si>
  <si>
    <t xml:space="preserve">  however, adjust the number of decmal places for any of the cells.</t>
  </si>
  <si>
    <r>
      <t xml:space="preserve">  Cylinder Diameter, </t>
    </r>
    <r>
      <rPr>
        <b/>
        <sz val="12"/>
        <rFont val="Arial"/>
        <family val="2"/>
      </rPr>
      <t>D</t>
    </r>
    <r>
      <rPr>
        <sz val="10"/>
        <rFont val="Arial"/>
      </rPr>
      <t xml:space="preserve"> =</t>
    </r>
  </si>
  <si>
    <t>Perry's Chemical Engineers' Handbook, 9th Ed, Ch. 2, Physical and Chemical Data</t>
  </si>
  <si>
    <t>Liquid Viscosity:  Table 2-139</t>
  </si>
  <si>
    <t>Liquid Sp. Heat:  Table 2-72</t>
  </si>
  <si>
    <t>Liquid Thermal Conductivity:  Table 2-147</t>
  </si>
  <si>
    <t>Air Viscosity:  Table 2-138</t>
  </si>
  <si>
    <t>Air Specific Heat:  Table 2-75</t>
  </si>
  <si>
    <t>Air Thermal Cond.:  Table 2-145</t>
  </si>
  <si>
    <t>Perry's Chemical Engineers' Handbook, 9th Ed., Ch. 2, Physical and Chemical Data</t>
  </si>
  <si>
    <t>Perry's Chemical Engineer's Handbook, 9th Ed. - Sect 5.3.2 Natural Convection</t>
  </si>
  <si>
    <r>
      <t>Film Temperature (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</si>
</sst>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00"/>
    <numFmt numFmtId="166" formatCode="0.000"/>
    <numFmt numFmtId="167" formatCode="0.0"/>
    <numFmt numFmtId="168" formatCode="0.0000000"/>
    <numFmt numFmtId="169" formatCode="0.000000"/>
    <numFmt numFmtId="170" formatCode="0.0E+00"/>
    <numFmt numFmtId="171" formatCode="0.0000E+00"/>
    <numFmt numFmtId="172" formatCode="0.000E+00"/>
    <numFmt numFmtId="173" formatCode="0.000.E+00"/>
    <numFmt numFmtId="174" formatCode="0E+00"/>
  </numFmts>
  <fonts count="58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Symbol"/>
      <family val="1"/>
      <charset val="2"/>
    </font>
    <font>
      <b/>
      <vertAlign val="superscript"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10"/>
      <name val="Symbol"/>
      <family val="1"/>
      <charset val="2"/>
    </font>
    <font>
      <u/>
      <sz val="11"/>
      <color indexed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2"/>
      <name val="Symbol"/>
      <family val="1"/>
      <charset val="2"/>
    </font>
    <font>
      <vertAlign val="superscript"/>
      <sz val="12"/>
      <name val="Arial"/>
      <family val="2"/>
    </font>
    <font>
      <b/>
      <sz val="10"/>
      <color indexed="9"/>
      <name val="Arial"/>
      <family val="2"/>
    </font>
    <font>
      <sz val="14"/>
      <name val="Arial"/>
      <family val="2"/>
    </font>
    <font>
      <b/>
      <sz val="20"/>
      <color indexed="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9"/>
      <color indexed="9"/>
      <name val="Arial"/>
      <family val="2"/>
    </font>
    <font>
      <b/>
      <vertAlign val="superscript"/>
      <sz val="10"/>
      <color indexed="9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2"/>
      <color indexed="12"/>
      <name val="Arial"/>
      <family val="2"/>
    </font>
    <font>
      <b/>
      <vertAlign val="superscript"/>
      <sz val="1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2"/>
      <name val="Arial"/>
      <family val="2"/>
    </font>
    <font>
      <sz val="11"/>
      <name val="Symbol"/>
      <family val="1"/>
      <charset val="2"/>
    </font>
    <font>
      <vertAlign val="superscript"/>
      <sz val="11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1"/>
      <name val="Symbol"/>
      <family val="1"/>
      <charset val="2"/>
    </font>
    <font>
      <sz val="11"/>
      <name val="Arial"/>
      <family val="2"/>
    </font>
    <font>
      <b/>
      <sz val="18"/>
      <name val="Arial"/>
      <family val="2"/>
    </font>
    <font>
      <b/>
      <sz val="12"/>
      <color rgb="FFC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31" fillId="3" borderId="0" applyNumberFormat="0" applyBorder="0" applyAlignment="0" applyProtection="0"/>
    <xf numFmtId="0" fontId="32" fillId="20" borderId="1" applyNumberFormat="0" applyAlignment="0" applyProtection="0"/>
    <xf numFmtId="0" fontId="33" fillId="21" borderId="2" applyNumberFormat="0" applyAlignment="0" applyProtection="0"/>
    <xf numFmtId="0" fontId="15" fillId="0" borderId="0"/>
    <xf numFmtId="0" fontId="34" fillId="0" borderId="0" applyNumberFormat="0" applyFill="0" applyBorder="0" applyAlignment="0" applyProtection="0"/>
    <xf numFmtId="0" fontId="35" fillId="4" borderId="0" applyNumberFormat="0" applyBorder="0" applyAlignment="0" applyProtection="0"/>
    <xf numFmtId="0" fontId="36" fillId="0" borderId="3" applyNumberFormat="0" applyFill="0" applyAlignment="0" applyProtection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9" fillId="7" borderId="1" applyNumberFormat="0" applyAlignment="0" applyProtection="0"/>
    <xf numFmtId="0" fontId="40" fillId="0" borderId="6" applyNumberFormat="0" applyFill="0" applyAlignment="0" applyProtection="0"/>
    <xf numFmtId="0" fontId="41" fillId="22" borderId="0" applyNumberFormat="0" applyBorder="0" applyAlignment="0" applyProtection="0"/>
    <xf numFmtId="0" fontId="1" fillId="23" borderId="7" applyNumberFormat="0" applyFont="0" applyAlignment="0" applyProtection="0"/>
    <xf numFmtId="0" fontId="42" fillId="20" borderId="8" applyNumberFormat="0" applyAlignment="0" applyProtection="0"/>
    <xf numFmtId="0" fontId="43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45" fillId="0" borderId="0" applyNumberFormat="0" applyFill="0" applyBorder="0" applyAlignment="0" applyProtection="0"/>
  </cellStyleXfs>
  <cellXfs count="272">
    <xf numFmtId="0" fontId="0" fillId="0" borderId="0" xfId="0"/>
    <xf numFmtId="0" fontId="0" fillId="0" borderId="0" xfId="0" applyAlignment="1">
      <alignment horizontal="center"/>
    </xf>
    <xf numFmtId="0" fontId="2" fillId="0" borderId="0" xfId="35" applyAlignment="1" applyProtection="1"/>
    <xf numFmtId="0" fontId="2" fillId="0" borderId="0" xfId="35" applyAlignment="1" applyProtection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24" borderId="10" xfId="0" applyFill="1" applyBorder="1"/>
    <xf numFmtId="0" fontId="0" fillId="24" borderId="11" xfId="0" applyFill="1" applyBorder="1"/>
    <xf numFmtId="0" fontId="0" fillId="24" borderId="12" xfId="0" applyFill="1" applyBorder="1"/>
    <xf numFmtId="0" fontId="0" fillId="24" borderId="10" xfId="0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18" fillId="25" borderId="0" xfId="0" applyFont="1" applyFill="1" applyBorder="1"/>
    <xf numFmtId="0" fontId="7" fillId="0" borderId="0" xfId="0" applyFont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13" xfId="0" applyFill="1" applyBorder="1"/>
    <xf numFmtId="0" fontId="0" fillId="24" borderId="14" xfId="0" applyFill="1" applyBorder="1"/>
    <xf numFmtId="0" fontId="0" fillId="24" borderId="15" xfId="0" applyFill="1" applyBorder="1" applyAlignment="1">
      <alignment horizontal="center"/>
    </xf>
    <xf numFmtId="49" fontId="0" fillId="24" borderId="0" xfId="0" applyNumberFormat="1" applyFill="1" applyBorder="1"/>
    <xf numFmtId="0" fontId="0" fillId="24" borderId="0" xfId="0" applyFill="1" applyBorder="1"/>
    <xf numFmtId="49" fontId="0" fillId="24" borderId="0" xfId="0" applyNumberFormat="1" applyFill="1" applyBorder="1" applyAlignment="1">
      <alignment horizontal="center"/>
    </xf>
    <xf numFmtId="0" fontId="0" fillId="24" borderId="15" xfId="0" applyFill="1" applyBorder="1"/>
    <xf numFmtId="0" fontId="0" fillId="24" borderId="16" xfId="0" applyFill="1" applyBorder="1"/>
    <xf numFmtId="0" fontId="0" fillId="26" borderId="17" xfId="0" applyFill="1" applyBorder="1" applyAlignment="1" applyProtection="1">
      <alignment horizontal="center"/>
      <protection locked="0"/>
    </xf>
    <xf numFmtId="164" fontId="0" fillId="24" borderId="0" xfId="0" applyNumberFormat="1" applyFill="1" applyBorder="1"/>
    <xf numFmtId="0" fontId="0" fillId="24" borderId="17" xfId="0" applyFill="1" applyBorder="1"/>
    <xf numFmtId="0" fontId="0" fillId="27" borderId="18" xfId="0" applyFill="1" applyBorder="1"/>
    <xf numFmtId="0" fontId="19" fillId="27" borderId="19" xfId="0" applyFont="1" applyFill="1" applyBorder="1" applyAlignment="1"/>
    <xf numFmtId="0" fontId="0" fillId="27" borderId="20" xfId="0" applyFill="1" applyBorder="1"/>
    <xf numFmtId="0" fontId="0" fillId="24" borderId="21" xfId="0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11" fillId="0" borderId="0" xfId="35" applyFont="1" applyAlignment="1" applyProtection="1">
      <alignment horizontal="center"/>
    </xf>
    <xf numFmtId="0" fontId="21" fillId="24" borderId="0" xfId="0" applyNumberFormat="1" applyFont="1" applyFill="1" applyBorder="1" applyAlignment="1">
      <alignment horizontal="center"/>
    </xf>
    <xf numFmtId="0" fontId="4" fillId="24" borderId="10" xfId="0" applyFont="1" applyFill="1" applyBorder="1" applyAlignment="1"/>
    <xf numFmtId="0" fontId="4" fillId="24" borderId="0" xfId="0" applyFont="1" applyFill="1" applyBorder="1" applyAlignment="1"/>
    <xf numFmtId="0" fontId="4" fillId="24" borderId="11" xfId="0" applyFont="1" applyFill="1" applyBorder="1" applyAlignment="1"/>
    <xf numFmtId="0" fontId="0" fillId="28" borderId="0" xfId="0" applyFill="1" applyBorder="1"/>
    <xf numFmtId="0" fontId="4" fillId="28" borderId="0" xfId="0" applyFont="1" applyFill="1" applyBorder="1" applyAlignment="1"/>
    <xf numFmtId="0" fontId="11" fillId="0" borderId="0" xfId="35" applyFont="1" applyAlignment="1" applyProtection="1"/>
    <xf numFmtId="0" fontId="2" fillId="0" borderId="0" xfId="35" applyAlignment="1" applyProtection="1">
      <alignment horizontal="left"/>
    </xf>
    <xf numFmtId="0" fontId="2" fillId="0" borderId="0" xfId="35" applyFont="1" applyAlignment="1" applyProtection="1">
      <alignment horizontal="left"/>
    </xf>
    <xf numFmtId="0" fontId="0" fillId="27" borderId="10" xfId="0" applyFill="1" applyBorder="1"/>
    <xf numFmtId="0" fontId="0" fillId="27" borderId="0" xfId="0" applyFill="1" applyBorder="1"/>
    <xf numFmtId="0" fontId="0" fillId="27" borderId="11" xfId="0" applyFill="1" applyBorder="1"/>
    <xf numFmtId="0" fontId="0" fillId="27" borderId="12" xfId="0" applyFill="1" applyBorder="1"/>
    <xf numFmtId="0" fontId="0" fillId="27" borderId="21" xfId="0" applyFill="1" applyBorder="1"/>
    <xf numFmtId="0" fontId="0" fillId="27" borderId="17" xfId="0" applyFill="1" applyBorder="1"/>
    <xf numFmtId="0" fontId="22" fillId="0" borderId="0" xfId="0" applyFont="1"/>
    <xf numFmtId="0" fontId="13" fillId="27" borderId="0" xfId="0" applyFont="1" applyFill="1" applyBorder="1"/>
    <xf numFmtId="0" fontId="10" fillId="27" borderId="0" xfId="0" applyFont="1" applyFill="1" applyBorder="1"/>
    <xf numFmtId="0" fontId="13" fillId="27" borderId="10" xfId="0" applyFont="1" applyFill="1" applyBorder="1"/>
    <xf numFmtId="0" fontId="22" fillId="27" borderId="0" xfId="0" applyFont="1" applyFill="1" applyBorder="1"/>
    <xf numFmtId="0" fontId="22" fillId="27" borderId="11" xfId="0" applyFont="1" applyFill="1" applyBorder="1"/>
    <xf numFmtId="0" fontId="8" fillId="27" borderId="10" xfId="0" applyFont="1" applyFill="1" applyBorder="1"/>
    <xf numFmtId="0" fontId="0" fillId="28" borderId="0" xfId="0" applyFill="1"/>
    <xf numFmtId="0" fontId="0" fillId="24" borderId="21" xfId="0" applyFill="1" applyBorder="1"/>
    <xf numFmtId="2" fontId="0" fillId="24" borderId="0" xfId="0" applyNumberFormat="1" applyFill="1" applyBorder="1"/>
    <xf numFmtId="2" fontId="0" fillId="24" borderId="21" xfId="0" applyNumberFormat="1" applyFill="1" applyBorder="1"/>
    <xf numFmtId="0" fontId="22" fillId="27" borderId="10" xfId="0" applyFont="1" applyFill="1" applyBorder="1"/>
    <xf numFmtId="0" fontId="11" fillId="0" borderId="0" xfId="35" applyFont="1" applyAlignment="1" applyProtection="1">
      <alignment horizontal="left"/>
    </xf>
    <xf numFmtId="0" fontId="0" fillId="24" borderId="11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3" fillId="27" borderId="10" xfId="0" applyFont="1" applyFill="1" applyBorder="1"/>
    <xf numFmtId="0" fontId="7" fillId="27" borderId="10" xfId="0" applyFont="1" applyFill="1" applyBorder="1"/>
    <xf numFmtId="0" fontId="7" fillId="27" borderId="0" xfId="0" applyFont="1" applyFill="1" applyBorder="1"/>
    <xf numFmtId="0" fontId="0" fillId="24" borderId="18" xfId="0" applyFill="1" applyBorder="1"/>
    <xf numFmtId="0" fontId="0" fillId="24" borderId="19" xfId="0" applyFill="1" applyBorder="1"/>
    <xf numFmtId="0" fontId="0" fillId="24" borderId="20" xfId="0" applyFill="1" applyBorder="1"/>
    <xf numFmtId="0" fontId="22" fillId="27" borderId="21" xfId="0" applyFont="1" applyFill="1" applyBorder="1"/>
    <xf numFmtId="0" fontId="22" fillId="27" borderId="17" xfId="0" applyFont="1" applyFill="1" applyBorder="1"/>
    <xf numFmtId="167" fontId="0" fillId="24" borderId="0" xfId="0" applyNumberFormat="1" applyFill="1" applyBorder="1"/>
    <xf numFmtId="0" fontId="0" fillId="24" borderId="14" xfId="0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18" fillId="25" borderId="0" xfId="0" applyFont="1" applyFill="1" applyBorder="1" applyAlignment="1">
      <alignment horizontal="center"/>
    </xf>
    <xf numFmtId="0" fontId="4" fillId="24" borderId="10" xfId="0" applyFont="1" applyFill="1" applyBorder="1" applyAlignment="1">
      <alignment horizontal="right"/>
    </xf>
    <xf numFmtId="0" fontId="4" fillId="24" borderId="0" xfId="0" applyFont="1" applyFill="1" applyBorder="1"/>
    <xf numFmtId="169" fontId="0" fillId="24" borderId="11" xfId="0" applyNumberFormat="1" applyFill="1" applyBorder="1" applyAlignment="1">
      <alignment horizontal="center"/>
    </xf>
    <xf numFmtId="169" fontId="0" fillId="24" borderId="17" xfId="0" applyNumberFormat="1" applyFill="1" applyBorder="1" applyAlignment="1">
      <alignment horizontal="center"/>
    </xf>
    <xf numFmtId="165" fontId="0" fillId="24" borderId="17" xfId="0" applyNumberFormat="1" applyFill="1" applyBorder="1" applyAlignment="1">
      <alignment horizontal="center"/>
    </xf>
    <xf numFmtId="0" fontId="4" fillId="24" borderId="18" xfId="0" applyFont="1" applyFill="1" applyBorder="1" applyAlignment="1"/>
    <xf numFmtId="0" fontId="4" fillId="24" borderId="19" xfId="0" applyFont="1" applyFill="1" applyBorder="1" applyAlignment="1"/>
    <xf numFmtId="0" fontId="4" fillId="24" borderId="20" xfId="0" applyFont="1" applyFill="1" applyBorder="1" applyAlignment="1"/>
    <xf numFmtId="0" fontId="22" fillId="27" borderId="12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27" fillId="0" borderId="0" xfId="0" applyFont="1"/>
    <xf numFmtId="166" fontId="0" fillId="24" borderId="21" xfId="0" applyNumberFormat="1" applyFill="1" applyBorder="1"/>
    <xf numFmtId="0" fontId="21" fillId="0" borderId="0" xfId="0" applyFont="1"/>
    <xf numFmtId="0" fontId="28" fillId="0" borderId="0" xfId="0" applyFont="1" applyAlignment="1">
      <alignment horizontal="center"/>
    </xf>
    <xf numFmtId="0" fontId="0" fillId="27" borderId="19" xfId="0" applyFill="1" applyBorder="1"/>
    <xf numFmtId="0" fontId="0" fillId="24" borderId="22" xfId="0" applyFill="1" applyBorder="1" applyAlignment="1">
      <alignment horizontal="center"/>
    </xf>
    <xf numFmtId="1" fontId="0" fillId="26" borderId="23" xfId="0" applyNumberFormat="1" applyFill="1" applyBorder="1" applyAlignment="1" applyProtection="1">
      <alignment horizontal="center"/>
      <protection locked="0"/>
    </xf>
    <xf numFmtId="1" fontId="0" fillId="26" borderId="24" xfId="0" applyNumberFormat="1" applyFill="1" applyBorder="1" applyAlignment="1" applyProtection="1">
      <alignment horizontal="center"/>
      <protection locked="0"/>
    </xf>
    <xf numFmtId="0" fontId="0" fillId="26" borderId="23" xfId="0" applyFill="1" applyBorder="1" applyAlignment="1" applyProtection="1">
      <alignment horizontal="center"/>
      <protection locked="0"/>
    </xf>
    <xf numFmtId="0" fontId="0" fillId="24" borderId="23" xfId="0" applyFill="1" applyBorder="1" applyAlignment="1">
      <alignment horizontal="center"/>
    </xf>
    <xf numFmtId="0" fontId="13" fillId="24" borderId="24" xfId="0" applyFont="1" applyFill="1" applyBorder="1" applyAlignment="1">
      <alignment horizontal="center"/>
    </xf>
    <xf numFmtId="2" fontId="0" fillId="26" borderId="0" xfId="0" applyNumberFormat="1" applyFill="1" applyBorder="1" applyProtection="1">
      <protection locked="0"/>
    </xf>
    <xf numFmtId="166" fontId="0" fillId="24" borderId="0" xfId="0" applyNumberFormat="1" applyFill="1" applyBorder="1"/>
    <xf numFmtId="1" fontId="0" fillId="24" borderId="0" xfId="0" applyNumberFormat="1" applyFill="1" applyBorder="1"/>
    <xf numFmtId="0" fontId="0" fillId="24" borderId="17" xfId="0" applyFill="1" applyBorder="1" applyAlignment="1">
      <alignment horizontal="left"/>
    </xf>
    <xf numFmtId="173" fontId="0" fillId="24" borderId="0" xfId="0" applyNumberFormat="1" applyFill="1" applyBorder="1"/>
    <xf numFmtId="172" fontId="0" fillId="24" borderId="0" xfId="0" applyNumberFormat="1" applyFill="1" applyBorder="1"/>
    <xf numFmtId="0" fontId="19" fillId="27" borderId="18" xfId="0" applyFont="1" applyFill="1" applyBorder="1" applyAlignment="1"/>
    <xf numFmtId="0" fontId="12" fillId="24" borderId="10" xfId="0" applyFont="1" applyFill="1" applyBorder="1"/>
    <xf numFmtId="167" fontId="12" fillId="24" borderId="0" xfId="0" applyNumberFormat="1" applyFont="1" applyFill="1" applyBorder="1"/>
    <xf numFmtId="0" fontId="12" fillId="24" borderId="11" xfId="0" applyFont="1" applyFill="1" applyBorder="1"/>
    <xf numFmtId="0" fontId="8" fillId="0" borderId="0" xfId="0" applyFont="1"/>
    <xf numFmtId="0" fontId="12" fillId="0" borderId="0" xfId="0" applyFont="1"/>
    <xf numFmtId="0" fontId="3" fillId="27" borderId="0" xfId="0" applyFont="1" applyFill="1" applyBorder="1"/>
    <xf numFmtId="1" fontId="0" fillId="24" borderId="21" xfId="0" applyNumberFormat="1" applyFill="1" applyBorder="1"/>
    <xf numFmtId="0" fontId="13" fillId="24" borderId="11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/>
    </xf>
    <xf numFmtId="164" fontId="21" fillId="24" borderId="10" xfId="0" applyNumberFormat="1" applyFont="1" applyFill="1" applyBorder="1" applyAlignment="1">
      <alignment horizontal="center"/>
    </xf>
    <xf numFmtId="0" fontId="18" fillId="25" borderId="0" xfId="0" applyFont="1" applyFill="1" applyBorder="1" applyAlignment="1">
      <alignment horizontal="left"/>
    </xf>
    <xf numFmtId="172" fontId="21" fillId="24" borderId="10" xfId="0" applyNumberFormat="1" applyFont="1" applyFill="1" applyBorder="1" applyAlignment="1">
      <alignment horizontal="center"/>
    </xf>
    <xf numFmtId="172" fontId="18" fillId="25" borderId="0" xfId="0" applyNumberFormat="1" applyFont="1" applyFill="1" applyBorder="1"/>
    <xf numFmtId="11" fontId="0" fillId="24" borderId="0" xfId="0" applyNumberFormat="1" applyFill="1" applyBorder="1" applyAlignment="1">
      <alignment horizontal="center"/>
    </xf>
    <xf numFmtId="0" fontId="4" fillId="27" borderId="10" xfId="0" applyFont="1" applyFill="1" applyBorder="1"/>
    <xf numFmtId="0" fontId="47" fillId="27" borderId="10" xfId="0" applyFont="1" applyFill="1" applyBorder="1"/>
    <xf numFmtId="0" fontId="10" fillId="27" borderId="11" xfId="0" applyFont="1" applyFill="1" applyBorder="1"/>
    <xf numFmtId="0" fontId="49" fillId="27" borderId="10" xfId="0" applyFont="1" applyFill="1" applyBorder="1"/>
    <xf numFmtId="49" fontId="0" fillId="24" borderId="19" xfId="0" applyNumberFormat="1" applyFill="1" applyBorder="1"/>
    <xf numFmtId="0" fontId="0" fillId="24" borderId="19" xfId="0" applyFill="1" applyBorder="1" applyAlignment="1">
      <alignment horizontal="center"/>
    </xf>
    <xf numFmtId="49" fontId="0" fillId="24" borderId="22" xfId="0" applyNumberFormat="1" applyFill="1" applyBorder="1"/>
    <xf numFmtId="164" fontId="21" fillId="24" borderId="0" xfId="0" applyNumberFormat="1" applyFont="1" applyFill="1" applyBorder="1" applyAlignment="1">
      <alignment horizontal="center"/>
    </xf>
    <xf numFmtId="168" fontId="21" fillId="24" borderId="0" xfId="0" applyNumberFormat="1" applyFont="1" applyFill="1" applyBorder="1" applyAlignment="1">
      <alignment horizontal="center"/>
    </xf>
    <xf numFmtId="172" fontId="21" fillId="24" borderId="0" xfId="0" applyNumberFormat="1" applyFont="1" applyFill="1" applyBorder="1" applyAlignment="1">
      <alignment horizontal="center"/>
    </xf>
    <xf numFmtId="2" fontId="0" fillId="24" borderId="0" xfId="0" applyNumberFormat="1" applyFill="1" applyBorder="1" applyAlignment="1">
      <alignment horizontal="center"/>
    </xf>
    <xf numFmtId="49" fontId="0" fillId="24" borderId="21" xfId="0" applyNumberFormat="1" applyFill="1" applyBorder="1"/>
    <xf numFmtId="0" fontId="0" fillId="24" borderId="25" xfId="0" applyFill="1" applyBorder="1"/>
    <xf numFmtId="171" fontId="0" fillId="24" borderId="0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0" borderId="27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24" borderId="28" xfId="0" applyFill="1" applyBorder="1"/>
    <xf numFmtId="0" fontId="0" fillId="24" borderId="28" xfId="0" applyFill="1" applyBorder="1" applyAlignment="1">
      <alignment horizontal="center"/>
    </xf>
    <xf numFmtId="0" fontId="0" fillId="24" borderId="29" xfId="0" applyFill="1" applyBorder="1" applyAlignment="1">
      <alignment horizontal="center"/>
    </xf>
    <xf numFmtId="0" fontId="0" fillId="24" borderId="29" xfId="0" applyFill="1" applyBorder="1"/>
    <xf numFmtId="11" fontId="0" fillId="24" borderId="28" xfId="0" applyNumberFormat="1" applyFill="1" applyBorder="1"/>
    <xf numFmtId="0" fontId="51" fillId="24" borderId="28" xfId="28" applyFont="1" applyFill="1" applyBorder="1" applyAlignment="1">
      <alignment horizontal="center"/>
    </xf>
    <xf numFmtId="2" fontId="0" fillId="24" borderId="28" xfId="0" applyNumberFormat="1" applyFill="1" applyBorder="1" applyAlignment="1">
      <alignment horizontal="center"/>
    </xf>
    <xf numFmtId="171" fontId="0" fillId="24" borderId="28" xfId="0" applyNumberFormat="1" applyFill="1" applyBorder="1"/>
    <xf numFmtId="0" fontId="0" fillId="24" borderId="26" xfId="0" applyFill="1" applyBorder="1"/>
    <xf numFmtId="165" fontId="0" fillId="24" borderId="0" xfId="0" applyNumberFormat="1" applyFill="1" applyBorder="1" applyAlignment="1">
      <alignment horizontal="center"/>
    </xf>
    <xf numFmtId="164" fontId="0" fillId="24" borderId="0" xfId="0" applyNumberFormat="1" applyFill="1" applyBorder="1" applyAlignment="1">
      <alignment horizontal="center"/>
    </xf>
    <xf numFmtId="0" fontId="52" fillId="24" borderId="28" xfId="28" applyFont="1" applyFill="1" applyBorder="1" applyAlignment="1">
      <alignment horizontal="center"/>
    </xf>
    <xf numFmtId="11" fontId="52" fillId="24" borderId="28" xfId="28" applyNumberFormat="1" applyFont="1" applyFill="1" applyBorder="1" applyAlignment="1">
      <alignment horizontal="center"/>
    </xf>
    <xf numFmtId="172" fontId="52" fillId="24" borderId="28" xfId="28" applyNumberFormat="1" applyFont="1" applyFill="1" applyBorder="1" applyAlignment="1">
      <alignment horizontal="center"/>
    </xf>
    <xf numFmtId="171" fontId="52" fillId="24" borderId="28" xfId="28" applyNumberFormat="1" applyFont="1" applyFill="1" applyBorder="1" applyAlignment="1">
      <alignment horizontal="center"/>
    </xf>
    <xf numFmtId="165" fontId="0" fillId="24" borderId="28" xfId="0" applyNumberFormat="1" applyFill="1" applyBorder="1" applyAlignment="1">
      <alignment horizontal="center"/>
    </xf>
    <xf numFmtId="164" fontId="0" fillId="24" borderId="28" xfId="0" applyNumberFormat="1" applyFill="1" applyBorder="1" applyAlignment="1">
      <alignment horizontal="center"/>
    </xf>
    <xf numFmtId="170" fontId="52" fillId="24" borderId="28" xfId="28" applyNumberFormat="1" applyFont="1" applyFill="1" applyBorder="1" applyAlignment="1">
      <alignment horizontal="center"/>
    </xf>
    <xf numFmtId="172" fontId="0" fillId="24" borderId="28" xfId="0" applyNumberFormat="1" applyFill="1" applyBorder="1" applyAlignment="1">
      <alignment horizontal="center"/>
    </xf>
    <xf numFmtId="174" fontId="52" fillId="24" borderId="28" xfId="28" applyNumberFormat="1" applyFont="1" applyFill="1" applyBorder="1" applyAlignment="1">
      <alignment horizontal="center"/>
    </xf>
    <xf numFmtId="169" fontId="0" fillId="24" borderId="28" xfId="0" applyNumberFormat="1" applyFill="1" applyBorder="1" applyAlignment="1">
      <alignment horizontal="center"/>
    </xf>
    <xf numFmtId="166" fontId="0" fillId="24" borderId="28" xfId="0" applyNumberFormat="1" applyFill="1" applyBorder="1" applyAlignment="1">
      <alignment horizontal="center"/>
    </xf>
    <xf numFmtId="164" fontId="52" fillId="24" borderId="28" xfId="28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10" fillId="24" borderId="10" xfId="0" applyFont="1" applyFill="1" applyBorder="1"/>
    <xf numFmtId="0" fontId="0" fillId="24" borderId="26" xfId="0" applyFill="1" applyBorder="1" applyAlignment="1">
      <alignment horizontal="center"/>
    </xf>
    <xf numFmtId="0" fontId="10" fillId="24" borderId="0" xfId="0" applyFont="1" applyFill="1" applyBorder="1"/>
    <xf numFmtId="2" fontId="13" fillId="24" borderId="26" xfId="0" applyNumberFormat="1" applyFont="1" applyFill="1" applyBorder="1" applyAlignment="1">
      <alignment horizontal="center"/>
    </xf>
    <xf numFmtId="0" fontId="0" fillId="26" borderId="26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53" fillId="0" borderId="0" xfId="0" applyNumberFormat="1" applyFont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13" xfId="0" applyBorder="1"/>
    <xf numFmtId="0" fontId="0" fillId="0" borderId="22" xfId="0" applyBorder="1"/>
    <xf numFmtId="0" fontId="0" fillId="0" borderId="16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4" borderId="33" xfId="0" applyFill="1" applyBorder="1"/>
    <xf numFmtId="0" fontId="0" fillId="24" borderId="34" xfId="0" applyFill="1" applyBorder="1" applyAlignment="1">
      <alignment horizontal="center"/>
    </xf>
    <xf numFmtId="0" fontId="51" fillId="24" borderId="11" xfId="28" applyFont="1" applyFill="1" applyBorder="1" applyAlignment="1">
      <alignment horizontal="center"/>
    </xf>
    <xf numFmtId="1" fontId="21" fillId="24" borderId="12" xfId="0" applyNumberFormat="1" applyFont="1" applyFill="1" applyBorder="1" applyAlignment="1">
      <alignment horizontal="center"/>
    </xf>
    <xf numFmtId="1" fontId="18" fillId="25" borderId="0" xfId="0" applyNumberFormat="1" applyFont="1" applyFill="1" applyBorder="1"/>
    <xf numFmtId="1" fontId="21" fillId="24" borderId="10" xfId="0" applyNumberFormat="1" applyFont="1" applyFill="1" applyBorder="1" applyAlignment="1">
      <alignment horizontal="center"/>
    </xf>
    <xf numFmtId="164" fontId="18" fillId="25" borderId="0" xfId="0" applyNumberFormat="1" applyFont="1" applyFill="1" applyBorder="1"/>
    <xf numFmtId="49" fontId="55" fillId="27" borderId="10" xfId="0" applyNumberFormat="1" applyFont="1" applyFill="1" applyBorder="1" applyAlignment="1">
      <alignment horizontal="left"/>
    </xf>
    <xf numFmtId="0" fontId="47" fillId="27" borderId="0" xfId="0" applyFont="1" applyFill="1" applyBorder="1"/>
    <xf numFmtId="0" fontId="55" fillId="27" borderId="0" xfId="0" applyFont="1" applyFill="1" applyBorder="1"/>
    <xf numFmtId="0" fontId="8" fillId="27" borderId="0" xfId="0" applyFont="1" applyFill="1" applyBorder="1"/>
    <xf numFmtId="0" fontId="16" fillId="27" borderId="10" xfId="0" applyFont="1" applyFill="1" applyBorder="1"/>
    <xf numFmtId="0" fontId="56" fillId="0" borderId="0" xfId="0" applyFont="1"/>
    <xf numFmtId="172" fontId="21" fillId="24" borderId="35" xfId="0" applyNumberFormat="1" applyFont="1" applyFill="1" applyBorder="1" applyAlignment="1">
      <alignment horizontal="center"/>
    </xf>
    <xf numFmtId="168" fontId="0" fillId="0" borderId="0" xfId="0" applyNumberFormat="1"/>
    <xf numFmtId="172" fontId="0" fillId="0" borderId="0" xfId="0" applyNumberFormat="1"/>
    <xf numFmtId="49" fontId="13" fillId="24" borderId="36" xfId="0" applyNumberFormat="1" applyFont="1" applyFill="1" applyBorder="1"/>
    <xf numFmtId="0" fontId="13" fillId="0" borderId="0" xfId="0" applyFont="1"/>
    <xf numFmtId="0" fontId="2" fillId="0" borderId="0" xfId="35" applyFill="1" applyBorder="1" applyAlignment="1" applyProtection="1">
      <alignment horizontal="center"/>
    </xf>
    <xf numFmtId="0" fontId="2" fillId="0" borderId="0" xfId="35" applyAlignment="1" applyProtection="1">
      <alignment horizontal="center"/>
    </xf>
    <xf numFmtId="49" fontId="2" fillId="0" borderId="0" xfId="35" applyNumberFormat="1" applyAlignment="1" applyProtection="1">
      <alignment horizontal="center"/>
    </xf>
    <xf numFmtId="0" fontId="3" fillId="27" borderId="18" xfId="0" applyFont="1" applyFill="1" applyBorder="1"/>
    <xf numFmtId="0" fontId="7" fillId="27" borderId="19" xfId="0" applyFont="1" applyFill="1" applyBorder="1"/>
    <xf numFmtId="0" fontId="57" fillId="0" borderId="0" xfId="0" applyFont="1"/>
    <xf numFmtId="0" fontId="14" fillId="27" borderId="18" xfId="0" applyFont="1" applyFill="1" applyBorder="1" applyAlignment="1">
      <alignment horizontal="center"/>
    </xf>
    <xf numFmtId="0" fontId="14" fillId="27" borderId="19" xfId="0" applyFont="1" applyFill="1" applyBorder="1" applyAlignment="1">
      <alignment horizontal="center"/>
    </xf>
    <xf numFmtId="0" fontId="14" fillId="27" borderId="20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27" borderId="10" xfId="0" applyFont="1" applyFill="1" applyBorder="1" applyAlignment="1">
      <alignment horizontal="center"/>
    </xf>
    <xf numFmtId="0" fontId="4" fillId="27" borderId="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center"/>
    </xf>
    <xf numFmtId="0" fontId="2" fillId="27" borderId="10" xfId="35" applyFill="1" applyBorder="1" applyAlignment="1" applyProtection="1">
      <alignment horizontal="center"/>
    </xf>
    <xf numFmtId="0" fontId="2" fillId="27" borderId="0" xfId="35" applyFill="1" applyBorder="1" applyAlignment="1" applyProtection="1">
      <alignment horizontal="center"/>
    </xf>
    <xf numFmtId="0" fontId="2" fillId="27" borderId="11" xfId="35" applyFill="1" applyBorder="1" applyAlignment="1" applyProtection="1">
      <alignment horizontal="center"/>
    </xf>
    <xf numFmtId="172" fontId="2" fillId="0" borderId="0" xfId="35" applyNumberFormat="1" applyFill="1" applyAlignment="1" applyProtection="1">
      <alignment horizontal="center"/>
    </xf>
    <xf numFmtId="0" fontId="2" fillId="0" borderId="0" xfId="35" applyFill="1" applyAlignment="1" applyProtection="1">
      <alignment horizontal="center"/>
    </xf>
    <xf numFmtId="0" fontId="4" fillId="24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7" fillId="0" borderId="10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4" fillId="27" borderId="18" xfId="0" applyFont="1" applyFill="1" applyBorder="1" applyAlignment="1">
      <alignment horizontal="center"/>
    </xf>
    <xf numFmtId="0" fontId="4" fillId="27" borderId="19" xfId="0" applyFont="1" applyFill="1" applyBorder="1" applyAlignment="1">
      <alignment horizontal="center"/>
    </xf>
    <xf numFmtId="0" fontId="4" fillId="27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4" borderId="18" xfId="0" applyFont="1" applyFill="1" applyBorder="1" applyAlignment="1">
      <alignment horizontal="center"/>
    </xf>
    <xf numFmtId="0" fontId="4" fillId="24" borderId="20" xfId="0" applyFont="1" applyFill="1" applyBorder="1" applyAlignment="1">
      <alignment horizontal="center"/>
    </xf>
    <xf numFmtId="0" fontId="20" fillId="25" borderId="0" xfId="0" applyFont="1" applyFill="1" applyAlignment="1">
      <alignment horizontal="center" vertical="center" textRotation="90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27" fillId="0" borderId="0" xfId="0" applyFont="1" applyBorder="1" applyAlignment="1">
      <alignment horizontal="left"/>
    </xf>
    <xf numFmtId="0" fontId="0" fillId="0" borderId="15" xfId="0" applyBorder="1" applyAlignment="1">
      <alignment horizontal="center"/>
    </xf>
    <xf numFmtId="49" fontId="4" fillId="24" borderId="30" xfId="0" applyNumberFormat="1" applyFont="1" applyFill="1" applyBorder="1" applyAlignment="1">
      <alignment horizontal="center"/>
    </xf>
    <xf numFmtId="49" fontId="4" fillId="24" borderId="13" xfId="0" applyNumberFormat="1" applyFont="1" applyFill="1" applyBorder="1" applyAlignment="1">
      <alignment horizontal="center"/>
    </xf>
    <xf numFmtId="0" fontId="4" fillId="24" borderId="14" xfId="0" applyFont="1" applyFill="1" applyBorder="1" applyAlignment="1">
      <alignment horizontal="center"/>
    </xf>
    <xf numFmtId="0" fontId="19" fillId="27" borderId="10" xfId="0" applyFont="1" applyFill="1" applyBorder="1" applyAlignment="1">
      <alignment horizontal="center"/>
    </xf>
    <xf numFmtId="0" fontId="19" fillId="27" borderId="0" xfId="0" applyFont="1" applyFill="1" applyBorder="1" applyAlignment="1">
      <alignment horizontal="center"/>
    </xf>
    <xf numFmtId="0" fontId="19" fillId="27" borderId="11" xfId="0" applyFont="1" applyFill="1" applyBorder="1" applyAlignment="1">
      <alignment horizontal="center"/>
    </xf>
    <xf numFmtId="0" fontId="19" fillId="27" borderId="18" xfId="0" applyFont="1" applyFill="1" applyBorder="1" applyAlignment="1">
      <alignment horizontal="center"/>
    </xf>
    <xf numFmtId="0" fontId="19" fillId="27" borderId="19" xfId="0" applyFont="1" applyFill="1" applyBorder="1" applyAlignment="1">
      <alignment horizontal="center"/>
    </xf>
    <xf numFmtId="0" fontId="19" fillId="27" borderId="20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27" borderId="12" xfId="0" applyFont="1" applyFill="1" applyBorder="1" applyAlignment="1">
      <alignment horizontal="center"/>
    </xf>
    <xf numFmtId="0" fontId="7" fillId="27" borderId="21" xfId="0" applyFont="1" applyFill="1" applyBorder="1" applyAlignment="1">
      <alignment horizontal="center"/>
    </xf>
    <xf numFmtId="0" fontId="7" fillId="27" borderId="17" xfId="0" applyFont="1" applyFill="1" applyBorder="1" applyAlignment="1">
      <alignment horizontal="center"/>
    </xf>
    <xf numFmtId="0" fontId="2" fillId="0" borderId="0" xfId="35" applyFill="1" applyBorder="1" applyAlignment="1" applyProtection="1">
      <alignment horizontal="center"/>
    </xf>
    <xf numFmtId="0" fontId="26" fillId="0" borderId="0" xfId="35" applyFont="1" applyFill="1" applyBorder="1" applyAlignment="1" applyProtection="1">
      <alignment horizontal="center"/>
    </xf>
    <xf numFmtId="0" fontId="2" fillId="0" borderId="0" xfId="35" applyAlignment="1" applyProtection="1">
      <alignment horizontal="center"/>
    </xf>
    <xf numFmtId="49" fontId="2" fillId="0" borderId="0" xfId="35" applyNumberFormat="1" applyAlignment="1" applyProtection="1">
      <alignment horizontal="center"/>
    </xf>
    <xf numFmtId="0" fontId="2" fillId="0" borderId="0" xfId="35" applyFont="1" applyAlignment="1" applyProtection="1">
      <alignment horizontal="center"/>
    </xf>
    <xf numFmtId="0" fontId="4" fillId="24" borderId="1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7" borderId="10" xfId="35" applyFill="1" applyBorder="1" applyAlignment="1" applyProtection="1">
      <alignment horizontal="left"/>
    </xf>
    <xf numFmtId="0" fontId="2" fillId="27" borderId="0" xfId="35" applyFill="1" applyBorder="1" applyAlignment="1" applyProtection="1">
      <alignment horizontal="left"/>
    </xf>
    <xf numFmtId="0" fontId="4" fillId="24" borderId="19" xfId="0" applyFont="1" applyFill="1" applyBorder="1" applyAlignment="1">
      <alignment horizontal="center"/>
    </xf>
    <xf numFmtId="0" fontId="10" fillId="24" borderId="10" xfId="0" applyFont="1" applyFill="1" applyBorder="1" applyAlignment="1">
      <alignment horizontal="center"/>
    </xf>
    <xf numFmtId="0" fontId="10" fillId="24" borderId="0" xfId="0" applyFont="1" applyFill="1" applyBorder="1" applyAlignment="1">
      <alignment horizontal="center"/>
    </xf>
    <xf numFmtId="0" fontId="10" fillId="24" borderId="11" xfId="0" applyFont="1" applyFill="1" applyBorder="1" applyAlignment="1">
      <alignment horizontal="center"/>
    </xf>
    <xf numFmtId="0" fontId="23" fillId="25" borderId="0" xfId="0" applyFont="1" applyFill="1" applyBorder="1" applyAlignment="1">
      <alignment horizontal="center" vertical="center" textRotation="90"/>
    </xf>
    <xf numFmtId="0" fontId="7" fillId="27" borderId="10" xfId="0" applyFont="1" applyFill="1" applyBorder="1" applyAlignment="1">
      <alignment horizontal="center"/>
    </xf>
    <xf numFmtId="0" fontId="7" fillId="27" borderId="0" xfId="0" applyFont="1" applyFill="1" applyBorder="1" applyAlignment="1">
      <alignment horizontal="center"/>
    </xf>
    <xf numFmtId="0" fontId="7" fillId="27" borderId="1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0" fillId="25" borderId="0" xfId="0" applyFont="1" applyFill="1" applyBorder="1" applyAlignment="1">
      <alignment horizontal="center" vertical="center" textRotation="90"/>
    </xf>
    <xf numFmtId="0" fontId="25" fillId="0" borderId="0" xfId="0" applyFont="1" applyAlignment="1">
      <alignment horizontal="center"/>
    </xf>
    <xf numFmtId="0" fontId="13" fillId="24" borderId="12" xfId="0" applyFont="1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114300</xdr:rowOff>
    </xdr:from>
    <xdr:to>
      <xdr:col>9</xdr:col>
      <xdr:colOff>676275</xdr:colOff>
      <xdr:row>6</xdr:row>
      <xdr:rowOff>133350</xdr:rowOff>
    </xdr:to>
    <xdr:pic>
      <xdr:nvPicPr>
        <xdr:cNvPr id="1045" name="Picture 2" descr="C:\Users\Harlan\Documents\AccessEngineering\AccessEngineering_2013_logo.jpg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14300"/>
          <a:ext cx="57245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12</xdr:row>
      <xdr:rowOff>28575</xdr:rowOff>
    </xdr:from>
    <xdr:to>
      <xdr:col>8</xdr:col>
      <xdr:colOff>1266825</xdr:colOff>
      <xdr:row>20</xdr:row>
      <xdr:rowOff>28575</xdr:rowOff>
    </xdr:to>
    <xdr:pic>
      <xdr:nvPicPr>
        <xdr:cNvPr id="17477" name="Picture 23" descr="F:\Brighthub\Natural Conv HT Coeffs\Dimensionless Numbers for Natural Convection_pt1_L.jpg">
          <a:extLst>
            <a:ext uri="{FF2B5EF4-FFF2-40B4-BE49-F238E27FC236}">
              <a16:creationId xmlns:a16="http://schemas.microsoft.com/office/drawing/2014/main" id="{00000000-0008-0000-0200-000045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409825"/>
          <a:ext cx="227647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257175</xdr:colOff>
      <xdr:row>13</xdr:row>
      <xdr:rowOff>133350</xdr:rowOff>
    </xdr:from>
    <xdr:to>
      <xdr:col>11</xdr:col>
      <xdr:colOff>123825</xdr:colOff>
      <xdr:row>17</xdr:row>
      <xdr:rowOff>104775</xdr:rowOff>
    </xdr:to>
    <xdr:pic>
      <xdr:nvPicPr>
        <xdr:cNvPr id="17478" name="Picture 19" descr="F:\Brighthub\Natural Conv HT Coeffs\Dimensionless Numbers for Natural Convection_pt2.jpg">
          <a:extLst>
            <a:ext uri="{FF2B5EF4-FFF2-40B4-BE49-F238E27FC236}">
              <a16:creationId xmlns:a16="http://schemas.microsoft.com/office/drawing/2014/main" id="{00000000-0008-0000-0200-000046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771775"/>
          <a:ext cx="22574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895350</xdr:colOff>
      <xdr:row>21</xdr:row>
      <xdr:rowOff>38100</xdr:rowOff>
    </xdr:from>
    <xdr:to>
      <xdr:col>10</xdr:col>
      <xdr:colOff>714375</xdr:colOff>
      <xdr:row>29</xdr:row>
      <xdr:rowOff>28575</xdr:rowOff>
    </xdr:to>
    <xdr:pic>
      <xdr:nvPicPr>
        <xdr:cNvPr id="17479" name="Picture 25" descr="F:\Brighthub\Natural Conv HT Coeffs\Correlations for Natl Convection from a Vertical Plane_pt1.jpg">
          <a:extLst>
            <a:ext uri="{FF2B5EF4-FFF2-40B4-BE49-F238E27FC236}">
              <a16:creationId xmlns:a16="http://schemas.microsoft.com/office/drawing/2014/main" id="{00000000-0008-0000-0200-000047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4114800"/>
          <a:ext cx="36480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152400</xdr:rowOff>
    </xdr:from>
    <xdr:to>
      <xdr:col>8</xdr:col>
      <xdr:colOff>0</xdr:colOff>
      <xdr:row>21</xdr:row>
      <xdr:rowOff>9525</xdr:rowOff>
    </xdr:to>
    <xdr:pic>
      <xdr:nvPicPr>
        <xdr:cNvPr id="18476" name="Picture 2" descr="F:\Brighthub\Natural Conv HT Coeffs\Dimensionless Numbers for Natural Convection_pt1_L.jpg">
          <a:extLst>
            <a:ext uri="{FF2B5EF4-FFF2-40B4-BE49-F238E27FC236}">
              <a16:creationId xmlns:a16="http://schemas.microsoft.com/office/drawing/2014/main" id="{00000000-0008-0000-0300-00002C4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2781300"/>
          <a:ext cx="20478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238125</xdr:colOff>
      <xdr:row>15</xdr:row>
      <xdr:rowOff>104775</xdr:rowOff>
    </xdr:from>
    <xdr:to>
      <xdr:col>10</xdr:col>
      <xdr:colOff>523875</xdr:colOff>
      <xdr:row>19</xdr:row>
      <xdr:rowOff>123825</xdr:rowOff>
    </xdr:to>
    <xdr:pic>
      <xdr:nvPicPr>
        <xdr:cNvPr id="18477" name="Picture 1" descr="F:\Brighthub\Natural Conv HT Coeffs\Dimensionless Numbers for Natural Convection_pt2.jpg">
          <a:extLst>
            <a:ext uri="{FF2B5EF4-FFF2-40B4-BE49-F238E27FC236}">
              <a16:creationId xmlns:a16="http://schemas.microsoft.com/office/drawing/2014/main" id="{00000000-0008-0000-0300-00002D4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3114675"/>
          <a:ext cx="24003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17</xdr:row>
      <xdr:rowOff>161925</xdr:rowOff>
    </xdr:from>
    <xdr:to>
      <xdr:col>10</xdr:col>
      <xdr:colOff>419100</xdr:colOff>
      <xdr:row>33</xdr:row>
      <xdr:rowOff>38100</xdr:rowOff>
    </xdr:to>
    <xdr:pic>
      <xdr:nvPicPr>
        <xdr:cNvPr id="19481" name="Picture 1" descr="F:\Brighthub\Natural Conv HT Coeffs\Correlations for Natl Convection from a Horiz Cylinder.jpg">
          <a:extLst>
            <a:ext uri="{FF2B5EF4-FFF2-40B4-BE49-F238E27FC236}">
              <a16:creationId xmlns:a16="http://schemas.microsoft.com/office/drawing/2014/main" id="{00000000-0008-0000-0400-000019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3143250"/>
          <a:ext cx="423862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ineeringexceltemplates.com/downloads_main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cessengineeringlibrary.com/browse/perrys-chemical-engineers-handbook-9th-edition/c9780071834087ch02lev1sec10?s.num=1&amp;q=Table+2-72" TargetMode="External"/><Relationship Id="rId13" Type="http://schemas.openxmlformats.org/officeDocument/2006/relationships/hyperlink" Target="http://accessengineeringlibrary.com/browse/perrys-chemical-engineers-handbook-eighth-edition/p200139d89972_96001" TargetMode="External"/><Relationship Id="rId3" Type="http://schemas.openxmlformats.org/officeDocument/2006/relationships/hyperlink" Target="http://accessengineeringlibrary.com/browse/marks-standard-handbook-for-mechanical-engineers-eleventh-edition/p2001147c9973_29002" TargetMode="External"/><Relationship Id="rId7" Type="http://schemas.openxmlformats.org/officeDocument/2006/relationships/hyperlink" Target="http://www.accessengineeringlibrary.com/browse/perrys-chemical-engineers-handbook-9th-edition/c9780071834087ch02lev1sec06?s.num=3&amp;q=Table+2-32&amp;book=Perry%27s+Chemical+Engineers%27+Handbook%2C+9th+Edition" TargetMode="External"/><Relationship Id="rId12" Type="http://schemas.openxmlformats.org/officeDocument/2006/relationships/hyperlink" Target="https://www.accessengineeringlibrary.com/browse/perrys-chemical-engineers-handbook-9th-edition/c9780071834087ch02lev1sec15" TargetMode="External"/><Relationship Id="rId2" Type="http://schemas.openxmlformats.org/officeDocument/2006/relationships/hyperlink" Target="http://accessengineeringlibrary.com/browse/marks-standard-handbook-for-mechanical-engineers-eleventh-edition/p2001147c9973_29002" TargetMode="External"/><Relationship Id="rId1" Type="http://schemas.openxmlformats.org/officeDocument/2006/relationships/hyperlink" Target="http://accessengineeringlibrary.com/browse/marks-standard-handbook-for-mechanical-engineers-eleventh-edition/p2001147c9973_29002" TargetMode="External"/><Relationship Id="rId6" Type="http://schemas.openxmlformats.org/officeDocument/2006/relationships/hyperlink" Target="http://www.accessengineeringlibrary.com/browse/perrys-chemical-engineers-handbook-9th-edition/c9780071834087ch02lev1sec15?q=Table+2-139&amp;book=Perry%27s+Chemical+Engineers%27+Handbook%2C+9th+Edition" TargetMode="External"/><Relationship Id="rId11" Type="http://schemas.openxmlformats.org/officeDocument/2006/relationships/hyperlink" Target="https://www.accessengineeringlibrary.com/browse/perrys-chemical-engineers-handbook-9th-edition/c9780071834087ch02lev1sec10?s.num=2&amp;q=Table+2-75&amp;book=Perry%27s+Chemical+Engineers%27+Handbook%2C+9th+Edition" TargetMode="External"/><Relationship Id="rId5" Type="http://schemas.openxmlformats.org/officeDocument/2006/relationships/hyperlink" Target="http://accessengineeringlibrary.com/browse/perrys-chemical-engineers-handbook-eighth-edition/p200139d89972_96001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accessengineeringlibrary.com/browse/perrys-chemical-engineers-handbook-9th-edition/c9780071834087ch02lev1sec15?s.num=1&amp;q=Vapor+viscosity+of+organic+and+inorganic&amp;book=Perry%27s+Chemical+Engineers%27+Handbook%2C+9th+Edition" TargetMode="External"/><Relationship Id="rId4" Type="http://schemas.openxmlformats.org/officeDocument/2006/relationships/hyperlink" Target="http://accessengineeringlibrary.com/browse/marks-standard-handbook-for-mechanical-engineers-eleventh-edition/p2001147c9973_29002" TargetMode="External"/><Relationship Id="rId9" Type="http://schemas.openxmlformats.org/officeDocument/2006/relationships/hyperlink" Target="http://www.accessengineeringlibrary.com/browse/perrys-chemical-engineers-handbook-9th-edition/c9780071834087ch02lev1sec15?s.num=3&amp;q=Table+2-147" TargetMode="External"/><Relationship Id="rId14" Type="http://schemas.openxmlformats.org/officeDocument/2006/relationships/hyperlink" Target="http://www.accessengineeringlibrary.com/browse/perrys-chemical-engineers-handbook-9th-edi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ccessengineeringlibrary.com/browse/marks-standard-handbook-for-mechanical-engineers-eleventh-edition/p2001147c9973_29002" TargetMode="External"/><Relationship Id="rId13" Type="http://schemas.openxmlformats.org/officeDocument/2006/relationships/hyperlink" Target="http://accessengineeringlibrary.com/browse/perrys-chemical-engineers-handbook-eighth-edition/p200139d89972_420001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://accessengineeringlibrary.com/browse/perrys-chemical-engineers-handbook-eighth-edition/p200139d89972_96001" TargetMode="External"/><Relationship Id="rId7" Type="http://schemas.openxmlformats.org/officeDocument/2006/relationships/hyperlink" Target="http://accessengineeringlibrary.com/browse/standard-handbook-for-civil-engineers/p2000a1f599721_1001" TargetMode="External"/><Relationship Id="rId12" Type="http://schemas.openxmlformats.org/officeDocument/2006/relationships/hyperlink" Target="http://accessengineeringlibrary.com/browse/perrys-chemical-engineers-handbook-eighth-edition/p200139d89972_420001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accessengineeringlibrary.com/browse/marks-standard-handbook-for-mechanical-engineers-eleventh-edition/p2001147c9973_29002" TargetMode="External"/><Relationship Id="rId16" Type="http://schemas.openxmlformats.org/officeDocument/2006/relationships/hyperlink" Target="https://www.accessengineeringlibrary.com/browse/perrys-chemical-engineers-handbook-9th-edition/c9780071834087ch05lev1sec03" TargetMode="External"/><Relationship Id="rId1" Type="http://schemas.openxmlformats.org/officeDocument/2006/relationships/hyperlink" Target="http://accessengineeringlibrary.com/browse/marks-standard-handbook-for-mechanical-engineers-eleventh-edition/p2001147c9973_29002" TargetMode="External"/><Relationship Id="rId6" Type="http://schemas.openxmlformats.org/officeDocument/2006/relationships/hyperlink" Target="http://accessengineeringlibrary.com/browse/marks-standard-handbook-for-mechanical-engineers-eleventh-edition/p2001147c9973_29002" TargetMode="External"/><Relationship Id="rId11" Type="http://schemas.openxmlformats.org/officeDocument/2006/relationships/hyperlink" Target="http://accessengineeringlibrary.com/browse/marks-standard-handbook-for-mechanical-engineers-eleventh-edition/p2001147c9973_29002" TargetMode="External"/><Relationship Id="rId5" Type="http://schemas.openxmlformats.org/officeDocument/2006/relationships/hyperlink" Target="http://accessengineeringlibrary.com/browse/marks-standard-handbook-for-mechanical-engineers-eleventh-edition/p2001147c9973_29002" TargetMode="External"/><Relationship Id="rId15" Type="http://schemas.openxmlformats.org/officeDocument/2006/relationships/hyperlink" Target="http://accessengineeringlibrary.com/browse/perrys-chemical-engineers-handbook-eighth-edition/p200139d899705_7001" TargetMode="External"/><Relationship Id="rId10" Type="http://schemas.openxmlformats.org/officeDocument/2006/relationships/hyperlink" Target="http://accessengineeringlibrary.com/browse/standard-handbook-for-civil-engineers/p2000a1f599721_1001" TargetMode="External"/><Relationship Id="rId4" Type="http://schemas.openxmlformats.org/officeDocument/2006/relationships/hyperlink" Target="http://accessengineeringlibrary.com/browse/perrys-chemical-engineers-handbook-eighth-edition/p200139d89972_420001" TargetMode="External"/><Relationship Id="rId9" Type="http://schemas.openxmlformats.org/officeDocument/2006/relationships/hyperlink" Target="http://accessengineeringlibrary.com/browse/marks-standard-handbook-for-mechanical-engineers-eleventh-edition/p2001147c9973_29002" TargetMode="External"/><Relationship Id="rId14" Type="http://schemas.openxmlformats.org/officeDocument/2006/relationships/hyperlink" Target="http://accessengineeringlibrary.com/browse/perrys-chemical-engineers-handbook-eighth-edition/p200139d89972_42000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accessengineeringlibrary.com/browse/perrys-chemical-engineers-handbook-eighth-edition/p200139d899705_7001" TargetMode="External"/><Relationship Id="rId3" Type="http://schemas.openxmlformats.org/officeDocument/2006/relationships/hyperlink" Target="http://accessengineeringlibrary.com/browse/marks-standard-handbook-for-mechanical-engineers-eleventh-edition/p2001147c9973_29002" TargetMode="External"/><Relationship Id="rId7" Type="http://schemas.openxmlformats.org/officeDocument/2006/relationships/hyperlink" Target="http://accessengineeringlibrary.com/browse/perrys-chemical-engineers-handbook-eighth-edition/p200139d899705_7001" TargetMode="External"/><Relationship Id="rId12" Type="http://schemas.openxmlformats.org/officeDocument/2006/relationships/drawing" Target="../drawings/drawing3.xml"/><Relationship Id="rId2" Type="http://schemas.openxmlformats.org/officeDocument/2006/relationships/hyperlink" Target="http://accessengineeringlibrary.com/browse/marks-standard-handbook-for-mechanical-engineers-eleventh-edition" TargetMode="External"/><Relationship Id="rId1" Type="http://schemas.openxmlformats.org/officeDocument/2006/relationships/hyperlink" Target="http://accessengineeringlibrary.com/browse/marks-standard-handbook-for-mechanical-engineers-eleventh-edition/p2001147c9973_29002" TargetMode="External"/><Relationship Id="rId6" Type="http://schemas.openxmlformats.org/officeDocument/2006/relationships/hyperlink" Target="http://accessengineeringlibrary.com/browse/marks-standard-handbook-for-mechanical-engineers-eleventh-edition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accessengineeringlibrary.com/browse/marks-standard-handbook-for-mechanical-engineers-eleventh-edition" TargetMode="External"/><Relationship Id="rId10" Type="http://schemas.openxmlformats.org/officeDocument/2006/relationships/hyperlink" Target="https://www.accessengineeringlibrary.com/browse/perrys-chemical-engineers-handbook-9th-edition/c9780071834087ch05lev1sec03" TargetMode="External"/><Relationship Id="rId4" Type="http://schemas.openxmlformats.org/officeDocument/2006/relationships/hyperlink" Target="http://accessengineeringlibrary.com/browse/marks-standard-handbook-for-mechanical-engineers-eleventh-edition" TargetMode="External"/><Relationship Id="rId9" Type="http://schemas.openxmlformats.org/officeDocument/2006/relationships/hyperlink" Target="http://accessengineeringlibrary.com/browse/perrys-chemical-engineers-handbook-eighth-edition/p200139d899705_700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://accessengineeringlibrary.com/browse/perrys-chemical-engineers-handbook-eighth-edition" TargetMode="External"/><Relationship Id="rId7" Type="http://schemas.openxmlformats.org/officeDocument/2006/relationships/hyperlink" Target="https://www.accessengineeringlibrary.com/browse/perrys-chemical-engineers-handbook-9th-edition/c9780071834087ch05lev1sec03" TargetMode="External"/><Relationship Id="rId2" Type="http://schemas.openxmlformats.org/officeDocument/2006/relationships/hyperlink" Target="http://accessengineeringlibrary.com/browse/marks-standard-handbook-for-mechanical-engineers-eleventh-edition/p2001147c9973_29002" TargetMode="External"/><Relationship Id="rId1" Type="http://schemas.openxmlformats.org/officeDocument/2006/relationships/hyperlink" Target="http://accessengineeringlibrary.com/browse/marks-standard-handbook-for-mechanical-engineers-eleventh-edition" TargetMode="External"/><Relationship Id="rId6" Type="http://schemas.openxmlformats.org/officeDocument/2006/relationships/hyperlink" Target="http://accessengineeringlibrary.com/browse/perrys-chemical-engineers-handbook-eighth-edition/p200139d899705_7001" TargetMode="External"/><Relationship Id="rId5" Type="http://schemas.openxmlformats.org/officeDocument/2006/relationships/hyperlink" Target="http://accessengineeringlibrary.com/browse/perrys-chemical-engineers-handbook-eighth-edition" TargetMode="External"/><Relationship Id="rId4" Type="http://schemas.openxmlformats.org/officeDocument/2006/relationships/hyperlink" Target="http://accessengineeringlibrary.com/browse/perrys-chemical-engineers-handbook-eighth-edition/p200139d899706_4001" TargetMode="External"/><Relationship Id="rId9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T25"/>
  <sheetViews>
    <sheetView showGridLines="0" tabSelected="1" workbookViewId="0"/>
  </sheetViews>
  <sheetFormatPr defaultRowHeight="12.75" x14ac:dyDescent="0.2"/>
  <cols>
    <col min="10" max="10" width="13" customWidth="1"/>
  </cols>
  <sheetData>
    <row r="2" spans="1:20" ht="26.25" customHeight="1" x14ac:dyDescent="0.2"/>
    <row r="9" spans="1:20" ht="23.25" x14ac:dyDescent="0.35">
      <c r="A9" s="196" t="s">
        <v>526</v>
      </c>
    </row>
    <row r="10" spans="1:20" ht="13.5" thickBot="1" x14ac:dyDescent="0.25"/>
    <row r="11" spans="1:20" ht="21" customHeight="1" thickBot="1" x14ac:dyDescent="0.3">
      <c r="B11" s="208" t="s">
        <v>1</v>
      </c>
      <c r="C11" s="209"/>
      <c r="D11" s="209"/>
      <c r="E11" s="209"/>
      <c r="F11" s="209"/>
      <c r="G11" s="209"/>
      <c r="H11" s="209"/>
      <c r="I11" s="209"/>
      <c r="J11" s="210"/>
    </row>
    <row r="12" spans="1:20" ht="15.75" x14ac:dyDescent="0.25">
      <c r="B12" s="62"/>
      <c r="C12" s="41"/>
      <c r="D12" s="41"/>
      <c r="E12" s="41"/>
      <c r="F12" s="41"/>
      <c r="G12" s="41"/>
      <c r="H12" s="41"/>
      <c r="I12" s="41"/>
      <c r="J12" s="42"/>
      <c r="L12" s="205"/>
      <c r="M12" s="206"/>
      <c r="N12" s="89"/>
      <c r="O12" s="89"/>
      <c r="P12" s="89"/>
      <c r="Q12" s="89"/>
      <c r="R12" s="89"/>
      <c r="S12" s="89"/>
      <c r="T12" s="27"/>
    </row>
    <row r="13" spans="1:20" ht="15.75" x14ac:dyDescent="0.25">
      <c r="B13" s="63" t="s">
        <v>2</v>
      </c>
      <c r="C13" s="41"/>
      <c r="D13" s="41"/>
      <c r="E13" s="41"/>
      <c r="F13" s="41"/>
      <c r="G13" s="41"/>
      <c r="H13" s="41"/>
      <c r="I13" s="41"/>
      <c r="J13" s="42"/>
      <c r="L13" s="62" t="s">
        <v>536</v>
      </c>
      <c r="M13" s="64"/>
      <c r="N13" s="41"/>
      <c r="O13" s="41"/>
      <c r="P13" s="41"/>
      <c r="Q13" s="41"/>
      <c r="R13" s="41"/>
      <c r="S13" s="41"/>
      <c r="T13" s="42"/>
    </row>
    <row r="14" spans="1:20" ht="15.75" x14ac:dyDescent="0.25">
      <c r="B14" s="63"/>
      <c r="C14" s="41"/>
      <c r="D14" s="41"/>
      <c r="E14" s="41"/>
      <c r="F14" s="41"/>
      <c r="G14" s="41"/>
      <c r="H14" s="41"/>
      <c r="I14" s="41"/>
      <c r="J14" s="42"/>
      <c r="L14" s="62" t="s">
        <v>537</v>
      </c>
      <c r="M14" s="41"/>
      <c r="N14" s="41"/>
      <c r="O14" s="41"/>
      <c r="P14" s="41"/>
      <c r="Q14" s="41"/>
      <c r="R14" s="41"/>
      <c r="S14" s="41"/>
      <c r="T14" s="42"/>
    </row>
    <row r="15" spans="1:20" ht="15.75" x14ac:dyDescent="0.25">
      <c r="B15" s="63"/>
      <c r="C15" s="64" t="s">
        <v>38</v>
      </c>
      <c r="D15" s="41"/>
      <c r="E15" s="41"/>
      <c r="F15" s="41"/>
      <c r="G15" s="41"/>
      <c r="H15" s="41"/>
      <c r="I15" s="41"/>
      <c r="J15" s="42"/>
      <c r="L15" s="62" t="s">
        <v>538</v>
      </c>
      <c r="M15" s="41"/>
      <c r="N15" s="41"/>
      <c r="O15" s="41"/>
      <c r="P15" s="41"/>
      <c r="Q15" s="41"/>
      <c r="R15" s="41"/>
      <c r="S15" s="41"/>
      <c r="T15" s="42"/>
    </row>
    <row r="16" spans="1:20" ht="15.75" thickBot="1" x14ac:dyDescent="0.25">
      <c r="B16" s="63"/>
      <c r="C16" s="41"/>
      <c r="D16" s="41"/>
      <c r="E16" s="41"/>
      <c r="F16" s="41"/>
      <c r="G16" s="41"/>
      <c r="H16" s="41"/>
      <c r="I16" s="41"/>
      <c r="J16" s="42"/>
      <c r="L16" s="43"/>
      <c r="M16" s="44"/>
      <c r="N16" s="44"/>
      <c r="O16" s="44"/>
      <c r="P16" s="44"/>
      <c r="Q16" s="44"/>
      <c r="R16" s="44"/>
      <c r="S16" s="44"/>
      <c r="T16" s="45"/>
    </row>
    <row r="17" spans="2:10" ht="15.75" x14ac:dyDescent="0.25">
      <c r="B17" s="63"/>
      <c r="C17" s="64" t="s">
        <v>163</v>
      </c>
      <c r="D17" s="41"/>
      <c r="E17" s="41"/>
      <c r="F17" s="41"/>
      <c r="G17" s="41"/>
      <c r="H17" s="41"/>
      <c r="I17" s="41"/>
      <c r="J17" s="42"/>
    </row>
    <row r="18" spans="2:10" ht="15" x14ac:dyDescent="0.2">
      <c r="B18" s="63"/>
      <c r="C18" s="64"/>
      <c r="D18" s="41"/>
      <c r="E18" s="41"/>
      <c r="F18" s="41"/>
      <c r="G18" s="64"/>
      <c r="H18" s="41"/>
      <c r="I18" s="41"/>
      <c r="J18" s="42"/>
    </row>
    <row r="19" spans="2:10" ht="15.75" x14ac:dyDescent="0.25">
      <c r="B19" s="63"/>
      <c r="C19" s="64" t="s">
        <v>53</v>
      </c>
      <c r="D19" s="41"/>
      <c r="E19" s="41"/>
      <c r="F19" s="41"/>
      <c r="G19" s="41"/>
      <c r="H19" s="41"/>
      <c r="I19" s="41"/>
      <c r="J19" s="42"/>
    </row>
    <row r="20" spans="2:10" ht="15" x14ac:dyDescent="0.2">
      <c r="B20" s="63"/>
      <c r="C20" s="64"/>
      <c r="D20" s="41"/>
      <c r="E20" s="41"/>
      <c r="F20" s="41"/>
      <c r="G20" s="41"/>
      <c r="H20" s="41"/>
      <c r="I20" s="41"/>
      <c r="J20" s="42"/>
    </row>
    <row r="21" spans="2:10" ht="15.75" x14ac:dyDescent="0.25">
      <c r="B21" s="63"/>
      <c r="C21" s="64" t="s">
        <v>54</v>
      </c>
      <c r="D21" s="41"/>
      <c r="E21" s="41"/>
      <c r="F21" s="41"/>
      <c r="G21" s="41"/>
      <c r="H21" s="41"/>
      <c r="I21" s="41"/>
      <c r="J21" s="42"/>
    </row>
    <row r="22" spans="2:10" ht="15" x14ac:dyDescent="0.2">
      <c r="B22" s="40"/>
      <c r="C22" s="64"/>
      <c r="D22" s="41"/>
      <c r="E22" s="41"/>
      <c r="F22" s="41"/>
      <c r="G22" s="41"/>
      <c r="H22" s="41"/>
      <c r="I22" s="41"/>
      <c r="J22" s="42"/>
    </row>
    <row r="23" spans="2:10" ht="15.75" x14ac:dyDescent="0.25">
      <c r="B23" s="52"/>
      <c r="C23" s="64" t="s">
        <v>55</v>
      </c>
      <c r="D23" s="41"/>
      <c r="E23" s="41"/>
      <c r="F23" s="41"/>
      <c r="G23" s="41"/>
      <c r="H23" s="41"/>
      <c r="I23" s="41"/>
      <c r="J23" s="42"/>
    </row>
    <row r="24" spans="2:10" x14ac:dyDescent="0.2">
      <c r="B24" s="40"/>
      <c r="C24" s="41"/>
      <c r="D24" s="41"/>
      <c r="E24" s="41"/>
      <c r="F24" s="41"/>
      <c r="G24" s="41"/>
      <c r="H24" s="41"/>
      <c r="I24" s="41"/>
      <c r="J24" s="42"/>
    </row>
    <row r="25" spans="2:10" ht="13.5" thickBot="1" x14ac:dyDescent="0.25">
      <c r="B25" s="43"/>
      <c r="C25" s="44"/>
      <c r="D25" s="44"/>
      <c r="E25" s="44"/>
      <c r="F25" s="44"/>
      <c r="G25" s="44"/>
      <c r="H25" s="44"/>
      <c r="I25" s="44"/>
      <c r="J25" s="45"/>
    </row>
  </sheetData>
  <sheetProtection sheet="1" objects="1" scenarios="1"/>
  <mergeCells count="1">
    <mergeCell ref="B11:J11"/>
  </mergeCells>
  <phoneticPr fontId="0" type="noConversion"/>
  <hyperlinks>
    <hyperlink ref="E34" r:id="rId1" display="http://www.engineeringexceltemplates.com/downloads_main.aspx" xr:uid="{00000000-0004-0000-0000-000000000000}"/>
  </hyperlinks>
  <pageMargins left="0.75" right="0.75" top="1" bottom="1" header="0.5" footer="0.5"/>
  <pageSetup orientation="portrait" horizontalDpi="0" verticalDpi="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S159"/>
  <sheetViews>
    <sheetView showGridLines="0" zoomScaleNormal="100" workbookViewId="0"/>
  </sheetViews>
  <sheetFormatPr defaultRowHeight="12.75" x14ac:dyDescent="0.2"/>
  <cols>
    <col min="1" max="1" width="11.5703125" customWidth="1"/>
    <col min="2" max="2" width="5.5703125" customWidth="1"/>
    <col min="3" max="3" width="24.85546875" customWidth="1"/>
    <col min="4" max="4" width="23.42578125" customWidth="1"/>
    <col min="5" max="5" width="9.5703125" bestFit="1" customWidth="1"/>
    <col min="6" max="6" width="10.5703125" customWidth="1"/>
    <col min="7" max="7" width="12.85546875" customWidth="1"/>
    <col min="9" max="9" width="2.7109375" customWidth="1"/>
    <col min="10" max="10" width="21.140625" style="4" customWidth="1"/>
    <col min="11" max="11" width="16" style="4" customWidth="1"/>
    <col min="12" max="12" width="10.28515625" customWidth="1"/>
    <col min="13" max="13" width="10.140625" customWidth="1"/>
    <col min="14" max="14" width="11.140625" customWidth="1"/>
    <col min="15" max="15" width="11.42578125" bestFit="1" customWidth="1"/>
    <col min="16" max="16" width="10.42578125" customWidth="1"/>
    <col min="17" max="17" width="16.5703125" style="1" customWidth="1"/>
    <col min="18" max="22" width="10.42578125" style="1" customWidth="1"/>
    <col min="23" max="23" width="3.140625" customWidth="1"/>
    <col min="24" max="24" width="11.140625" customWidth="1"/>
    <col min="30" max="30" width="20.5703125" customWidth="1"/>
    <col min="31" max="31" width="12.42578125" customWidth="1"/>
    <col min="32" max="32" width="11.28515625" customWidth="1"/>
    <col min="33" max="33" width="12" bestFit="1" customWidth="1"/>
    <col min="34" max="34" width="10.140625" customWidth="1"/>
    <col min="35" max="35" width="12.5703125" bestFit="1" customWidth="1"/>
    <col min="36" max="36" width="4" customWidth="1"/>
    <col min="37" max="37" width="5.5703125" customWidth="1"/>
    <col min="44" max="44" width="10" customWidth="1"/>
    <col min="45" max="45" width="10.28515625" customWidth="1"/>
  </cols>
  <sheetData>
    <row r="1" spans="1:45" ht="15" thickBot="1" x14ac:dyDescent="0.25">
      <c r="J1" s="83" t="s">
        <v>503</v>
      </c>
      <c r="K1" s="84"/>
      <c r="L1" s="84"/>
      <c r="M1" s="84"/>
      <c r="N1" s="84"/>
      <c r="Q1" s="83"/>
    </row>
    <row r="2" spans="1:45" ht="30.75" customHeight="1" x14ac:dyDescent="0.25">
      <c r="B2" s="243" t="s">
        <v>57</v>
      </c>
      <c r="C2" s="244"/>
      <c r="D2" s="244"/>
      <c r="E2" s="244"/>
      <c r="F2" s="245"/>
      <c r="J2" s="250" t="s">
        <v>540</v>
      </c>
      <c r="K2" s="250"/>
      <c r="L2" s="250"/>
      <c r="M2" s="250"/>
      <c r="N2" s="250"/>
      <c r="Q2" s="251"/>
      <c r="R2" s="251"/>
      <c r="S2" s="251"/>
      <c r="T2" s="251"/>
      <c r="U2" s="251"/>
      <c r="AD2" t="s">
        <v>507</v>
      </c>
    </row>
    <row r="3" spans="1:45" ht="18" customHeight="1" x14ac:dyDescent="0.25">
      <c r="B3" s="240" t="s">
        <v>56</v>
      </c>
      <c r="C3" s="241"/>
      <c r="D3" s="241"/>
      <c r="E3" s="241"/>
      <c r="F3" s="242"/>
      <c r="R3" s="84"/>
      <c r="S3" s="84"/>
      <c r="T3" s="84"/>
      <c r="U3" s="84"/>
      <c r="AD3" s="131" t="s">
        <v>442</v>
      </c>
      <c r="AN3" s="1"/>
    </row>
    <row r="4" spans="1:45" ht="15.75" thickBot="1" x14ac:dyDescent="0.25">
      <c r="B4" s="247"/>
      <c r="C4" s="248"/>
      <c r="D4" s="248"/>
      <c r="E4" s="248"/>
      <c r="F4" s="249"/>
      <c r="J4" s="202" t="s">
        <v>544</v>
      </c>
      <c r="L4" s="250" t="s">
        <v>541</v>
      </c>
      <c r="M4" s="250"/>
      <c r="N4" s="250"/>
      <c r="P4" s="252" t="s">
        <v>543</v>
      </c>
      <c r="Q4" s="252"/>
      <c r="R4" s="252"/>
      <c r="S4" s="84"/>
      <c r="T4" s="84"/>
      <c r="U4" s="84"/>
      <c r="AD4" s="132">
        <f>D17+273.15</f>
        <v>333.15</v>
      </c>
      <c r="AN4" s="1"/>
    </row>
    <row r="5" spans="1:45" ht="15.75" thickBot="1" x14ac:dyDescent="0.25">
      <c r="E5" s="12"/>
      <c r="F5" s="12"/>
      <c r="J5" s="204" t="s">
        <v>545</v>
      </c>
      <c r="L5" s="253" t="s">
        <v>441</v>
      </c>
      <c r="M5" s="253"/>
      <c r="N5" s="253"/>
      <c r="P5" s="254"/>
      <c r="Q5" s="252"/>
      <c r="R5" s="252"/>
      <c r="S5" s="252"/>
      <c r="AD5" s="1" t="s">
        <v>506</v>
      </c>
      <c r="AN5" s="1"/>
    </row>
    <row r="6" spans="1:45" ht="15.75" x14ac:dyDescent="0.25">
      <c r="C6" s="230" t="s">
        <v>66</v>
      </c>
      <c r="D6" s="231"/>
      <c r="E6" s="88"/>
      <c r="F6" s="88"/>
      <c r="J6" s="203" t="s">
        <v>546</v>
      </c>
      <c r="K6"/>
      <c r="L6" s="252" t="s">
        <v>542</v>
      </c>
      <c r="M6" s="252"/>
      <c r="N6" s="252"/>
      <c r="Q6" s="252"/>
      <c r="R6" s="252"/>
      <c r="S6" s="252"/>
      <c r="T6" s="252"/>
      <c r="U6" s="252"/>
      <c r="V6" s="252"/>
      <c r="AD6" s="133">
        <f>1-(AD4/540.2)</f>
        <v>0.38328396890040739</v>
      </c>
    </row>
    <row r="7" spans="1:45" ht="16.5" thickBot="1" x14ac:dyDescent="0.3">
      <c r="B7" s="5"/>
      <c r="C7" s="6"/>
      <c r="D7" s="7"/>
      <c r="E7" s="88"/>
      <c r="J7"/>
      <c r="K7"/>
    </row>
    <row r="8" spans="1:45" ht="17.100000000000001" customHeight="1" x14ac:dyDescent="0.2">
      <c r="C8" s="6" t="s">
        <v>63</v>
      </c>
      <c r="D8" s="91">
        <v>80</v>
      </c>
      <c r="E8" s="87"/>
      <c r="F8" s="246" t="s">
        <v>49</v>
      </c>
      <c r="G8" s="246"/>
      <c r="H8" s="246"/>
      <c r="I8" s="65"/>
      <c r="J8" s="121"/>
      <c r="K8" s="121"/>
      <c r="L8" s="66"/>
      <c r="M8" s="66"/>
      <c r="N8" s="66"/>
      <c r="O8" s="66"/>
      <c r="P8" s="66"/>
      <c r="Q8" s="122"/>
      <c r="R8" s="122"/>
      <c r="S8" s="122"/>
      <c r="T8" s="122"/>
      <c r="U8" s="122"/>
      <c r="V8" s="122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7"/>
      <c r="AK8" s="84"/>
      <c r="AL8" s="211" t="s">
        <v>504</v>
      </c>
      <c r="AM8" s="212"/>
      <c r="AN8" s="212"/>
      <c r="AO8" s="212"/>
      <c r="AP8" s="212"/>
      <c r="AQ8" s="212"/>
      <c r="AR8" s="212"/>
      <c r="AS8" s="213"/>
    </row>
    <row r="9" spans="1:45" ht="17.100000000000001" customHeight="1" x14ac:dyDescent="0.2">
      <c r="C9" s="6" t="s">
        <v>64</v>
      </c>
      <c r="D9" s="91">
        <v>40</v>
      </c>
      <c r="F9" s="246" t="s">
        <v>48</v>
      </c>
      <c r="G9" s="246"/>
      <c r="H9" s="246"/>
      <c r="I9" s="6"/>
      <c r="J9" s="237" t="s">
        <v>17</v>
      </c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84"/>
      <c r="AK9" s="84"/>
      <c r="AL9" s="236" t="s">
        <v>141</v>
      </c>
      <c r="AM9" s="234"/>
      <c r="AN9" s="233" t="s">
        <v>142</v>
      </c>
      <c r="AO9" s="234"/>
      <c r="AP9" s="233" t="s">
        <v>143</v>
      </c>
      <c r="AQ9" s="234"/>
      <c r="AR9" s="233" t="s">
        <v>144</v>
      </c>
      <c r="AS9" s="234"/>
    </row>
    <row r="10" spans="1:45" ht="17.100000000000001" customHeight="1" thickBot="1" x14ac:dyDescent="0.25">
      <c r="C10" s="8" t="s">
        <v>65</v>
      </c>
      <c r="D10" s="92">
        <v>101</v>
      </c>
      <c r="I10" s="6"/>
      <c r="J10" s="123"/>
      <c r="K10" s="16" t="str">
        <f>VLOOKUP($D$15,$J$13:$P$86,2)</f>
        <v xml:space="preserve"> 0 to 500</v>
      </c>
      <c r="L10" s="16">
        <f>VLOOKUP($D$15,$J$13:$P$86,3)</f>
        <v>8.3145000000000007</v>
      </c>
      <c r="M10" s="16">
        <f>VLOOKUP($D$15,$J$13:$P$86,4)</f>
        <v>0</v>
      </c>
      <c r="N10" s="16">
        <f>VLOOKUP($D$15,$J$13:$P$86,5)</f>
        <v>0</v>
      </c>
      <c r="O10" s="16">
        <f>VLOOKUP($D$15,$J$13:$P$86,6)</f>
        <v>0</v>
      </c>
      <c r="P10" s="16">
        <f>VLOOKUP($D$15,$J$13:$P$86,7)</f>
        <v>28.96</v>
      </c>
      <c r="Q10" s="90" t="str">
        <f>VLOOKUP($D$15,$J$13:$V$86,8)</f>
        <v xml:space="preserve"> -193 to 1727</v>
      </c>
      <c r="R10" s="16">
        <f>VLOOKUP($D$15,$J$13:$V$86,9)</f>
        <v>1.4250000000000001E-6</v>
      </c>
      <c r="S10" s="16">
        <f>VLOOKUP($D$15,$J$13:$V$86,10)</f>
        <v>0.50390000000000001</v>
      </c>
      <c r="T10" s="16">
        <f>VLOOKUP($D$15,$J$13:$V$86,11)</f>
        <v>108.3</v>
      </c>
      <c r="U10" s="16">
        <f>VLOOKUP($D$15,$J$13:$V$86,12)</f>
        <v>0</v>
      </c>
      <c r="V10" s="16">
        <f>VLOOKUP($D$15,$J$13:$V$86,13)</f>
        <v>0</v>
      </c>
      <c r="W10" s="21"/>
      <c r="X10" s="16" t="str">
        <f>VLOOKUP($D$15,$J$13:$AC$86,15)</f>
        <v xml:space="preserve"> -173 to 1227</v>
      </c>
      <c r="Y10" s="16">
        <f>VLOOKUP($D$15,$J$13:$AC$86,16)</f>
        <v>28958</v>
      </c>
      <c r="Z10" s="16">
        <f>VLOOKUP($D$15,$J$13:$AC$86,17)</f>
        <v>9390</v>
      </c>
      <c r="AA10" s="16">
        <f>VLOOKUP($D$15,$J$13:$AC$86,18)</f>
        <v>3012</v>
      </c>
      <c r="AB10" s="16">
        <f>VLOOKUP($D$15,$J$13:$AC$86,19)</f>
        <v>7580</v>
      </c>
      <c r="AC10" s="16">
        <f>VLOOKUP($D$15,$J$13:$AC$86,20)</f>
        <v>1484</v>
      </c>
      <c r="AD10" s="20"/>
      <c r="AE10" s="90" t="str">
        <f>VLOOKUP($D$15,$J$13:$AJ$86,22)</f>
        <v xml:space="preserve"> -203 to 1727</v>
      </c>
      <c r="AF10" s="16">
        <f>VLOOKUP($D$15,$J$13:$AJ$86,23)</f>
        <v>3.1417000000000001E-4</v>
      </c>
      <c r="AG10" s="16">
        <f>VLOOKUP($D$15,$J$13:$AJ$86,24)</f>
        <v>0.77859999999999996</v>
      </c>
      <c r="AH10" s="16">
        <f>VLOOKUP($D$15,$J$13:$AJ$86,25)</f>
        <v>-0.71160000000000001</v>
      </c>
      <c r="AI10" s="16">
        <f>VLOOKUP($D$15,$J$13:$AJ$86,26)</f>
        <v>2121.6999999999998</v>
      </c>
      <c r="AJ10" s="185"/>
      <c r="AK10" s="84"/>
      <c r="AL10" s="161">
        <f>VLOOKUP($D$15,$J$13:$AS$86,29)</f>
        <v>0</v>
      </c>
      <c r="AM10" s="161">
        <f>VLOOKUP($D$15,$J$13:$AS$86,30)</f>
        <v>500</v>
      </c>
      <c r="AN10" s="161">
        <f>VLOOKUP($D$15,$J$13:$AS$86,31)</f>
        <v>-193</v>
      </c>
      <c r="AO10" s="161">
        <f>VLOOKUP($D$15,$J$13:$AS$86,32)</f>
        <v>1727</v>
      </c>
      <c r="AP10" s="161">
        <f>VLOOKUP($D$15,$J$13:$AS$86,33)</f>
        <v>-173</v>
      </c>
      <c r="AQ10" s="161">
        <f>VLOOKUP($D$15,$J$13:$AS$86,34)</f>
        <v>1227</v>
      </c>
      <c r="AR10" s="161">
        <f>VLOOKUP($D$15,$J$13:$AS$86,35)</f>
        <v>-203</v>
      </c>
      <c r="AS10" s="161">
        <f>VLOOKUP($D$15,$J$13:$AS$86,36)</f>
        <v>1727</v>
      </c>
    </row>
    <row r="11" spans="1:45" x14ac:dyDescent="0.2">
      <c r="G11" s="158"/>
      <c r="I11" s="6"/>
      <c r="J11" s="31" t="s">
        <v>16</v>
      </c>
      <c r="K11" s="124">
        <f>IF($D$15="Air",28.96*$D$10/(8.3145*($D$17+273.15)),IF($D$15="Water",$P$10*(17.863+(58.606*(1-(($D$17+273.15)/(647.096)))^0.35)-(95.396*(1-(($D$17+273.15)/(647.096)))^(2/3))+(213.89*(1-(($D$17+273.15)/(647.096))))-(141.26*(1-(($D$17+273.15)/(647.096)))^(4/3))),$P$10*$L$10/($M$10^(1+(1-(($D$17+273.15)/$N$10))^$O$10))))</f>
        <v>1.0559515111987401</v>
      </c>
      <c r="L11" s="222" t="s">
        <v>13</v>
      </c>
      <c r="M11" s="222"/>
      <c r="N11" s="222"/>
      <c r="O11" s="222"/>
      <c r="P11" s="239"/>
      <c r="Q11" s="125">
        <f>IF($D$15="Air",(1.425/1000000)*(($D$17+273.15)^0.5039)/(1+(108.3/($D$17+273.15))),EXP(R10+(S10/(D17+273.15))+(T10*LN(D17+273.15))+(U10*(D17+273.15)^V10)))</f>
        <v>2.0078504620463731E-5</v>
      </c>
      <c r="R11" s="222" t="s">
        <v>14</v>
      </c>
      <c r="S11" s="222"/>
      <c r="T11" s="222"/>
      <c r="U11" s="222"/>
      <c r="V11" s="222"/>
      <c r="W11" s="15"/>
      <c r="X11" s="126">
        <f>IF($D$15="Air",(28958+(9390*((3012/($D$17+273.15))/(SINH(3012/($D$17+273.15))))^2)+(7580*((1484/($D$17+273.15))/(COSH(1484/($D$17+273.15))))^2))/28.96,IF(D15="Heptane",(1/P10)*(((Y10^2)/AD6)+Z10-(2*Y10*AA10*AD6)-(Y10*AB10*(AK12^2))-(((AA10^2)*AD6^3)/3)-(AA10*AB10*(AD6^4))-((AC10^2)*(AD6^5)/5)),(1/P10)*(Y10+(Z10*((D17+273.15)))+(AA10*(((D17+273.15))^2))+(AB10*(((D17+273.15))^3))+(AC10*(((D17+273.15))^4)))))</f>
        <v>1002.7398981192265</v>
      </c>
      <c r="Y11" s="222" t="s">
        <v>81</v>
      </c>
      <c r="Z11" s="222"/>
      <c r="AA11" s="222"/>
      <c r="AB11" s="222"/>
      <c r="AC11" s="222"/>
      <c r="AD11" s="15"/>
      <c r="AE11" s="197">
        <f>IF($D$15="Air",0.00031317*(($D$17+273.15)^0.7786)/(1-(0.7116/($D$17+273.15))+(2121.7/(($D$17+273.15)^2))),AF10+(AG10*(D17+273.15))+(AH10*((D17+273.15)^2))+(AI10*((D17+273.15)^3))+(AJ10*((D17+273.15)^4)))</f>
        <v>2.8352734676763611E-2</v>
      </c>
      <c r="AF11" s="222" t="s">
        <v>82</v>
      </c>
      <c r="AG11" s="222"/>
      <c r="AH11" s="222"/>
      <c r="AI11" s="222"/>
      <c r="AJ11" s="255"/>
      <c r="AK11" s="84"/>
      <c r="AL11" s="169"/>
      <c r="AM11" s="168"/>
      <c r="AN11" s="167"/>
      <c r="AO11" s="168"/>
      <c r="AP11" s="169"/>
      <c r="AQ11" s="168"/>
      <c r="AR11" s="169"/>
      <c r="AS11" s="168"/>
    </row>
    <row r="12" spans="1:45" ht="15" customHeight="1" thickBot="1" x14ac:dyDescent="0.25">
      <c r="A12" s="232" t="s">
        <v>12</v>
      </c>
      <c r="I12" s="6"/>
      <c r="J12" s="17"/>
      <c r="K12" s="19" t="s">
        <v>62</v>
      </c>
      <c r="L12" s="13" t="s">
        <v>7</v>
      </c>
      <c r="M12" s="13" t="s">
        <v>8</v>
      </c>
      <c r="N12" s="13" t="s">
        <v>9</v>
      </c>
      <c r="O12" s="13" t="s">
        <v>10</v>
      </c>
      <c r="P12" s="71" t="s">
        <v>11</v>
      </c>
      <c r="Q12" s="19" t="s">
        <v>62</v>
      </c>
      <c r="R12" s="13" t="s">
        <v>7</v>
      </c>
      <c r="S12" s="13" t="s">
        <v>8</v>
      </c>
      <c r="T12" s="13" t="s">
        <v>9</v>
      </c>
      <c r="U12" s="13" t="s">
        <v>10</v>
      </c>
      <c r="V12" s="13" t="s">
        <v>15</v>
      </c>
      <c r="W12" s="15"/>
      <c r="X12" s="19" t="s">
        <v>62</v>
      </c>
      <c r="Y12" s="13" t="s">
        <v>7</v>
      </c>
      <c r="Z12" s="13" t="s">
        <v>8</v>
      </c>
      <c r="AA12" s="13" t="s">
        <v>9</v>
      </c>
      <c r="AB12" s="13" t="s">
        <v>10</v>
      </c>
      <c r="AC12" s="13" t="s">
        <v>15</v>
      </c>
      <c r="AD12" s="15"/>
      <c r="AE12" s="19" t="s">
        <v>62</v>
      </c>
      <c r="AF12" s="13" t="s">
        <v>7</v>
      </c>
      <c r="AG12" s="13" t="s">
        <v>8</v>
      </c>
      <c r="AH12" s="13" t="s">
        <v>9</v>
      </c>
      <c r="AI12" s="13" t="s">
        <v>10</v>
      </c>
      <c r="AJ12" s="10"/>
      <c r="AK12" s="84"/>
      <c r="AL12" s="172"/>
      <c r="AM12" s="171"/>
      <c r="AN12" s="170"/>
      <c r="AO12" s="171"/>
      <c r="AP12" s="172"/>
      <c r="AQ12" s="171"/>
      <c r="AR12" s="172"/>
      <c r="AS12" s="171"/>
    </row>
    <row r="13" spans="1:45" ht="15" customHeight="1" x14ac:dyDescent="0.2">
      <c r="A13" s="232"/>
      <c r="C13" s="230" t="s">
        <v>58</v>
      </c>
      <c r="D13" s="231"/>
      <c r="I13" s="6"/>
      <c r="J13" s="142" t="s">
        <v>164</v>
      </c>
      <c r="K13" s="135" t="s">
        <v>236</v>
      </c>
      <c r="L13" s="135">
        <v>0.90620000000000001</v>
      </c>
      <c r="M13" s="135">
        <v>0.25474999999999998</v>
      </c>
      <c r="N13" s="135">
        <v>602</v>
      </c>
      <c r="O13" s="135">
        <v>0.31</v>
      </c>
      <c r="P13" s="136">
        <v>133.404</v>
      </c>
      <c r="Q13" s="135" t="s">
        <v>305</v>
      </c>
      <c r="R13" s="135">
        <v>0.38800000000000001</v>
      </c>
      <c r="S13" s="135">
        <v>736.5</v>
      </c>
      <c r="T13" s="135">
        <v>-1.7062999999999999</v>
      </c>
      <c r="U13" s="134"/>
      <c r="V13" s="134"/>
      <c r="W13" s="137"/>
      <c r="X13" s="135" t="s">
        <v>376</v>
      </c>
      <c r="Y13" s="135">
        <v>103350</v>
      </c>
      <c r="Z13" s="135">
        <v>159.30000000000001</v>
      </c>
      <c r="AA13" s="135"/>
      <c r="AB13" s="134"/>
      <c r="AC13" s="134"/>
      <c r="AD13" s="142" t="s">
        <v>164</v>
      </c>
      <c r="AE13" s="135" t="s">
        <v>439</v>
      </c>
      <c r="AF13" s="145">
        <v>0.20730999999999999</v>
      </c>
      <c r="AG13" s="148">
        <f>-2.4997/10000</f>
        <v>-2.4996999999999997E-4</v>
      </c>
      <c r="AH13" s="135"/>
      <c r="AI13" s="134"/>
      <c r="AJ13" s="7"/>
      <c r="AK13" s="84"/>
      <c r="AL13" s="182">
        <v>-36</v>
      </c>
      <c r="AM13" s="174">
        <v>329</v>
      </c>
      <c r="AN13" s="173">
        <v>-36</v>
      </c>
      <c r="AO13" s="174">
        <v>114</v>
      </c>
      <c r="AP13" s="175">
        <v>-36</v>
      </c>
      <c r="AQ13" s="176">
        <v>27</v>
      </c>
      <c r="AR13" s="175">
        <v>-37</v>
      </c>
      <c r="AS13" s="176">
        <v>209</v>
      </c>
    </row>
    <row r="14" spans="1:45" ht="15" customHeight="1" x14ac:dyDescent="0.25">
      <c r="A14" s="232"/>
      <c r="C14" s="6"/>
      <c r="D14" s="7"/>
      <c r="E14" s="85" t="s">
        <v>529</v>
      </c>
      <c r="I14" s="6"/>
      <c r="J14" s="142" t="s">
        <v>165</v>
      </c>
      <c r="K14" s="13" t="s">
        <v>237</v>
      </c>
      <c r="L14" s="13">
        <v>1.1870000000000001</v>
      </c>
      <c r="M14" s="13">
        <v>0.26113999999999998</v>
      </c>
      <c r="N14" s="13">
        <v>452</v>
      </c>
      <c r="O14" s="13">
        <v>0.30649999999999999</v>
      </c>
      <c r="P14" s="71">
        <v>54.09</v>
      </c>
      <c r="Q14" s="13" t="s">
        <v>306</v>
      </c>
      <c r="R14" s="13">
        <v>-10.143000000000001</v>
      </c>
      <c r="S14" s="13">
        <v>472.79</v>
      </c>
      <c r="T14" s="13">
        <v>-2.8240999999999999E-2</v>
      </c>
      <c r="U14" s="13"/>
      <c r="V14" s="13"/>
      <c r="W14" s="15"/>
      <c r="X14" s="13" t="s">
        <v>377</v>
      </c>
      <c r="Y14" s="13">
        <v>135150</v>
      </c>
      <c r="Z14" s="13">
        <v>-311.14</v>
      </c>
      <c r="AA14" s="13">
        <v>0.97006999999999999</v>
      </c>
      <c r="AB14" s="13">
        <v>-1.5229999999999999E-4</v>
      </c>
      <c r="AC14" s="13"/>
      <c r="AD14" s="142" t="s">
        <v>165</v>
      </c>
      <c r="AE14" s="13" t="s">
        <v>306</v>
      </c>
      <c r="AF14" s="145">
        <v>0.21965999999999999</v>
      </c>
      <c r="AG14" s="147">
        <f>-3.436/10000</f>
        <v>-3.436E-4</v>
      </c>
      <c r="AH14" s="127"/>
      <c r="AI14" s="13"/>
      <c r="AJ14" s="10"/>
      <c r="AK14" s="84"/>
      <c r="AL14" s="181">
        <v>-137</v>
      </c>
      <c r="AM14" s="178">
        <v>179</v>
      </c>
      <c r="AN14" s="177">
        <v>-136</v>
      </c>
      <c r="AO14" s="178">
        <v>11</v>
      </c>
      <c r="AP14" s="179">
        <v>-136</v>
      </c>
      <c r="AQ14" s="180">
        <v>17</v>
      </c>
      <c r="AR14" s="179">
        <v>-136</v>
      </c>
      <c r="AS14" s="180">
        <v>11</v>
      </c>
    </row>
    <row r="15" spans="1:45" ht="15.95" customHeight="1" x14ac:dyDescent="0.25">
      <c r="A15" s="232"/>
      <c r="C15" s="6" t="s">
        <v>132</v>
      </c>
      <c r="D15" s="93" t="s">
        <v>59</v>
      </c>
      <c r="E15" s="85" t="s">
        <v>530</v>
      </c>
      <c r="I15" s="6"/>
      <c r="J15" s="142" t="s">
        <v>166</v>
      </c>
      <c r="K15" s="135" t="s">
        <v>238</v>
      </c>
      <c r="L15" s="135">
        <v>1.0923</v>
      </c>
      <c r="M15" s="135">
        <v>0.26106000000000001</v>
      </c>
      <c r="N15" s="135">
        <v>626</v>
      </c>
      <c r="O15" s="135">
        <v>0.20458999999999999</v>
      </c>
      <c r="P15" s="136">
        <v>76.093999999999994</v>
      </c>
      <c r="Q15" s="135" t="s">
        <v>307</v>
      </c>
      <c r="R15" s="135">
        <v>-804.54</v>
      </c>
      <c r="S15" s="135">
        <v>30487</v>
      </c>
      <c r="T15" s="135">
        <v>130.79</v>
      </c>
      <c r="U15" s="135">
        <v>-0.15448999999999999</v>
      </c>
      <c r="V15" s="135">
        <v>1</v>
      </c>
      <c r="W15" s="137"/>
      <c r="X15" s="135" t="s">
        <v>378</v>
      </c>
      <c r="Y15" s="135">
        <v>58080</v>
      </c>
      <c r="Z15" s="135">
        <v>445.2</v>
      </c>
      <c r="AA15" s="135"/>
      <c r="AB15" s="135"/>
      <c r="AC15" s="135"/>
      <c r="AD15" s="142" t="s">
        <v>166</v>
      </c>
      <c r="AE15" s="135" t="s">
        <v>447</v>
      </c>
      <c r="AF15" s="145">
        <v>0.214</v>
      </c>
      <c r="AG15" s="147">
        <f>-1.834/10000</f>
        <v>-1.8340000000000001E-4</v>
      </c>
      <c r="AH15" s="135"/>
      <c r="AI15" s="135"/>
      <c r="AJ15" s="10"/>
      <c r="AK15" s="84"/>
      <c r="AL15" s="181">
        <v>-60</v>
      </c>
      <c r="AM15" s="178">
        <v>352</v>
      </c>
      <c r="AN15" s="177">
        <v>-60</v>
      </c>
      <c r="AO15" s="178">
        <v>228</v>
      </c>
      <c r="AP15" s="179">
        <v>-60</v>
      </c>
      <c r="AQ15" s="180">
        <v>188</v>
      </c>
      <c r="AR15" s="179">
        <v>-60</v>
      </c>
      <c r="AS15" s="180">
        <v>727</v>
      </c>
    </row>
    <row r="16" spans="1:45" ht="15.95" customHeight="1" x14ac:dyDescent="0.25">
      <c r="A16" s="232"/>
      <c r="C16" s="6" t="s">
        <v>40</v>
      </c>
      <c r="D16" s="94" t="str">
        <f>K10</f>
        <v xml:space="preserve"> 0 to 500</v>
      </c>
      <c r="E16" s="85" t="s">
        <v>531</v>
      </c>
      <c r="I16" s="6"/>
      <c r="J16" s="142" t="s">
        <v>167</v>
      </c>
      <c r="K16" s="13" t="s">
        <v>239</v>
      </c>
      <c r="L16" s="13">
        <v>1.2345999999999999</v>
      </c>
      <c r="M16" s="13">
        <v>0.27216000000000001</v>
      </c>
      <c r="N16" s="13">
        <v>425</v>
      </c>
      <c r="O16" s="13">
        <v>0.28706999999999999</v>
      </c>
      <c r="P16" s="71">
        <v>54.09</v>
      </c>
      <c r="Q16" s="13" t="s">
        <v>308</v>
      </c>
      <c r="R16" s="13">
        <v>17.844000000000001</v>
      </c>
      <c r="S16" s="13">
        <v>-310.2</v>
      </c>
      <c r="T16" s="13">
        <v>-4.5057999999999998</v>
      </c>
      <c r="U16" s="13"/>
      <c r="V16" s="13"/>
      <c r="W16" s="15"/>
      <c r="X16" s="13" t="s">
        <v>379</v>
      </c>
      <c r="Y16" s="13">
        <v>128860</v>
      </c>
      <c r="Z16" s="13">
        <v>-323.10000000000002</v>
      </c>
      <c r="AA16" s="13">
        <v>1.0149999999999999</v>
      </c>
      <c r="AB16" s="13">
        <v>3.1999999999999999E-5</v>
      </c>
      <c r="AC16" s="13"/>
      <c r="AD16" s="142" t="s">
        <v>167</v>
      </c>
      <c r="AE16" s="13" t="s">
        <v>455</v>
      </c>
      <c r="AF16" s="145">
        <v>0.22231000000000001</v>
      </c>
      <c r="AG16" s="147">
        <f>-3.664/10000</f>
        <v>-3.6640000000000002E-4</v>
      </c>
      <c r="AH16" s="13"/>
      <c r="AI16" s="13"/>
      <c r="AJ16" s="10"/>
      <c r="AK16" s="84"/>
      <c r="AL16" s="181">
        <v>-109</v>
      </c>
      <c r="AM16" s="178">
        <v>152</v>
      </c>
      <c r="AN16" s="177">
        <v>-23</v>
      </c>
      <c r="AO16" s="178">
        <v>127</v>
      </c>
      <c r="AP16" s="179">
        <v>-108</v>
      </c>
      <c r="AQ16" s="180">
        <v>77</v>
      </c>
      <c r="AR16" s="179">
        <v>-109</v>
      </c>
      <c r="AS16" s="180">
        <v>-4</v>
      </c>
    </row>
    <row r="17" spans="1:45" ht="15.95" customHeight="1" thickBot="1" x14ac:dyDescent="0.3">
      <c r="A17" s="232"/>
      <c r="C17" s="271" t="s">
        <v>549</v>
      </c>
      <c r="D17" s="95">
        <f>(D8+D9)/2</f>
        <v>60</v>
      </c>
      <c r="E17" s="224" t="str">
        <f>IF(D$17&lt;AL10,"   Temperature is below range.",IF(D$1&gt;AM10,"  Temperature is above range.",""))</f>
        <v/>
      </c>
      <c r="F17" s="225"/>
      <c r="G17" s="225"/>
      <c r="H17" s="225"/>
      <c r="I17" s="6"/>
      <c r="J17" s="142" t="s">
        <v>168</v>
      </c>
      <c r="K17" s="135" t="s">
        <v>240</v>
      </c>
      <c r="L17" s="135">
        <v>0.98279000000000005</v>
      </c>
      <c r="M17" s="135">
        <v>0.26829999999999998</v>
      </c>
      <c r="N17" s="135">
        <v>563.1</v>
      </c>
      <c r="O17" s="135">
        <v>0.25488</v>
      </c>
      <c r="P17" s="136">
        <v>74.122</v>
      </c>
      <c r="Q17" s="135" t="s">
        <v>309</v>
      </c>
      <c r="R17" s="135">
        <v>0.87668999999999997</v>
      </c>
      <c r="S17" s="135">
        <v>1602.9</v>
      </c>
      <c r="T17" s="135">
        <v>-2.1475</v>
      </c>
      <c r="U17" s="135">
        <f>3.3866*1E+22</f>
        <v>3.3866000000000002E+22</v>
      </c>
      <c r="V17" s="135">
        <v>-9.9230999999999998</v>
      </c>
      <c r="W17" s="137"/>
      <c r="X17" s="135" t="s">
        <v>380</v>
      </c>
      <c r="Y17" s="135">
        <v>191200</v>
      </c>
      <c r="Z17" s="135">
        <v>-730.4</v>
      </c>
      <c r="AA17" s="135">
        <v>2.2997999999999998</v>
      </c>
      <c r="AB17" s="135"/>
      <c r="AC17" s="135"/>
      <c r="AD17" s="142" t="s">
        <v>168</v>
      </c>
      <c r="AE17" s="135" t="s">
        <v>456</v>
      </c>
      <c r="AF17" s="145">
        <v>0.21360000000000001</v>
      </c>
      <c r="AG17" s="147">
        <f>-2.034/10000</f>
        <v>-2.0339999999999998E-4</v>
      </c>
      <c r="AH17" s="135"/>
      <c r="AI17" s="135"/>
      <c r="AJ17" s="10"/>
      <c r="AK17" s="84"/>
      <c r="AL17" s="181">
        <v>-89</v>
      </c>
      <c r="AM17" s="178">
        <v>290</v>
      </c>
      <c r="AN17" s="177">
        <v>83</v>
      </c>
      <c r="AO17" s="178">
        <v>119</v>
      </c>
      <c r="AP17" s="179">
        <v>-89</v>
      </c>
      <c r="AQ17" s="180">
        <v>118</v>
      </c>
      <c r="AR17" s="179">
        <v>-89</v>
      </c>
      <c r="AS17" s="180">
        <v>119</v>
      </c>
    </row>
    <row r="18" spans="1:45" ht="12.75" customHeight="1" thickBot="1" x14ac:dyDescent="0.25">
      <c r="A18" s="232"/>
      <c r="F18" s="221"/>
      <c r="G18" s="221"/>
      <c r="I18" s="6"/>
      <c r="J18" s="142" t="s">
        <v>169</v>
      </c>
      <c r="K18" s="13" t="s">
        <v>241</v>
      </c>
      <c r="L18" s="13">
        <v>0.48979</v>
      </c>
      <c r="M18" s="13">
        <v>0.24931</v>
      </c>
      <c r="N18" s="13">
        <v>652.29999999999995</v>
      </c>
      <c r="O18" s="13">
        <v>0.27823999999999999</v>
      </c>
      <c r="P18" s="71">
        <v>130.22800000000001</v>
      </c>
      <c r="Q18" s="13" t="s">
        <v>310</v>
      </c>
      <c r="R18" s="13">
        <v>-19.907</v>
      </c>
      <c r="S18" s="13">
        <v>2791.7</v>
      </c>
      <c r="T18" s="13">
        <v>0.94296000000000002</v>
      </c>
      <c r="U18" s="18">
        <f>2.3041*1E+24</f>
        <v>2.3040999999999999E+24</v>
      </c>
      <c r="V18" s="13">
        <v>-10.09</v>
      </c>
      <c r="W18" s="15"/>
      <c r="X18" s="13" t="s">
        <v>381</v>
      </c>
      <c r="Y18" s="13">
        <v>571370</v>
      </c>
      <c r="Z18" s="13">
        <v>-4849</v>
      </c>
      <c r="AA18" s="13">
        <v>19.725000000000001</v>
      </c>
      <c r="AB18" s="18">
        <v>-2.1553200000000002E-2</v>
      </c>
      <c r="AC18" s="13"/>
      <c r="AD18" s="142" t="s">
        <v>169</v>
      </c>
      <c r="AE18" s="13" t="s">
        <v>443</v>
      </c>
      <c r="AF18" s="145">
        <v>0.214</v>
      </c>
      <c r="AG18" s="147">
        <f>-1.834/10000</f>
        <v>-1.8340000000000001E-4</v>
      </c>
      <c r="AH18" s="13"/>
      <c r="AI18" s="18"/>
      <c r="AJ18" s="10"/>
      <c r="AK18" s="84"/>
      <c r="AL18" s="181">
        <v>-15</v>
      </c>
      <c r="AM18" s="178">
        <v>264</v>
      </c>
      <c r="AN18" s="177">
        <v>7</v>
      </c>
      <c r="AO18" s="178">
        <v>195</v>
      </c>
      <c r="AP18" s="179">
        <v>-23</v>
      </c>
      <c r="AQ18" s="180">
        <v>194</v>
      </c>
      <c r="AR18" s="179">
        <v>-15</v>
      </c>
      <c r="AS18" s="180">
        <v>727</v>
      </c>
    </row>
    <row r="19" spans="1:45" ht="17.100000000000001" customHeight="1" x14ac:dyDescent="0.2">
      <c r="A19" s="232"/>
      <c r="C19" s="230" t="s">
        <v>39</v>
      </c>
      <c r="D19" s="231"/>
      <c r="F19" s="12"/>
      <c r="I19" s="6"/>
      <c r="J19" s="142" t="s">
        <v>170</v>
      </c>
      <c r="K19" s="135" t="s">
        <v>242</v>
      </c>
      <c r="L19" s="135">
        <v>1.2457</v>
      </c>
      <c r="M19" s="135">
        <v>0.27281</v>
      </c>
      <c r="N19" s="135">
        <v>536.79999999999995</v>
      </c>
      <c r="O19" s="135">
        <v>0.23993999999999999</v>
      </c>
      <c r="P19" s="136">
        <v>60.094999999999999</v>
      </c>
      <c r="Q19" s="135" t="s">
        <v>311</v>
      </c>
      <c r="R19" s="135">
        <v>23.466999999999999</v>
      </c>
      <c r="S19" s="135">
        <v>116.07</v>
      </c>
      <c r="T19" s="135">
        <v>-5.3372000000000002</v>
      </c>
      <c r="U19" s="138">
        <f>2.8801*1000000000</f>
        <v>2880100000</v>
      </c>
      <c r="V19" s="135">
        <v>-4.0266999999999999</v>
      </c>
      <c r="W19" s="137"/>
      <c r="X19" s="135" t="s">
        <v>382</v>
      </c>
      <c r="Y19" s="135">
        <v>158760</v>
      </c>
      <c r="Z19" s="135">
        <v>-635</v>
      </c>
      <c r="AA19" s="135">
        <v>1.9690000000000001</v>
      </c>
      <c r="AB19" s="138"/>
      <c r="AC19" s="135"/>
      <c r="AD19" s="142" t="s">
        <v>170</v>
      </c>
      <c r="AE19" s="135" t="s">
        <v>445</v>
      </c>
      <c r="AF19" s="145">
        <v>0.214</v>
      </c>
      <c r="AG19" s="147">
        <f>-1.834/10000</f>
        <v>-1.8340000000000001E-4</v>
      </c>
      <c r="AH19" s="135"/>
      <c r="AI19" s="141"/>
      <c r="AJ19" s="10"/>
      <c r="AK19" s="84"/>
      <c r="AL19" s="181">
        <v>-126</v>
      </c>
      <c r="AM19" s="178">
        <v>264</v>
      </c>
      <c r="AN19" s="177">
        <v>-126</v>
      </c>
      <c r="AO19" s="178">
        <v>97</v>
      </c>
      <c r="AP19" s="179">
        <v>-126</v>
      </c>
      <c r="AQ19" s="180">
        <v>127</v>
      </c>
      <c r="AR19" s="179">
        <v>-73</v>
      </c>
      <c r="AS19" s="180">
        <v>727</v>
      </c>
    </row>
    <row r="20" spans="1:45" ht="17.100000000000001" customHeight="1" thickBot="1" x14ac:dyDescent="0.25">
      <c r="A20" s="232"/>
      <c r="C20" s="187">
        <f>K11</f>
        <v>1.0559515111987401</v>
      </c>
      <c r="D20" s="111" t="s">
        <v>41</v>
      </c>
      <c r="I20" s="6"/>
      <c r="J20" s="142" t="s">
        <v>171</v>
      </c>
      <c r="K20" s="13" t="s">
        <v>243</v>
      </c>
      <c r="L20" s="13">
        <v>0.96819999999999995</v>
      </c>
      <c r="M20" s="13">
        <v>0.26244000000000001</v>
      </c>
      <c r="N20" s="13">
        <v>535.9</v>
      </c>
      <c r="O20" s="13">
        <v>0.26749000000000001</v>
      </c>
      <c r="P20" s="71">
        <v>74.122</v>
      </c>
      <c r="Q20" s="13" t="s">
        <v>312</v>
      </c>
      <c r="R20" s="13">
        <v>-16.323</v>
      </c>
      <c r="S20" s="13">
        <v>3141.7</v>
      </c>
      <c r="T20" s="13"/>
      <c r="U20" s="13"/>
      <c r="V20" s="13"/>
      <c r="W20" s="15"/>
      <c r="X20" s="13" t="s">
        <v>383</v>
      </c>
      <c r="Y20" s="13">
        <v>426790</v>
      </c>
      <c r="Z20" s="13">
        <v>-3694.6</v>
      </c>
      <c r="AA20" s="13">
        <v>13.827999999999999</v>
      </c>
      <c r="AB20" s="13">
        <v>-1.35E-2</v>
      </c>
      <c r="AC20" s="13"/>
      <c r="AD20" s="142" t="s">
        <v>171</v>
      </c>
      <c r="AE20" s="13" t="s">
        <v>312</v>
      </c>
      <c r="AF20" s="145">
        <v>0.22786999999999999</v>
      </c>
      <c r="AG20" s="148">
        <f>-3.0727/10000</f>
        <v>-3.0727E-4</v>
      </c>
      <c r="AH20" s="13"/>
      <c r="AI20" s="13"/>
      <c r="AJ20" s="10"/>
      <c r="AK20" s="84"/>
      <c r="AL20" s="181">
        <v>-115</v>
      </c>
      <c r="AM20" s="178">
        <v>262</v>
      </c>
      <c r="AN20" s="177">
        <v>-115</v>
      </c>
      <c r="AO20" s="178">
        <v>100</v>
      </c>
      <c r="AP20" s="179">
        <v>-115</v>
      </c>
      <c r="AQ20" s="180">
        <v>99</v>
      </c>
      <c r="AR20" s="179">
        <v>-115</v>
      </c>
      <c r="AS20" s="180">
        <v>100</v>
      </c>
    </row>
    <row r="21" spans="1:45" x14ac:dyDescent="0.2">
      <c r="A21" s="232"/>
      <c r="I21" s="6"/>
      <c r="J21" s="142" t="s">
        <v>172</v>
      </c>
      <c r="K21" s="135" t="s">
        <v>244</v>
      </c>
      <c r="L21" s="135">
        <v>0.50726000000000004</v>
      </c>
      <c r="M21" s="135">
        <v>0.25972000000000001</v>
      </c>
      <c r="N21" s="135">
        <v>629.79999999999995</v>
      </c>
      <c r="O21" s="135">
        <v>0.22</v>
      </c>
      <c r="P21" s="136">
        <v>130.22800000000001</v>
      </c>
      <c r="Q21" s="135" t="s">
        <v>313</v>
      </c>
      <c r="R21" s="135">
        <v>16.792000000000002</v>
      </c>
      <c r="S21" s="135">
        <v>1353.6</v>
      </c>
      <c r="T21" s="135">
        <v>-4.6356999999999999</v>
      </c>
      <c r="U21" s="134">
        <f>2.6663*1E+31</f>
        <v>2.6663000000000001E+31</v>
      </c>
      <c r="V21" s="135">
        <v>-13.039</v>
      </c>
      <c r="W21" s="137"/>
      <c r="X21" s="135" t="s">
        <v>384</v>
      </c>
      <c r="Y21" s="135">
        <v>319198</v>
      </c>
      <c r="Z21" s="135">
        <v>-1042.21</v>
      </c>
      <c r="AA21" s="135">
        <v>3.5294300000000001</v>
      </c>
      <c r="AB21" s="134"/>
      <c r="AC21" s="135"/>
      <c r="AD21" s="142" t="s">
        <v>172</v>
      </c>
      <c r="AE21" s="135" t="s">
        <v>444</v>
      </c>
      <c r="AF21" s="145">
        <v>0.214</v>
      </c>
      <c r="AG21" s="147">
        <f>-1.834/10000</f>
        <v>-1.8340000000000001E-4</v>
      </c>
      <c r="AH21" s="135"/>
      <c r="AI21" s="134"/>
      <c r="AJ21" s="10"/>
      <c r="AK21" s="84"/>
      <c r="AL21" s="181">
        <v>-31</v>
      </c>
      <c r="AM21" s="178">
        <v>357</v>
      </c>
      <c r="AN21" s="177">
        <v>-32</v>
      </c>
      <c r="AO21" s="178">
        <v>180</v>
      </c>
      <c r="AP21" s="179">
        <v>-88</v>
      </c>
      <c r="AQ21" s="180">
        <v>180</v>
      </c>
      <c r="AR21" s="179">
        <v>-32</v>
      </c>
      <c r="AS21" s="180">
        <v>727</v>
      </c>
    </row>
    <row r="22" spans="1:45" x14ac:dyDescent="0.2">
      <c r="A22" s="232"/>
      <c r="C22" s="229" t="s">
        <v>4</v>
      </c>
      <c r="D22" s="229"/>
      <c r="I22" s="6"/>
      <c r="J22" s="142" t="s">
        <v>173</v>
      </c>
      <c r="K22" s="13" t="s">
        <v>245</v>
      </c>
      <c r="L22" s="13">
        <v>1.1798999999999999</v>
      </c>
      <c r="M22" s="13">
        <v>0.26440000000000002</v>
      </c>
      <c r="N22" s="13">
        <v>508.3</v>
      </c>
      <c r="O22" s="13">
        <v>0.24653</v>
      </c>
      <c r="P22" s="71">
        <v>60.094999999999999</v>
      </c>
      <c r="Q22" s="13" t="s">
        <v>314</v>
      </c>
      <c r="R22" s="13">
        <v>-8.8917999999999999</v>
      </c>
      <c r="S22" s="13">
        <v>2357.6</v>
      </c>
      <c r="T22" s="13">
        <v>-0.91376000000000002</v>
      </c>
      <c r="U22" s="18"/>
      <c r="V22" s="18"/>
      <c r="W22" s="15"/>
      <c r="X22" s="13" t="s">
        <v>385</v>
      </c>
      <c r="Y22" s="13">
        <v>471710</v>
      </c>
      <c r="Z22" s="13">
        <v>-4172.1000000000004</v>
      </c>
      <c r="AA22" s="13">
        <v>14.744999999999999</v>
      </c>
      <c r="AB22" s="18">
        <v>-1.44E-2</v>
      </c>
      <c r="AC22" s="18"/>
      <c r="AD22" s="142" t="s">
        <v>173</v>
      </c>
      <c r="AE22" s="13" t="s">
        <v>446</v>
      </c>
      <c r="AF22" s="145">
        <v>0.214</v>
      </c>
      <c r="AG22" s="147">
        <f>-1.834/10000</f>
        <v>-1.8340000000000001E-4</v>
      </c>
      <c r="AH22" s="13"/>
      <c r="AI22" s="18"/>
      <c r="AJ22" s="7"/>
      <c r="AK22" s="84"/>
      <c r="AL22" s="181">
        <v>-88</v>
      </c>
      <c r="AM22" s="178">
        <v>235</v>
      </c>
      <c r="AN22" s="177">
        <v>-88</v>
      </c>
      <c r="AO22" s="178">
        <v>82</v>
      </c>
      <c r="AP22" s="179">
        <v>-126</v>
      </c>
      <c r="AQ22" s="180">
        <v>82</v>
      </c>
      <c r="AR22" s="179">
        <v>-86</v>
      </c>
      <c r="AS22" s="180">
        <v>727</v>
      </c>
    </row>
    <row r="23" spans="1:45" ht="16.5" thickBot="1" x14ac:dyDescent="0.3">
      <c r="A23" s="232"/>
      <c r="F23" s="223"/>
      <c r="G23" s="223"/>
      <c r="I23" s="6"/>
      <c r="J23" s="142" t="s">
        <v>174</v>
      </c>
      <c r="K23" s="135" t="s">
        <v>246</v>
      </c>
      <c r="L23" s="135">
        <v>1.4486000000000001</v>
      </c>
      <c r="M23" s="135">
        <v>0.25891999999999998</v>
      </c>
      <c r="N23" s="135">
        <v>591.95000000000005</v>
      </c>
      <c r="O23" s="135">
        <v>0.25290000000000001</v>
      </c>
      <c r="P23" s="136">
        <v>60.052</v>
      </c>
      <c r="Q23" s="135" t="s">
        <v>315</v>
      </c>
      <c r="R23" s="139">
        <v>-9.0299999999999994</v>
      </c>
      <c r="S23" s="139">
        <v>1212.3</v>
      </c>
      <c r="T23" s="139">
        <v>-0.32200000000000001</v>
      </c>
      <c r="U23" s="139"/>
      <c r="V23" s="139"/>
      <c r="W23" s="137"/>
      <c r="X23" s="135" t="s">
        <v>315</v>
      </c>
      <c r="Y23" s="139">
        <v>139640</v>
      </c>
      <c r="Z23" s="139">
        <v>-320.8</v>
      </c>
      <c r="AA23" s="139">
        <v>0.89849999999999997</v>
      </c>
      <c r="AB23" s="139"/>
      <c r="AC23" s="139"/>
      <c r="AD23" s="142" t="s">
        <v>174</v>
      </c>
      <c r="AE23" s="135" t="s">
        <v>315</v>
      </c>
      <c r="AF23" s="145">
        <v>0.214</v>
      </c>
      <c r="AG23" s="147">
        <f>-1.834/10000</f>
        <v>-1.8340000000000001E-4</v>
      </c>
      <c r="AH23" s="145"/>
      <c r="AI23" s="139"/>
      <c r="AJ23" s="186"/>
      <c r="AK23" s="84"/>
      <c r="AL23" s="181">
        <v>17</v>
      </c>
      <c r="AM23" s="178">
        <v>333</v>
      </c>
      <c r="AN23" s="177">
        <v>17</v>
      </c>
      <c r="AO23" s="178">
        <v>118</v>
      </c>
      <c r="AP23" s="179">
        <v>17</v>
      </c>
      <c r="AQ23" s="180">
        <v>118</v>
      </c>
      <c r="AR23" s="179">
        <v>17</v>
      </c>
      <c r="AS23" s="180">
        <v>118</v>
      </c>
    </row>
    <row r="24" spans="1:45" x14ac:dyDescent="0.2">
      <c r="A24" s="232"/>
      <c r="C24" s="230" t="s">
        <v>46</v>
      </c>
      <c r="D24" s="231"/>
      <c r="F24" s="221"/>
      <c r="G24" s="221"/>
      <c r="I24" s="6"/>
      <c r="J24" s="142" t="s">
        <v>175</v>
      </c>
      <c r="K24" s="13" t="s">
        <v>247</v>
      </c>
      <c r="L24" s="13">
        <v>0.86851999999999996</v>
      </c>
      <c r="M24" s="13">
        <v>0.25186999999999998</v>
      </c>
      <c r="N24" s="13">
        <v>606</v>
      </c>
      <c r="O24" s="13">
        <v>0.31172</v>
      </c>
      <c r="P24" s="71">
        <v>102.09</v>
      </c>
      <c r="Q24" s="13" t="s">
        <v>316</v>
      </c>
      <c r="R24" s="13">
        <v>-14.164</v>
      </c>
      <c r="S24" s="13">
        <v>1350.3</v>
      </c>
      <c r="T24" s="13">
        <v>0.44919999999999999</v>
      </c>
      <c r="U24" s="13"/>
      <c r="V24" s="13"/>
      <c r="W24" s="15"/>
      <c r="X24" s="13" t="s">
        <v>386</v>
      </c>
      <c r="Y24" s="13">
        <v>36600</v>
      </c>
      <c r="Z24" s="13">
        <v>511</v>
      </c>
      <c r="AA24" s="13"/>
      <c r="AB24" s="13"/>
      <c r="AC24" s="13"/>
      <c r="AD24" s="142" t="s">
        <v>175</v>
      </c>
      <c r="AE24" s="13" t="s">
        <v>448</v>
      </c>
      <c r="AF24" s="143">
        <v>0.23638000000000001</v>
      </c>
      <c r="AG24" s="148">
        <f>-2.4263/10000</f>
        <v>-2.4263E-4</v>
      </c>
      <c r="AH24" s="13"/>
      <c r="AI24" s="13"/>
      <c r="AJ24" s="10"/>
      <c r="AK24" s="84"/>
      <c r="AL24" s="181">
        <v>-73</v>
      </c>
      <c r="AM24" s="178">
        <v>235</v>
      </c>
      <c r="AN24" s="177">
        <v>-63</v>
      </c>
      <c r="AO24" s="178">
        <v>140</v>
      </c>
      <c r="AP24" s="179">
        <v>-23</v>
      </c>
      <c r="AQ24" s="180">
        <v>77</v>
      </c>
      <c r="AR24" s="179">
        <v>-73</v>
      </c>
      <c r="AS24" s="180">
        <v>140</v>
      </c>
    </row>
    <row r="25" spans="1:45" ht="15" x14ac:dyDescent="0.2">
      <c r="A25" s="232"/>
      <c r="C25" s="9"/>
      <c r="D25" s="10"/>
      <c r="F25" s="12"/>
      <c r="I25" s="6"/>
      <c r="J25" s="142" t="s">
        <v>176</v>
      </c>
      <c r="K25" s="135" t="s">
        <v>248</v>
      </c>
      <c r="L25" s="135">
        <v>1.2332000000000001</v>
      </c>
      <c r="M25" s="135">
        <v>0.25885999999999998</v>
      </c>
      <c r="N25" s="135">
        <v>508.2</v>
      </c>
      <c r="O25" s="135">
        <v>0.2913</v>
      </c>
      <c r="P25" s="136">
        <v>58.079000000000001</v>
      </c>
      <c r="Q25" s="135" t="s">
        <v>317</v>
      </c>
      <c r="R25" s="135">
        <v>-14.917999999999999</v>
      </c>
      <c r="S25" s="135">
        <v>1023.4</v>
      </c>
      <c r="T25" s="135">
        <v>0.59609999999999996</v>
      </c>
      <c r="U25" s="135"/>
      <c r="V25" s="135"/>
      <c r="W25" s="137"/>
      <c r="X25" s="135" t="s">
        <v>387</v>
      </c>
      <c r="Y25" s="135">
        <v>135600</v>
      </c>
      <c r="Z25" s="135">
        <v>-177</v>
      </c>
      <c r="AA25" s="135">
        <v>0.28370000000000001</v>
      </c>
      <c r="AB25" s="135">
        <v>6.8900000000000005E-4</v>
      </c>
      <c r="AC25" s="135"/>
      <c r="AD25" s="142" t="s">
        <v>176</v>
      </c>
      <c r="AE25" s="135" t="s">
        <v>449</v>
      </c>
      <c r="AF25" s="135">
        <v>0.2878</v>
      </c>
      <c r="AG25" s="146">
        <f>-4.27/10000</f>
        <v>-4.2699999999999997E-4</v>
      </c>
      <c r="AH25" s="135"/>
      <c r="AI25" s="135"/>
      <c r="AJ25" s="10"/>
      <c r="AK25" s="84"/>
      <c r="AL25" s="181">
        <v>-95</v>
      </c>
      <c r="AM25" s="178">
        <v>235</v>
      </c>
      <c r="AN25" s="177">
        <v>-83</v>
      </c>
      <c r="AO25" s="178">
        <v>56</v>
      </c>
      <c r="AP25" s="179">
        <v>-95</v>
      </c>
      <c r="AQ25" s="180">
        <v>56</v>
      </c>
      <c r="AR25" s="179">
        <v>-95</v>
      </c>
      <c r="AS25" s="180">
        <v>70</v>
      </c>
    </row>
    <row r="26" spans="1:45" ht="15" thickBot="1" x14ac:dyDescent="0.25">
      <c r="A26" s="232"/>
      <c r="C26" s="72" t="s">
        <v>42</v>
      </c>
      <c r="D26" s="22"/>
      <c r="I26" s="6"/>
      <c r="J26" s="142" t="s">
        <v>177</v>
      </c>
      <c r="K26" s="13" t="s">
        <v>249</v>
      </c>
      <c r="L26" s="13">
        <v>1.3064</v>
      </c>
      <c r="M26" s="13">
        <v>0.22597</v>
      </c>
      <c r="N26" s="13">
        <v>545.5</v>
      </c>
      <c r="O26" s="13">
        <v>0.28677999999999998</v>
      </c>
      <c r="P26" s="71">
        <v>41.052</v>
      </c>
      <c r="Q26" s="13" t="s">
        <v>318</v>
      </c>
      <c r="R26" s="13">
        <v>-10.906000000000001</v>
      </c>
      <c r="S26" s="13">
        <v>872.02</v>
      </c>
      <c r="T26" s="13"/>
      <c r="U26" s="13"/>
      <c r="V26" s="13"/>
      <c r="W26" s="15"/>
      <c r="X26" s="13" t="s">
        <v>388</v>
      </c>
      <c r="Y26" s="13">
        <v>97582</v>
      </c>
      <c r="Z26" s="13">
        <v>-122.2</v>
      </c>
      <c r="AA26" s="13">
        <v>0.34084999999999999</v>
      </c>
      <c r="AB26" s="13"/>
      <c r="AC26" s="13"/>
      <c r="AD26" s="142" t="s">
        <v>177</v>
      </c>
      <c r="AE26" s="13" t="s">
        <v>450</v>
      </c>
      <c r="AF26" s="143">
        <v>0.33191999999999999</v>
      </c>
      <c r="AG26" s="148">
        <f>-4.3243/10000</f>
        <v>-4.3242999999999998E-4</v>
      </c>
      <c r="AH26" s="13"/>
      <c r="AI26" s="13"/>
      <c r="AJ26" s="10"/>
      <c r="AK26" s="84"/>
      <c r="AL26" s="181">
        <v>-44</v>
      </c>
      <c r="AM26" s="178">
        <v>273</v>
      </c>
      <c r="AN26" s="177">
        <v>-44</v>
      </c>
      <c r="AO26" s="178">
        <v>163</v>
      </c>
      <c r="AP26" s="179">
        <v>-44</v>
      </c>
      <c r="AQ26" s="180">
        <v>82</v>
      </c>
      <c r="AR26" s="179">
        <v>-44</v>
      </c>
      <c r="AS26" s="180">
        <v>76</v>
      </c>
    </row>
    <row r="27" spans="1:45" ht="15" x14ac:dyDescent="0.2">
      <c r="A27" s="232"/>
      <c r="F27" s="12"/>
      <c r="I27" s="6"/>
      <c r="J27" s="142" t="s">
        <v>178</v>
      </c>
      <c r="K27" s="135" t="s">
        <v>250</v>
      </c>
      <c r="L27" s="135">
        <v>1.2414000000000001</v>
      </c>
      <c r="M27" s="135">
        <v>0.25822000000000001</v>
      </c>
      <c r="N27" s="135">
        <v>615</v>
      </c>
      <c r="O27" s="135">
        <v>0.30701000000000001</v>
      </c>
      <c r="P27" s="136">
        <v>72.063000000000002</v>
      </c>
      <c r="Q27" s="135" t="s">
        <v>319</v>
      </c>
      <c r="R27" s="135">
        <v>-28.12</v>
      </c>
      <c r="S27" s="135">
        <v>2280.1999999999998</v>
      </c>
      <c r="T27" s="135">
        <v>2.3956</v>
      </c>
      <c r="U27" s="135"/>
      <c r="V27" s="135"/>
      <c r="W27" s="137"/>
      <c r="X27" s="135" t="s">
        <v>389</v>
      </c>
      <c r="Y27" s="135">
        <v>55300</v>
      </c>
      <c r="Z27" s="135">
        <v>300</v>
      </c>
      <c r="AA27" s="135"/>
      <c r="AB27" s="135"/>
      <c r="AC27" s="135"/>
      <c r="AD27" s="142" t="s">
        <v>178</v>
      </c>
      <c r="AE27" s="135" t="s">
        <v>451</v>
      </c>
      <c r="AF27" s="149">
        <v>0.24410000000000001</v>
      </c>
      <c r="AG27" s="147">
        <f>-2904/10000</f>
        <v>-0.29039999999999999</v>
      </c>
      <c r="AH27" s="135"/>
      <c r="AI27" s="135"/>
      <c r="AJ27" s="10"/>
      <c r="AK27" s="84"/>
      <c r="AL27" s="181">
        <v>13</v>
      </c>
      <c r="AM27" s="178">
        <v>342</v>
      </c>
      <c r="AN27" s="177">
        <v>13</v>
      </c>
      <c r="AO27" s="178">
        <v>187</v>
      </c>
      <c r="AP27" s="179">
        <v>13</v>
      </c>
      <c r="AQ27" s="180">
        <v>102</v>
      </c>
      <c r="AR27" s="179">
        <v>13</v>
      </c>
      <c r="AS27" s="180">
        <v>211</v>
      </c>
    </row>
    <row r="28" spans="1:45" x14ac:dyDescent="0.2">
      <c r="A28" s="232"/>
      <c r="I28" s="6"/>
      <c r="J28" s="142" t="s">
        <v>59</v>
      </c>
      <c r="K28" s="19" t="s">
        <v>87</v>
      </c>
      <c r="L28" s="13">
        <v>8.3145000000000007</v>
      </c>
      <c r="M28" s="13"/>
      <c r="N28" s="13"/>
      <c r="O28" s="13"/>
      <c r="P28" s="71">
        <v>28.96</v>
      </c>
      <c r="Q28" s="13" t="s">
        <v>86</v>
      </c>
      <c r="R28" s="13">
        <f>1.425/1000000</f>
        <v>1.4250000000000001E-6</v>
      </c>
      <c r="S28" s="13">
        <v>0.50390000000000001</v>
      </c>
      <c r="T28" s="13">
        <v>108.3</v>
      </c>
      <c r="U28" s="18"/>
      <c r="V28" s="13"/>
      <c r="W28" s="15"/>
      <c r="X28" s="13" t="s">
        <v>84</v>
      </c>
      <c r="Y28" s="13">
        <v>28958</v>
      </c>
      <c r="Z28" s="13">
        <v>9390</v>
      </c>
      <c r="AA28" s="13">
        <v>3012</v>
      </c>
      <c r="AB28" s="13">
        <v>7580</v>
      </c>
      <c r="AC28" s="13">
        <v>1484</v>
      </c>
      <c r="AD28" s="142" t="s">
        <v>59</v>
      </c>
      <c r="AE28" s="19" t="s">
        <v>85</v>
      </c>
      <c r="AF28" s="130">
        <f>3.1417/10000</f>
        <v>3.1417000000000001E-4</v>
      </c>
      <c r="AG28" s="156">
        <v>0.77859999999999996</v>
      </c>
      <c r="AH28" s="13">
        <v>-0.71160000000000001</v>
      </c>
      <c r="AI28" s="13">
        <v>2121.6999999999998</v>
      </c>
      <c r="AJ28" s="10"/>
      <c r="AK28" s="84"/>
      <c r="AL28" s="181">
        <v>0</v>
      </c>
      <c r="AM28" s="178">
        <v>500</v>
      </c>
      <c r="AN28" s="177">
        <v>-193</v>
      </c>
      <c r="AO28" s="178">
        <v>1727</v>
      </c>
      <c r="AP28" s="179">
        <v>-173</v>
      </c>
      <c r="AQ28" s="180">
        <v>1227</v>
      </c>
      <c r="AR28" s="179">
        <v>-203</v>
      </c>
      <c r="AS28" s="180">
        <v>1727</v>
      </c>
    </row>
    <row r="29" spans="1:45" ht="17.25" customHeight="1" x14ac:dyDescent="0.25">
      <c r="A29" s="232"/>
      <c r="C29" s="11" t="s">
        <v>6</v>
      </c>
      <c r="D29" s="188">
        <f>IF(D15="Other Fluid",D26,C20)</f>
        <v>1.0559515111987401</v>
      </c>
      <c r="E29" s="73" t="s">
        <v>45</v>
      </c>
      <c r="F29" s="85" t="str">
        <f>IF(D$15="Other Fluid","     (manual entry)","     (from menu selection)")</f>
        <v xml:space="preserve">     (from menu selection)</v>
      </c>
      <c r="I29" s="6"/>
      <c r="J29" s="142" t="s">
        <v>179</v>
      </c>
      <c r="K29" s="135" t="s">
        <v>251</v>
      </c>
      <c r="L29" s="135">
        <v>1.0259</v>
      </c>
      <c r="M29" s="135">
        <v>0.26666000000000001</v>
      </c>
      <c r="N29" s="135">
        <v>562.04999999999995</v>
      </c>
      <c r="O29" s="135">
        <v>0.28394000000000003</v>
      </c>
      <c r="P29" s="136">
        <v>78.111999999999995</v>
      </c>
      <c r="Q29" s="135" t="s">
        <v>320</v>
      </c>
      <c r="R29" s="135">
        <v>7.5117000000000003</v>
      </c>
      <c r="S29" s="135">
        <v>294.68</v>
      </c>
      <c r="T29" s="135">
        <v>-2.794</v>
      </c>
      <c r="U29" s="135"/>
      <c r="V29" s="135"/>
      <c r="W29" s="137"/>
      <c r="X29" s="135" t="s">
        <v>390</v>
      </c>
      <c r="Y29" s="135">
        <v>129440</v>
      </c>
      <c r="Z29" s="135">
        <v>-169.5</v>
      </c>
      <c r="AA29" s="135">
        <v>0.64781</v>
      </c>
      <c r="AB29" s="135"/>
      <c r="AC29" s="135"/>
      <c r="AD29" s="142" t="s">
        <v>179</v>
      </c>
      <c r="AE29" s="135" t="s">
        <v>452</v>
      </c>
      <c r="AF29" s="149">
        <v>0.23444000000000001</v>
      </c>
      <c r="AG29" s="148">
        <f>-3.0572/10000</f>
        <v>-3.0571999999999999E-4</v>
      </c>
      <c r="AH29" s="135"/>
      <c r="AI29" s="135"/>
      <c r="AJ29" s="10"/>
      <c r="AK29" s="84"/>
      <c r="AL29" s="181">
        <v>6</v>
      </c>
      <c r="AM29" s="178">
        <v>289</v>
      </c>
      <c r="AN29" s="177">
        <v>6</v>
      </c>
      <c r="AO29" s="178">
        <v>272</v>
      </c>
      <c r="AP29" s="179">
        <v>6</v>
      </c>
      <c r="AQ29" s="180">
        <v>80</v>
      </c>
      <c r="AR29" s="179">
        <v>6</v>
      </c>
      <c r="AS29" s="180">
        <v>140</v>
      </c>
    </row>
    <row r="30" spans="1:45" ht="18" customHeight="1" x14ac:dyDescent="0.2">
      <c r="A30" s="232"/>
      <c r="C30" t="s">
        <v>50</v>
      </c>
      <c r="I30" s="6"/>
      <c r="J30" s="142" t="s">
        <v>180</v>
      </c>
      <c r="K30" s="13" t="s">
        <v>252</v>
      </c>
      <c r="L30" s="13">
        <v>0.71587000000000001</v>
      </c>
      <c r="M30" s="13">
        <v>0.24812000000000001</v>
      </c>
      <c r="N30" s="13">
        <v>752</v>
      </c>
      <c r="O30" s="13">
        <v>0.28570000000000001</v>
      </c>
      <c r="P30" s="71">
        <v>122.121</v>
      </c>
      <c r="Q30" s="13" t="s">
        <v>321</v>
      </c>
      <c r="R30" s="13">
        <v>-12.946999999999999</v>
      </c>
      <c r="S30" s="13">
        <v>2557.9</v>
      </c>
      <c r="T30" s="13"/>
      <c r="U30" s="13"/>
      <c r="V30" s="13"/>
      <c r="W30" s="15"/>
      <c r="X30" s="13" t="s">
        <v>391</v>
      </c>
      <c r="Y30" s="13">
        <v>-5480</v>
      </c>
      <c r="Z30" s="13">
        <v>647.12</v>
      </c>
      <c r="AA30" s="13"/>
      <c r="AB30" s="13"/>
      <c r="AC30" s="13"/>
      <c r="AD30" s="142" t="s">
        <v>180</v>
      </c>
      <c r="AE30" s="13" t="s">
        <v>453</v>
      </c>
      <c r="AF30" s="150">
        <v>0.23910000000000001</v>
      </c>
      <c r="AG30" s="147">
        <f>-2.325/10000</f>
        <v>-2.3250000000000001E-4</v>
      </c>
      <c r="AH30" s="13"/>
      <c r="AI30" s="13"/>
      <c r="AJ30" s="10"/>
      <c r="AK30" s="84"/>
      <c r="AL30" s="181">
        <v>122</v>
      </c>
      <c r="AM30" s="178">
        <v>478</v>
      </c>
      <c r="AN30" s="177">
        <v>123</v>
      </c>
      <c r="AO30" s="178">
        <v>327</v>
      </c>
      <c r="AP30" s="179">
        <v>122</v>
      </c>
      <c r="AQ30" s="180">
        <v>177</v>
      </c>
      <c r="AR30" s="179">
        <v>122</v>
      </c>
      <c r="AS30" s="180">
        <v>323</v>
      </c>
    </row>
    <row r="31" spans="1:45" x14ac:dyDescent="0.2">
      <c r="I31" s="6"/>
      <c r="J31" s="142" t="s">
        <v>181</v>
      </c>
      <c r="K31" s="135" t="s">
        <v>253</v>
      </c>
      <c r="L31" s="135">
        <v>0.8226</v>
      </c>
      <c r="M31" s="135">
        <v>0.26632</v>
      </c>
      <c r="N31" s="135">
        <v>670.15</v>
      </c>
      <c r="O31" s="135">
        <v>0.28210000000000002</v>
      </c>
      <c r="P31" s="136">
        <v>157.00800000000001</v>
      </c>
      <c r="Q31" s="135" t="s">
        <v>322</v>
      </c>
      <c r="R31" s="135">
        <v>-20.611000000000001</v>
      </c>
      <c r="S31" s="135">
        <v>1656.5</v>
      </c>
      <c r="T31" s="135">
        <v>1.4415</v>
      </c>
      <c r="U31" s="135"/>
      <c r="V31" s="135"/>
      <c r="W31" s="137"/>
      <c r="X31" s="135" t="s">
        <v>392</v>
      </c>
      <c r="Y31" s="135">
        <v>121600</v>
      </c>
      <c r="Z31" s="135">
        <v>-9.4499999999999993</v>
      </c>
      <c r="AA31" s="135">
        <v>0.35799999999999998</v>
      </c>
      <c r="AB31" s="135"/>
      <c r="AC31" s="135"/>
      <c r="AD31" s="142" t="s">
        <v>181</v>
      </c>
      <c r="AE31" s="135" t="s">
        <v>454</v>
      </c>
      <c r="AF31" s="143">
        <v>0.16983000000000001</v>
      </c>
      <c r="AG31" s="147">
        <f>-1.981/10000</f>
        <v>-1.9810000000000002E-4</v>
      </c>
      <c r="AH31" s="135"/>
      <c r="AI31" s="135"/>
      <c r="AJ31" s="10"/>
      <c r="AK31" s="84"/>
      <c r="AL31" s="181">
        <v>-31</v>
      </c>
      <c r="AM31" s="178">
        <v>397</v>
      </c>
      <c r="AN31" s="177">
        <v>-31</v>
      </c>
      <c r="AO31" s="178">
        <v>156</v>
      </c>
      <c r="AP31" s="179">
        <v>20</v>
      </c>
      <c r="AQ31" s="180">
        <v>222</v>
      </c>
      <c r="AR31" s="179">
        <v>-31</v>
      </c>
      <c r="AS31" s="180">
        <v>219</v>
      </c>
    </row>
    <row r="32" spans="1:45" ht="12" customHeight="1" x14ac:dyDescent="0.2">
      <c r="A32" s="232" t="s">
        <v>20</v>
      </c>
      <c r="E32" s="36"/>
      <c r="F32" s="35"/>
      <c r="I32" s="6"/>
      <c r="J32" s="142" t="s">
        <v>182</v>
      </c>
      <c r="K32" s="13" t="s">
        <v>254</v>
      </c>
      <c r="L32" s="13">
        <v>0.67793999999999999</v>
      </c>
      <c r="M32" s="13">
        <v>0.26369999999999999</v>
      </c>
      <c r="N32" s="13">
        <v>575.4</v>
      </c>
      <c r="O32" s="13">
        <v>0.29318</v>
      </c>
      <c r="P32" s="71">
        <v>116.16</v>
      </c>
      <c r="Q32" s="13" t="s">
        <v>323</v>
      </c>
      <c r="R32" s="13">
        <v>-17.488</v>
      </c>
      <c r="S32" s="13">
        <v>1478.2</v>
      </c>
      <c r="T32" s="13">
        <v>0.91827999999999999</v>
      </c>
      <c r="U32" s="13"/>
      <c r="V32" s="13"/>
      <c r="W32" s="15"/>
      <c r="X32" s="13" t="s">
        <v>393</v>
      </c>
      <c r="Y32" s="13">
        <v>111850</v>
      </c>
      <c r="Z32" s="13">
        <v>384.52</v>
      </c>
      <c r="AA32" s="13"/>
      <c r="AB32" s="13"/>
      <c r="AC32" s="13"/>
      <c r="AD32" s="142" t="s">
        <v>182</v>
      </c>
      <c r="AE32" s="13" t="s">
        <v>457</v>
      </c>
      <c r="AF32" s="149">
        <v>0.21720999999999999</v>
      </c>
      <c r="AG32" s="148">
        <f>-2.6563/10000</f>
        <v>-2.6562999999999999E-4</v>
      </c>
      <c r="AH32" s="13"/>
      <c r="AI32" s="13"/>
      <c r="AJ32" s="10"/>
      <c r="AK32" s="84"/>
      <c r="AL32" s="181">
        <v>-73</v>
      </c>
      <c r="AM32" s="178">
        <v>302</v>
      </c>
      <c r="AN32" s="177">
        <v>-23</v>
      </c>
      <c r="AO32" s="178">
        <v>126</v>
      </c>
      <c r="AP32" s="179">
        <v>25</v>
      </c>
      <c r="AQ32" s="180">
        <v>126</v>
      </c>
      <c r="AR32" s="179">
        <v>-73</v>
      </c>
      <c r="AS32" s="180">
        <v>181</v>
      </c>
    </row>
    <row r="33" spans="1:45" ht="12" customHeight="1" thickBot="1" x14ac:dyDescent="0.25">
      <c r="A33" s="232"/>
      <c r="E33" s="35"/>
      <c r="I33" s="6"/>
      <c r="J33" s="142" t="s">
        <v>183</v>
      </c>
      <c r="K33" s="135" t="s">
        <v>255</v>
      </c>
      <c r="L33" s="135">
        <v>1.7968</v>
      </c>
      <c r="M33" s="135">
        <v>0.28749000000000002</v>
      </c>
      <c r="N33" s="135">
        <v>552</v>
      </c>
      <c r="O33" s="135">
        <v>0.3226</v>
      </c>
      <c r="P33" s="136">
        <v>76.141000000000005</v>
      </c>
      <c r="Q33" s="135" t="s">
        <v>324</v>
      </c>
      <c r="R33" s="135">
        <v>-10.305999999999999</v>
      </c>
      <c r="S33" s="135">
        <v>703.01</v>
      </c>
      <c r="T33" s="135"/>
      <c r="U33" s="135"/>
      <c r="V33" s="135"/>
      <c r="W33" s="137"/>
      <c r="X33" s="135" t="s">
        <v>255</v>
      </c>
      <c r="Y33" s="135">
        <v>85600</v>
      </c>
      <c r="Z33" s="135">
        <v>-122</v>
      </c>
      <c r="AA33" s="135">
        <v>0.5605</v>
      </c>
      <c r="AB33" s="135">
        <v>-1.4519999999999999E-3</v>
      </c>
      <c r="AC33" s="135">
        <f>2.008/1000000</f>
        <v>2.0080000000000001E-6</v>
      </c>
      <c r="AD33" s="142" t="s">
        <v>183</v>
      </c>
      <c r="AE33" s="135" t="s">
        <v>458</v>
      </c>
      <c r="AF33" s="150">
        <v>0.23330000000000001</v>
      </c>
      <c r="AG33" s="146">
        <f>-2.75/10000</f>
        <v>-2.7500000000000002E-4</v>
      </c>
      <c r="AH33" s="135"/>
      <c r="AI33" s="135"/>
      <c r="AJ33" s="10"/>
      <c r="AK33" s="84"/>
      <c r="AL33" s="181">
        <v>-112</v>
      </c>
      <c r="AM33" s="178">
        <v>279</v>
      </c>
      <c r="AN33" s="177">
        <v>-111</v>
      </c>
      <c r="AO33" s="178">
        <v>169</v>
      </c>
      <c r="AP33" s="179">
        <v>-112</v>
      </c>
      <c r="AQ33" s="180">
        <v>279</v>
      </c>
      <c r="AR33" s="179">
        <v>-112</v>
      </c>
      <c r="AS33" s="180">
        <v>46</v>
      </c>
    </row>
    <row r="34" spans="1:45" ht="19.5" customHeight="1" x14ac:dyDescent="0.2">
      <c r="A34" s="232"/>
      <c r="C34" s="230" t="s">
        <v>18</v>
      </c>
      <c r="D34" s="231"/>
      <c r="H34" s="35"/>
      <c r="I34" s="6"/>
      <c r="J34" s="142" t="s">
        <v>184</v>
      </c>
      <c r="K34" s="13" t="s">
        <v>256</v>
      </c>
      <c r="L34" s="13">
        <v>0.99834999999999996</v>
      </c>
      <c r="M34" s="13">
        <v>0.27400000000000002</v>
      </c>
      <c r="N34" s="13">
        <v>556.35</v>
      </c>
      <c r="O34" s="13">
        <v>0.28699999999999998</v>
      </c>
      <c r="P34" s="71">
        <v>153.82300000000001</v>
      </c>
      <c r="Q34" s="13" t="s">
        <v>325</v>
      </c>
      <c r="R34" s="13">
        <v>-8.0738000000000003</v>
      </c>
      <c r="S34" s="13">
        <v>1121.0999999999999</v>
      </c>
      <c r="T34" s="13">
        <v>-0.47260000000000002</v>
      </c>
      <c r="U34" s="18"/>
      <c r="V34" s="18"/>
      <c r="W34" s="15"/>
      <c r="X34" s="13" t="s">
        <v>394</v>
      </c>
      <c r="Y34" s="13">
        <v>-752700</v>
      </c>
      <c r="Z34" s="13">
        <v>8966.1</v>
      </c>
      <c r="AA34" s="13">
        <v>-30.393999999999998</v>
      </c>
      <c r="AB34" s="18">
        <v>3.4455E-2</v>
      </c>
      <c r="AC34" s="18"/>
      <c r="AD34" s="142" t="s">
        <v>184</v>
      </c>
      <c r="AE34" s="13" t="s">
        <v>386</v>
      </c>
      <c r="AF34" s="144">
        <v>0.15890000000000001</v>
      </c>
      <c r="AG34" s="147">
        <f>-1.987/10000</f>
        <v>-1.9870000000000001E-4</v>
      </c>
      <c r="AH34" s="13"/>
      <c r="AI34" s="18"/>
      <c r="AJ34" s="7"/>
      <c r="AK34" s="84"/>
      <c r="AL34" s="181">
        <v>-23</v>
      </c>
      <c r="AM34" s="178">
        <v>283</v>
      </c>
      <c r="AN34" s="177">
        <v>-23</v>
      </c>
      <c r="AO34" s="178">
        <v>182</v>
      </c>
      <c r="AP34" s="179">
        <v>-23</v>
      </c>
      <c r="AQ34" s="180">
        <v>116</v>
      </c>
      <c r="AR34" s="179">
        <v>-23</v>
      </c>
      <c r="AS34" s="180">
        <v>77</v>
      </c>
    </row>
    <row r="35" spans="1:45" ht="19.5" customHeight="1" x14ac:dyDescent="0.2">
      <c r="A35" s="232"/>
      <c r="C35" s="114">
        <f>Q11</f>
        <v>2.0078504620463731E-5</v>
      </c>
      <c r="D35" s="110" t="s">
        <v>43</v>
      </c>
      <c r="F35" s="220"/>
      <c r="G35" s="221"/>
      <c r="I35" s="6"/>
      <c r="J35" s="142" t="s">
        <v>185</v>
      </c>
      <c r="K35" s="135" t="s">
        <v>257</v>
      </c>
      <c r="L35" s="135">
        <v>0.87109999999999999</v>
      </c>
      <c r="M35" s="135">
        <v>0.26805000000000001</v>
      </c>
      <c r="N35" s="135">
        <v>632.35</v>
      </c>
      <c r="O35" s="135">
        <v>0.27989999999999998</v>
      </c>
      <c r="P35" s="136">
        <v>112.557</v>
      </c>
      <c r="Q35" s="135" t="s">
        <v>326</v>
      </c>
      <c r="R35" s="135">
        <v>0.15772</v>
      </c>
      <c r="S35" s="135">
        <v>540.5</v>
      </c>
      <c r="T35" s="135">
        <v>-1.6074999999999999</v>
      </c>
      <c r="U35" s="134"/>
      <c r="V35" s="134"/>
      <c r="W35" s="137"/>
      <c r="X35" s="135" t="s">
        <v>395</v>
      </c>
      <c r="Y35" s="135">
        <v>-1307500</v>
      </c>
      <c r="Z35" s="135">
        <v>15338</v>
      </c>
      <c r="AA35" s="135">
        <v>-53.973999999999997</v>
      </c>
      <c r="AB35" s="134">
        <v>6.3482999999999998E-2</v>
      </c>
      <c r="AC35" s="134"/>
      <c r="AD35" s="142" t="s">
        <v>185</v>
      </c>
      <c r="AE35" s="135" t="s">
        <v>459</v>
      </c>
      <c r="AF35" s="150">
        <v>0.18410000000000001</v>
      </c>
      <c r="AG35" s="147">
        <f>-1.917/10000</f>
        <v>-1.917E-4</v>
      </c>
      <c r="AH35" s="135"/>
      <c r="AI35" s="134"/>
      <c r="AJ35" s="7"/>
      <c r="AK35" s="84"/>
      <c r="AL35" s="181">
        <v>-45</v>
      </c>
      <c r="AM35" s="178">
        <v>359</v>
      </c>
      <c r="AN35" s="177">
        <v>-23</v>
      </c>
      <c r="AO35" s="178">
        <v>267</v>
      </c>
      <c r="AP35" s="179">
        <v>-45</v>
      </c>
      <c r="AQ35" s="180">
        <v>87</v>
      </c>
      <c r="AR35" s="179">
        <v>-45</v>
      </c>
      <c r="AS35" s="180">
        <v>132</v>
      </c>
    </row>
    <row r="36" spans="1:45" ht="17.25" customHeight="1" thickBot="1" x14ac:dyDescent="0.3">
      <c r="A36" s="232"/>
      <c r="C36" s="8" t="s">
        <v>40</v>
      </c>
      <c r="D36" s="99" t="str">
        <f>Q10</f>
        <v xml:space="preserve"> -193 to 1727</v>
      </c>
      <c r="E36" s="224" t="str">
        <f>IF(D$17&lt;AN10,"   Temperature is below range.",IF(D$17&gt;AO10,"  Temperature is above range.",""))</f>
        <v/>
      </c>
      <c r="F36" s="225"/>
      <c r="G36" s="225"/>
      <c r="H36" s="225"/>
      <c r="I36" s="6"/>
      <c r="J36" s="142" t="s">
        <v>186</v>
      </c>
      <c r="K36" s="13" t="s">
        <v>258</v>
      </c>
      <c r="L36" s="13">
        <v>1.0841000000000001</v>
      </c>
      <c r="M36" s="13">
        <v>0.2581</v>
      </c>
      <c r="N36" s="13">
        <v>536.4</v>
      </c>
      <c r="O36" s="13">
        <v>0.27410000000000001</v>
      </c>
      <c r="P36" s="71">
        <v>119.378</v>
      </c>
      <c r="Q36" s="13" t="s">
        <v>327</v>
      </c>
      <c r="R36" s="13">
        <v>-14.109</v>
      </c>
      <c r="S36" s="13">
        <v>1049.2</v>
      </c>
      <c r="T36" s="13">
        <v>0.53769999999999996</v>
      </c>
      <c r="U36" s="18"/>
      <c r="V36" s="18"/>
      <c r="W36" s="15"/>
      <c r="X36" s="13" t="s">
        <v>396</v>
      </c>
      <c r="Y36" s="13">
        <v>124850</v>
      </c>
      <c r="Z36" s="13">
        <v>-166.34</v>
      </c>
      <c r="AA36" s="13">
        <v>0.43208999999999997</v>
      </c>
      <c r="AB36" s="18"/>
      <c r="AC36" s="18"/>
      <c r="AD36" s="142" t="s">
        <v>186</v>
      </c>
      <c r="AE36" s="13" t="s">
        <v>460</v>
      </c>
      <c r="AF36" s="144">
        <v>0.17780000000000001</v>
      </c>
      <c r="AG36" s="147">
        <f>-2.023/10000</f>
        <v>-2.0230000000000001E-4</v>
      </c>
      <c r="AH36" s="13"/>
      <c r="AI36" s="18"/>
      <c r="AJ36" s="7"/>
      <c r="AK36" s="84"/>
      <c r="AL36" s="181">
        <v>-63</v>
      </c>
      <c r="AM36" s="178">
        <v>263</v>
      </c>
      <c r="AN36" s="177">
        <v>-63</v>
      </c>
      <c r="AO36" s="178">
        <v>80</v>
      </c>
      <c r="AP36" s="179">
        <v>-40</v>
      </c>
      <c r="AQ36" s="180">
        <v>93</v>
      </c>
      <c r="AR36" s="179">
        <v>-64</v>
      </c>
      <c r="AS36" s="180">
        <v>127</v>
      </c>
    </row>
    <row r="37" spans="1:45" x14ac:dyDescent="0.2">
      <c r="A37" s="232"/>
      <c r="F37" s="223"/>
      <c r="G37" s="223"/>
      <c r="I37" s="6"/>
      <c r="J37" s="142" t="s">
        <v>187</v>
      </c>
      <c r="K37" s="135" t="s">
        <v>259</v>
      </c>
      <c r="L37" s="135">
        <v>1.8169999999999999</v>
      </c>
      <c r="M37" s="135">
        <v>0.25877</v>
      </c>
      <c r="N37" s="135">
        <v>416.25</v>
      </c>
      <c r="O37" s="135">
        <v>0.2833</v>
      </c>
      <c r="P37" s="136">
        <v>50.488</v>
      </c>
      <c r="Q37" s="135" t="s">
        <v>328</v>
      </c>
      <c r="R37" s="135">
        <v>-25.132000000000001</v>
      </c>
      <c r="S37" s="135">
        <v>1381.9</v>
      </c>
      <c r="T37" s="135">
        <v>2.0811000000000002</v>
      </c>
      <c r="U37" s="134">
        <f>-4.4999/1E+27</f>
        <v>-4.4999E-27</v>
      </c>
      <c r="V37" s="135">
        <v>10</v>
      </c>
      <c r="W37" s="137"/>
      <c r="X37" s="135" t="s">
        <v>397</v>
      </c>
      <c r="Y37" s="135">
        <v>96910</v>
      </c>
      <c r="Z37" s="135">
        <v>-207.9</v>
      </c>
      <c r="AA37" s="135">
        <v>0.37456</v>
      </c>
      <c r="AB37" s="134">
        <v>4.8799999999999999E-4</v>
      </c>
      <c r="AC37" s="135"/>
      <c r="AD37" s="142" t="s">
        <v>187</v>
      </c>
      <c r="AE37" s="135" t="s">
        <v>461</v>
      </c>
      <c r="AF37" s="149">
        <v>0.41066999999999998</v>
      </c>
      <c r="AG37" s="147">
        <f>-8.478/10000</f>
        <v>-8.4780000000000001E-4</v>
      </c>
      <c r="AH37" s="135"/>
      <c r="AI37" s="134"/>
      <c r="AJ37" s="10"/>
      <c r="AK37" s="84"/>
      <c r="AL37" s="181">
        <v>-98</v>
      </c>
      <c r="AM37" s="178">
        <v>311</v>
      </c>
      <c r="AN37" s="177">
        <v>-98</v>
      </c>
      <c r="AO37" s="178">
        <v>130</v>
      </c>
      <c r="AP37" s="179">
        <v>-98</v>
      </c>
      <c r="AQ37" s="180">
        <v>100</v>
      </c>
      <c r="AR37" s="179">
        <v>-98</v>
      </c>
      <c r="AS37" s="180">
        <v>77</v>
      </c>
    </row>
    <row r="38" spans="1:45" x14ac:dyDescent="0.2">
      <c r="A38" s="232"/>
      <c r="C38" s="229" t="s">
        <v>4</v>
      </c>
      <c r="D38" s="229"/>
      <c r="F38" s="35"/>
      <c r="I38" s="6"/>
      <c r="J38" s="142" t="s">
        <v>188</v>
      </c>
      <c r="K38" s="13" t="s">
        <v>260</v>
      </c>
      <c r="L38" s="13">
        <v>0.58711000000000002</v>
      </c>
      <c r="M38" s="13">
        <v>0.25583</v>
      </c>
      <c r="N38" s="13">
        <v>631</v>
      </c>
      <c r="O38" s="13">
        <v>0.28498000000000001</v>
      </c>
      <c r="P38" s="71">
        <v>120.19199999999999</v>
      </c>
      <c r="Q38" s="13" t="s">
        <v>329</v>
      </c>
      <c r="R38" s="13">
        <v>-24.988</v>
      </c>
      <c r="S38" s="13">
        <v>1807.9</v>
      </c>
      <c r="T38" s="13">
        <v>2.0556000000000001</v>
      </c>
      <c r="U38" s="18"/>
      <c r="V38" s="18"/>
      <c r="W38" s="15"/>
      <c r="X38" s="13" t="s">
        <v>398</v>
      </c>
      <c r="Y38" s="13">
        <v>61723</v>
      </c>
      <c r="Z38" s="13">
        <v>494.81</v>
      </c>
      <c r="AA38" s="13"/>
      <c r="AB38" s="18"/>
      <c r="AC38" s="18"/>
      <c r="AD38" s="142" t="s">
        <v>188</v>
      </c>
      <c r="AE38" s="13" t="s">
        <v>462</v>
      </c>
      <c r="AF38" s="144">
        <v>0.1855</v>
      </c>
      <c r="AG38" s="148">
        <f>-2.0895/10000</f>
        <v>-2.0895000000000001E-4</v>
      </c>
      <c r="AH38" s="13"/>
      <c r="AI38" s="18"/>
      <c r="AJ38" s="7"/>
      <c r="AK38" s="84"/>
      <c r="AL38" s="181">
        <v>-96</v>
      </c>
      <c r="AM38" s="178">
        <v>358</v>
      </c>
      <c r="AN38" s="177">
        <v>-73</v>
      </c>
      <c r="AO38" s="178">
        <v>127</v>
      </c>
      <c r="AP38" s="179">
        <v>-96</v>
      </c>
      <c r="AQ38" s="180">
        <v>152</v>
      </c>
      <c r="AR38" s="179">
        <v>-96</v>
      </c>
      <c r="AS38" s="180">
        <v>140</v>
      </c>
    </row>
    <row r="39" spans="1:45" ht="17.25" customHeight="1" thickBot="1" x14ac:dyDescent="0.3">
      <c r="A39" s="232"/>
      <c r="E39" s="85" t="s">
        <v>529</v>
      </c>
      <c r="I39" s="6"/>
      <c r="J39" s="142" t="s">
        <v>189</v>
      </c>
      <c r="K39" s="135" t="s">
        <v>261</v>
      </c>
      <c r="L39" s="135">
        <v>0.88997999999999999</v>
      </c>
      <c r="M39" s="135">
        <v>0.27376</v>
      </c>
      <c r="N39" s="135">
        <v>553.79999999999995</v>
      </c>
      <c r="O39" s="135">
        <v>0.28571000000000002</v>
      </c>
      <c r="P39" s="136">
        <v>84.159000000000006</v>
      </c>
      <c r="Q39" s="135" t="s">
        <v>330</v>
      </c>
      <c r="R39" s="135">
        <v>-33.762999999999998</v>
      </c>
      <c r="S39" s="135">
        <v>2497.1999999999998</v>
      </c>
      <c r="T39" s="135">
        <v>3.2235999999999998</v>
      </c>
      <c r="U39" s="134"/>
      <c r="V39" s="134"/>
      <c r="W39" s="137"/>
      <c r="X39" s="135" t="s">
        <v>399</v>
      </c>
      <c r="Y39" s="135">
        <v>-220600</v>
      </c>
      <c r="Z39" s="135">
        <v>3118.3</v>
      </c>
      <c r="AA39" s="135">
        <v>-9.4215999999999998</v>
      </c>
      <c r="AB39" s="134">
        <v>1.0687E-2</v>
      </c>
      <c r="AC39" s="134"/>
      <c r="AD39" s="142" t="s">
        <v>189</v>
      </c>
      <c r="AE39" s="135" t="s">
        <v>463</v>
      </c>
      <c r="AF39" s="149">
        <v>0.19813</v>
      </c>
      <c r="AG39" s="147">
        <f>-2.505/10000</f>
        <v>-2.5049999999999996E-4</v>
      </c>
      <c r="AH39" s="135"/>
      <c r="AI39" s="134"/>
      <c r="AJ39" s="7"/>
      <c r="AK39" s="84"/>
      <c r="AL39" s="181">
        <v>7</v>
      </c>
      <c r="AM39" s="178">
        <v>281</v>
      </c>
      <c r="AN39" s="177">
        <v>7</v>
      </c>
      <c r="AO39" s="178">
        <v>170</v>
      </c>
      <c r="AP39" s="179">
        <v>7</v>
      </c>
      <c r="AQ39" s="180">
        <v>127</v>
      </c>
      <c r="AR39" s="179">
        <v>7</v>
      </c>
      <c r="AS39" s="180">
        <v>81</v>
      </c>
    </row>
    <row r="40" spans="1:45" ht="17.25" customHeight="1" x14ac:dyDescent="0.25">
      <c r="A40" s="232"/>
      <c r="C40" s="230" t="s">
        <v>47</v>
      </c>
      <c r="D40" s="231"/>
      <c r="E40" s="85" t="s">
        <v>532</v>
      </c>
      <c r="I40" s="6"/>
      <c r="J40" s="142" t="s">
        <v>190</v>
      </c>
      <c r="K40" s="13" t="s">
        <v>262</v>
      </c>
      <c r="L40" s="13">
        <v>1.1034999999999999</v>
      </c>
      <c r="M40" s="13">
        <v>0.27034999999999998</v>
      </c>
      <c r="N40" s="13">
        <v>507</v>
      </c>
      <c r="O40" s="13">
        <v>0.28699000000000002</v>
      </c>
      <c r="P40" s="71">
        <v>70.132999999999996</v>
      </c>
      <c r="Q40" s="13" t="s">
        <v>331</v>
      </c>
      <c r="R40" s="13">
        <v>-3.2612000000000001</v>
      </c>
      <c r="S40" s="13">
        <v>614.16</v>
      </c>
      <c r="T40" s="13">
        <v>-1.1559999999999999</v>
      </c>
      <c r="U40" s="18"/>
      <c r="V40" s="18"/>
      <c r="W40" s="15"/>
      <c r="X40" s="13" t="s">
        <v>400</v>
      </c>
      <c r="Y40" s="13">
        <v>122530</v>
      </c>
      <c r="Z40" s="13">
        <v>-403.8</v>
      </c>
      <c r="AA40" s="13">
        <v>1.7343999999999999</v>
      </c>
      <c r="AB40" s="18">
        <v>-1.0975E-3</v>
      </c>
      <c r="AC40" s="18"/>
      <c r="AD40" s="142" t="s">
        <v>190</v>
      </c>
      <c r="AE40" s="13" t="s">
        <v>464</v>
      </c>
      <c r="AF40" s="144">
        <v>0.20660000000000001</v>
      </c>
      <c r="AG40" s="147">
        <f>-2.696/10000</f>
        <v>-2.6959999999999999E-4</v>
      </c>
      <c r="AH40" s="13"/>
      <c r="AI40" s="18"/>
      <c r="AJ40" s="7"/>
      <c r="AK40" s="84"/>
      <c r="AL40" s="181">
        <v>-136</v>
      </c>
      <c r="AM40" s="178">
        <v>507</v>
      </c>
      <c r="AN40" s="177">
        <v>-48</v>
      </c>
      <c r="AO40" s="178">
        <v>52</v>
      </c>
      <c r="AP40" s="179">
        <v>-116</v>
      </c>
      <c r="AQ40" s="180">
        <v>187</v>
      </c>
      <c r="AR40" s="179">
        <v>-94</v>
      </c>
      <c r="AS40" s="180">
        <v>174</v>
      </c>
    </row>
    <row r="41" spans="1:45" ht="14.25" customHeight="1" x14ac:dyDescent="0.25">
      <c r="A41" s="232"/>
      <c r="C41" s="9"/>
      <c r="D41" s="10"/>
      <c r="E41" s="85" t="s">
        <v>533</v>
      </c>
      <c r="F41" s="199"/>
      <c r="I41" s="6"/>
      <c r="J41" s="142" t="s">
        <v>191</v>
      </c>
      <c r="K41" s="135" t="s">
        <v>263</v>
      </c>
      <c r="L41" s="135">
        <v>0.41083999999999998</v>
      </c>
      <c r="M41" s="135">
        <v>0.25174999999999997</v>
      </c>
      <c r="N41" s="135">
        <v>617.70000000000005</v>
      </c>
      <c r="O41" s="135">
        <v>0.28571000000000002</v>
      </c>
      <c r="P41" s="136">
        <v>142.28200000000001</v>
      </c>
      <c r="Q41" s="135" t="s">
        <v>332</v>
      </c>
      <c r="R41" s="135">
        <v>-10.115</v>
      </c>
      <c r="S41" s="135">
        <v>1111.9000000000001</v>
      </c>
      <c r="T41" s="135">
        <v>-1.5658999999999999E-2</v>
      </c>
      <c r="U41" s="134"/>
      <c r="V41" s="134"/>
      <c r="W41" s="137"/>
      <c r="X41" s="135" t="s">
        <v>401</v>
      </c>
      <c r="Y41" s="135">
        <v>278620</v>
      </c>
      <c r="Z41" s="135">
        <v>-197.91</v>
      </c>
      <c r="AA41" s="135">
        <v>1.0737000000000001</v>
      </c>
      <c r="AB41" s="134"/>
      <c r="AC41" s="134"/>
      <c r="AD41" s="142" t="s">
        <v>191</v>
      </c>
      <c r="AE41" s="135" t="s">
        <v>465</v>
      </c>
      <c r="AF41" s="150">
        <v>0.20630000000000001</v>
      </c>
      <c r="AG41" s="151">
        <f>-2.5/10000</f>
        <v>-2.5000000000000001E-4</v>
      </c>
      <c r="AH41" s="135"/>
      <c r="AI41" s="134"/>
      <c r="AJ41" s="7"/>
      <c r="AK41" s="84"/>
      <c r="AL41" s="181">
        <v>-29</v>
      </c>
      <c r="AM41" s="178">
        <v>344</v>
      </c>
      <c r="AN41" s="177">
        <v>-6</v>
      </c>
      <c r="AO41" s="178">
        <v>488</v>
      </c>
      <c r="AP41" s="179">
        <v>-29</v>
      </c>
      <c r="AQ41" s="180">
        <v>187</v>
      </c>
      <c r="AR41" s="179">
        <v>-30</v>
      </c>
      <c r="AS41" s="180">
        <v>174</v>
      </c>
    </row>
    <row r="42" spans="1:45" ht="17.25" customHeight="1" thickBot="1" x14ac:dyDescent="0.3">
      <c r="A42" s="232"/>
      <c r="C42" s="72" t="s">
        <v>52</v>
      </c>
      <c r="D42" s="22"/>
      <c r="E42" s="85" t="s">
        <v>534</v>
      </c>
      <c r="I42" s="6"/>
      <c r="J42" s="142" t="s">
        <v>192</v>
      </c>
      <c r="K42" s="13" t="s">
        <v>259</v>
      </c>
      <c r="L42" s="13">
        <v>0.55940999999999996</v>
      </c>
      <c r="M42" s="13">
        <v>0.27243000000000001</v>
      </c>
      <c r="N42" s="13">
        <v>584.1</v>
      </c>
      <c r="O42" s="13">
        <v>0.29931999999999997</v>
      </c>
      <c r="P42" s="71">
        <v>130.22800000000001</v>
      </c>
      <c r="Q42" s="13" t="s">
        <v>333</v>
      </c>
      <c r="R42" s="13">
        <v>10.026999999999999</v>
      </c>
      <c r="S42" s="13">
        <v>206</v>
      </c>
      <c r="T42" s="13">
        <v>-3.1606999999999998</v>
      </c>
      <c r="U42" s="18"/>
      <c r="V42" s="18"/>
      <c r="W42" s="15"/>
      <c r="X42" s="13" t="s">
        <v>402</v>
      </c>
      <c r="Y42" s="13">
        <v>270720</v>
      </c>
      <c r="Z42" s="13">
        <v>-259.83</v>
      </c>
      <c r="AA42" s="13">
        <v>0.95426999999999995</v>
      </c>
      <c r="AB42" s="18"/>
      <c r="AC42" s="18"/>
      <c r="AD42" s="142" t="s">
        <v>192</v>
      </c>
      <c r="AE42" s="13" t="s">
        <v>466</v>
      </c>
      <c r="AF42" s="149">
        <v>0.19417999999999999</v>
      </c>
      <c r="AG42" s="148">
        <f>-2.2246/10000</f>
        <v>-2.2246000000000001E-4</v>
      </c>
      <c r="AH42" s="13"/>
      <c r="AI42" s="18"/>
      <c r="AJ42" s="7"/>
      <c r="AK42" s="84"/>
      <c r="AL42" s="181">
        <v>-98</v>
      </c>
      <c r="AM42" s="178">
        <v>311</v>
      </c>
      <c r="AN42" s="177">
        <v>-98</v>
      </c>
      <c r="AO42" s="178">
        <v>141</v>
      </c>
      <c r="AP42" s="179">
        <v>-98</v>
      </c>
      <c r="AQ42" s="180">
        <v>177</v>
      </c>
      <c r="AR42" s="179">
        <v>-98</v>
      </c>
      <c r="AS42" s="180">
        <v>250</v>
      </c>
    </row>
    <row r="43" spans="1:45" ht="20.25" customHeight="1" x14ac:dyDescent="0.2">
      <c r="A43" s="232"/>
      <c r="I43" s="6"/>
      <c r="J43" s="142" t="s">
        <v>193</v>
      </c>
      <c r="K43" s="135" t="s">
        <v>264</v>
      </c>
      <c r="L43" s="135">
        <v>0.68184</v>
      </c>
      <c r="M43" s="135">
        <v>0.23796</v>
      </c>
      <c r="N43" s="135">
        <v>736.6</v>
      </c>
      <c r="O43" s="135">
        <v>0.20619999999999999</v>
      </c>
      <c r="P43" s="136">
        <v>105.136</v>
      </c>
      <c r="Q43" s="135" t="s">
        <v>334</v>
      </c>
      <c r="R43" s="135">
        <v>-375.21</v>
      </c>
      <c r="S43" s="135">
        <v>17177</v>
      </c>
      <c r="T43" s="135">
        <v>66.66</v>
      </c>
      <c r="U43" s="135">
        <v>-3.6366999999999998</v>
      </c>
      <c r="V43" s="135">
        <v>0.5</v>
      </c>
      <c r="W43" s="137"/>
      <c r="X43" s="135" t="s">
        <v>403</v>
      </c>
      <c r="Y43" s="135">
        <v>184200</v>
      </c>
      <c r="Z43" s="135">
        <v>286</v>
      </c>
      <c r="AA43" s="135"/>
      <c r="AB43" s="135"/>
      <c r="AC43" s="135"/>
      <c r="AD43" s="142" t="s">
        <v>193</v>
      </c>
      <c r="AE43" s="135" t="s">
        <v>467</v>
      </c>
      <c r="AF43" s="150">
        <v>2.18E-2</v>
      </c>
      <c r="AG43" s="148">
        <f>1.0315/1000</f>
        <v>1.0315000000000001E-3</v>
      </c>
      <c r="AH43" s="152">
        <f>-1.355/1000000</f>
        <v>-1.3549999999999999E-6</v>
      </c>
      <c r="AI43" s="135"/>
      <c r="AJ43" s="10"/>
      <c r="AK43" s="84"/>
      <c r="AL43" s="181">
        <v>29</v>
      </c>
      <c r="AM43" s="178">
        <v>464</v>
      </c>
      <c r="AN43" s="177">
        <v>20</v>
      </c>
      <c r="AO43" s="178">
        <v>316</v>
      </c>
      <c r="AP43" s="179">
        <v>28</v>
      </c>
      <c r="AQ43" s="180">
        <v>268</v>
      </c>
      <c r="AR43" s="179">
        <v>28</v>
      </c>
      <c r="AS43" s="180">
        <v>400</v>
      </c>
    </row>
    <row r="44" spans="1:45" ht="17.25" customHeight="1" x14ac:dyDescent="0.25">
      <c r="A44" s="232"/>
      <c r="C44" s="11" t="s">
        <v>19</v>
      </c>
      <c r="D44" s="115">
        <f>IF(D15="Other Fluid",D42,C35)</f>
        <v>2.0078504620463731E-5</v>
      </c>
      <c r="E44" s="73" t="s">
        <v>43</v>
      </c>
      <c r="F44" s="85" t="str">
        <f>IF(D$15="Other Fluid","     (manual entry)","     (from menu selection)")</f>
        <v xml:space="preserve">     (from menu selection)</v>
      </c>
      <c r="I44" s="6"/>
      <c r="J44" s="142" t="s">
        <v>194</v>
      </c>
      <c r="K44" s="13" t="s">
        <v>265</v>
      </c>
      <c r="L44" s="13">
        <v>0.95540000000000003</v>
      </c>
      <c r="M44" s="13">
        <v>0.26846999999999999</v>
      </c>
      <c r="N44" s="13">
        <v>466.7</v>
      </c>
      <c r="O44" s="13">
        <v>0.28139999999999998</v>
      </c>
      <c r="P44" s="71">
        <v>74.122</v>
      </c>
      <c r="Q44" s="13" t="s">
        <v>335</v>
      </c>
      <c r="R44" s="13">
        <v>10.196999999999999</v>
      </c>
      <c r="S44" s="13">
        <v>-63.8</v>
      </c>
      <c r="T44" s="13">
        <v>-3.226</v>
      </c>
      <c r="U44" s="18"/>
      <c r="V44" s="18"/>
      <c r="W44" s="15"/>
      <c r="X44" s="13" t="s">
        <v>335</v>
      </c>
      <c r="Y44" s="13">
        <v>44400</v>
      </c>
      <c r="Z44" s="13">
        <v>1301</v>
      </c>
      <c r="AA44" s="13">
        <v>-5.5</v>
      </c>
      <c r="AB44" s="18">
        <v>8.763E-3</v>
      </c>
      <c r="AC44" s="18"/>
      <c r="AD44" s="142" t="s">
        <v>194</v>
      </c>
      <c r="AE44" s="13" t="s">
        <v>505</v>
      </c>
      <c r="AF44" s="150">
        <v>0.2495</v>
      </c>
      <c r="AG44" s="146">
        <f>-4.07/10000</f>
        <v>-4.0700000000000003E-4</v>
      </c>
      <c r="AH44" s="13"/>
      <c r="AI44" s="18"/>
      <c r="AJ44" s="7"/>
      <c r="AK44" s="84"/>
      <c r="AL44" s="181">
        <v>-116</v>
      </c>
      <c r="AM44" s="178">
        <v>194</v>
      </c>
      <c r="AN44" s="177">
        <v>73</v>
      </c>
      <c r="AO44" s="178">
        <v>100</v>
      </c>
      <c r="AP44" s="179">
        <v>73</v>
      </c>
      <c r="AQ44" s="180">
        <v>100</v>
      </c>
      <c r="AR44" s="179">
        <v>-116</v>
      </c>
      <c r="AS44" s="180">
        <v>160</v>
      </c>
    </row>
    <row r="45" spans="1:45" ht="18.75" customHeight="1" x14ac:dyDescent="0.2">
      <c r="A45" s="232"/>
      <c r="C45" t="s">
        <v>51</v>
      </c>
      <c r="I45" s="6"/>
      <c r="J45" s="142" t="s">
        <v>195</v>
      </c>
      <c r="K45" s="135" t="s">
        <v>266</v>
      </c>
      <c r="L45" s="135">
        <v>1.1095999999999999</v>
      </c>
      <c r="M45" s="135">
        <v>0.25189</v>
      </c>
      <c r="N45" s="135">
        <v>729</v>
      </c>
      <c r="O45" s="135">
        <v>0.33110000000000001</v>
      </c>
      <c r="P45" s="136">
        <v>78.132999999999996</v>
      </c>
      <c r="Q45" s="135" t="s">
        <v>336</v>
      </c>
      <c r="R45" s="135">
        <v>-37.347000000000001</v>
      </c>
      <c r="S45" s="135">
        <v>2835</v>
      </c>
      <c r="T45" s="135">
        <v>3.7936999999999999</v>
      </c>
      <c r="U45" s="134"/>
      <c r="V45" s="134"/>
      <c r="W45" s="137"/>
      <c r="X45" s="135" t="s">
        <v>404</v>
      </c>
      <c r="Y45" s="135">
        <v>240300</v>
      </c>
      <c r="Z45" s="135">
        <v>-595</v>
      </c>
      <c r="AA45" s="135">
        <v>1013</v>
      </c>
      <c r="AB45" s="134"/>
      <c r="AC45" s="134"/>
      <c r="AD45" s="142" t="s">
        <v>195</v>
      </c>
      <c r="AE45" s="135" t="s">
        <v>336</v>
      </c>
      <c r="AF45" s="150">
        <v>0.31419999999999998</v>
      </c>
      <c r="AG45" s="148">
        <f>-3.0809/10000</f>
        <v>-3.0809000000000001E-4</v>
      </c>
      <c r="AH45" s="135"/>
      <c r="AI45" s="134"/>
      <c r="AJ45" s="7"/>
      <c r="AK45" s="84"/>
      <c r="AL45" s="181">
        <v>19</v>
      </c>
      <c r="AM45" s="178">
        <v>456</v>
      </c>
      <c r="AN45" s="177">
        <v>19</v>
      </c>
      <c r="AO45" s="178">
        <v>191</v>
      </c>
      <c r="AP45" s="179">
        <v>18</v>
      </c>
      <c r="AQ45" s="180">
        <v>160</v>
      </c>
      <c r="AR45" s="179">
        <v>19</v>
      </c>
      <c r="AS45" s="180">
        <v>191</v>
      </c>
    </row>
    <row r="46" spans="1:45" ht="15" customHeight="1" x14ac:dyDescent="0.2">
      <c r="A46" s="232"/>
      <c r="I46" s="6"/>
      <c r="J46" s="142" t="s">
        <v>196</v>
      </c>
      <c r="K46" s="13" t="s">
        <v>267</v>
      </c>
      <c r="L46" s="13">
        <v>0.52132999999999996</v>
      </c>
      <c r="M46" s="13">
        <v>0.26218000000000002</v>
      </c>
      <c r="N46" s="13">
        <v>766.8</v>
      </c>
      <c r="O46" s="13">
        <v>0.31032999999999999</v>
      </c>
      <c r="P46" s="71">
        <v>170.20699999999999</v>
      </c>
      <c r="Q46" s="13" t="s">
        <v>337</v>
      </c>
      <c r="R46" s="13">
        <v>-12.372999999999999</v>
      </c>
      <c r="S46" s="13">
        <v>2017.5</v>
      </c>
      <c r="T46" s="18"/>
      <c r="U46" s="18"/>
      <c r="V46" s="18"/>
      <c r="W46" s="15"/>
      <c r="X46" s="13" t="s">
        <v>405</v>
      </c>
      <c r="Y46" s="13">
        <v>134160</v>
      </c>
      <c r="Z46" s="13">
        <v>447.67</v>
      </c>
      <c r="AA46" s="18"/>
      <c r="AB46" s="18"/>
      <c r="AC46" s="18"/>
      <c r="AD46" s="142" t="s">
        <v>196</v>
      </c>
      <c r="AE46" s="13" t="s">
        <v>468</v>
      </c>
      <c r="AF46" s="149">
        <v>0.18686</v>
      </c>
      <c r="AG46" s="148">
        <f>-1.4953/10000</f>
        <v>-1.4953000000000001E-4</v>
      </c>
      <c r="AH46" s="18"/>
      <c r="AI46" s="18"/>
      <c r="AJ46" s="7"/>
      <c r="AK46" s="84"/>
      <c r="AL46" s="181">
        <v>27</v>
      </c>
      <c r="AM46" s="178">
        <v>494</v>
      </c>
      <c r="AN46" s="177">
        <v>20</v>
      </c>
      <c r="AO46" s="178">
        <v>340</v>
      </c>
      <c r="AP46" s="179">
        <v>27</v>
      </c>
      <c r="AQ46" s="180">
        <v>297</v>
      </c>
      <c r="AR46" s="179">
        <v>27</v>
      </c>
      <c r="AS46" s="180">
        <v>258</v>
      </c>
    </row>
    <row r="47" spans="1:45" ht="13.5" customHeight="1" x14ac:dyDescent="0.2">
      <c r="A47" s="232"/>
      <c r="D47" s="199"/>
      <c r="I47" s="6"/>
      <c r="J47" s="142" t="s">
        <v>197</v>
      </c>
      <c r="K47" s="135" t="s">
        <v>268</v>
      </c>
      <c r="L47" s="135">
        <v>0.33267000000000002</v>
      </c>
      <c r="M47" s="135">
        <v>0.24664</v>
      </c>
      <c r="N47" s="135">
        <v>658</v>
      </c>
      <c r="O47" s="135">
        <v>0.28571000000000002</v>
      </c>
      <c r="P47" s="136">
        <v>170.33500000000001</v>
      </c>
      <c r="Q47" s="135" t="s">
        <v>338</v>
      </c>
      <c r="R47" s="135">
        <v>-7.8243999999999998</v>
      </c>
      <c r="S47" s="135">
        <v>1191.9000000000001</v>
      </c>
      <c r="T47" s="135">
        <v>-0.49963000000000002</v>
      </c>
      <c r="U47" s="134">
        <f>3.9572*1E+23</f>
        <v>3.9571999999999996E+23</v>
      </c>
      <c r="V47" s="135">
        <v>-10</v>
      </c>
      <c r="W47" s="137"/>
      <c r="X47" s="135" t="s">
        <v>406</v>
      </c>
      <c r="Y47" s="135">
        <v>508210</v>
      </c>
      <c r="Z47" s="135">
        <v>-1368.7</v>
      </c>
      <c r="AA47" s="135">
        <v>3.1015000000000001</v>
      </c>
      <c r="AB47" s="134"/>
      <c r="AC47" s="135"/>
      <c r="AD47" s="142" t="s">
        <v>197</v>
      </c>
      <c r="AE47" s="135" t="s">
        <v>469</v>
      </c>
      <c r="AF47" s="150">
        <v>0.20469999999999999</v>
      </c>
      <c r="AG47" s="147">
        <f>-2.326/10000</f>
        <v>-2.3260000000000002E-4</v>
      </c>
      <c r="AH47" s="135"/>
      <c r="AI47" s="134"/>
      <c r="AJ47" s="10"/>
      <c r="AK47" s="84"/>
      <c r="AL47" s="181">
        <v>-9</v>
      </c>
      <c r="AM47" s="178">
        <v>385</v>
      </c>
      <c r="AN47" s="177">
        <v>-11</v>
      </c>
      <c r="AO47" s="178">
        <v>253</v>
      </c>
      <c r="AP47" s="179">
        <v>-9</v>
      </c>
      <c r="AQ47" s="180">
        <v>57</v>
      </c>
      <c r="AR47" s="179">
        <v>-10</v>
      </c>
      <c r="AS47" s="180">
        <v>216</v>
      </c>
    </row>
    <row r="48" spans="1:45" x14ac:dyDescent="0.2">
      <c r="I48" s="6"/>
      <c r="J48" s="142" t="s">
        <v>198</v>
      </c>
      <c r="K48" s="13" t="s">
        <v>269</v>
      </c>
      <c r="L48" s="13">
        <v>1.6288</v>
      </c>
      <c r="M48" s="13">
        <v>0.27468999999999999</v>
      </c>
      <c r="N48" s="13">
        <v>514</v>
      </c>
      <c r="O48" s="13">
        <v>0.23178000000000001</v>
      </c>
      <c r="P48" s="71">
        <v>46.067999999999998</v>
      </c>
      <c r="Q48" s="13" t="s">
        <v>339</v>
      </c>
      <c r="R48" s="13">
        <v>7.875</v>
      </c>
      <c r="S48" s="13">
        <v>781.98</v>
      </c>
      <c r="T48" s="13">
        <v>-3.0417999999999998</v>
      </c>
      <c r="U48" s="18"/>
      <c r="V48" s="18"/>
      <c r="W48" s="15"/>
      <c r="X48" s="13" t="s">
        <v>407</v>
      </c>
      <c r="Y48" s="13">
        <v>102640</v>
      </c>
      <c r="Z48" s="13">
        <v>-139.63</v>
      </c>
      <c r="AA48" s="13">
        <v>-3.0341E-2</v>
      </c>
      <c r="AB48" s="18">
        <v>2.0303859999999999E-3</v>
      </c>
      <c r="AC48" s="18"/>
      <c r="AD48" s="142" t="s">
        <v>198</v>
      </c>
      <c r="AE48" s="13" t="s">
        <v>470</v>
      </c>
      <c r="AF48" s="150">
        <v>0.24679999999999999</v>
      </c>
      <c r="AG48" s="146">
        <f>-2.64/10000</f>
        <v>-2.6400000000000002E-4</v>
      </c>
      <c r="AH48" s="13"/>
      <c r="AI48" s="18"/>
      <c r="AJ48" s="7"/>
      <c r="AK48" s="84"/>
      <c r="AL48" s="181">
        <v>-114</v>
      </c>
      <c r="AM48" s="178">
        <v>241</v>
      </c>
      <c r="AN48" s="177">
        <v>-73</v>
      </c>
      <c r="AO48" s="178">
        <v>167</v>
      </c>
      <c r="AP48" s="179">
        <v>-114</v>
      </c>
      <c r="AQ48" s="180">
        <v>117</v>
      </c>
      <c r="AR48" s="179">
        <v>-114</v>
      </c>
      <c r="AS48" s="180">
        <v>80</v>
      </c>
    </row>
    <row r="49" spans="1:45" ht="11.25" customHeight="1" x14ac:dyDescent="0.2">
      <c r="A49" s="232" t="s">
        <v>67</v>
      </c>
      <c r="E49" s="36"/>
      <c r="F49" s="35"/>
      <c r="I49" s="6"/>
      <c r="J49" s="142" t="s">
        <v>199</v>
      </c>
      <c r="K49" s="135" t="s">
        <v>270</v>
      </c>
      <c r="L49" s="135">
        <v>0.89959999999999996</v>
      </c>
      <c r="M49" s="135">
        <v>0.25856000000000001</v>
      </c>
      <c r="N49" s="135">
        <v>523.29999999999995</v>
      </c>
      <c r="O49" s="135">
        <v>0.27800000000000002</v>
      </c>
      <c r="P49" s="136">
        <v>88.105000000000004</v>
      </c>
      <c r="Q49" s="135" t="s">
        <v>340</v>
      </c>
      <c r="R49" s="135">
        <v>14.353999999999999</v>
      </c>
      <c r="S49" s="135">
        <v>-154.6</v>
      </c>
      <c r="T49" s="135">
        <v>-3.7887</v>
      </c>
      <c r="U49" s="134"/>
      <c r="V49" s="134"/>
      <c r="W49" s="137"/>
      <c r="X49" s="135" t="s">
        <v>408</v>
      </c>
      <c r="Y49" s="135">
        <v>226230</v>
      </c>
      <c r="Z49" s="135">
        <v>-624.79999999999995</v>
      </c>
      <c r="AA49" s="135">
        <v>1.472</v>
      </c>
      <c r="AB49" s="134"/>
      <c r="AC49" s="134"/>
      <c r="AD49" s="142" t="s">
        <v>199</v>
      </c>
      <c r="AE49" s="135" t="s">
        <v>471</v>
      </c>
      <c r="AF49" s="150">
        <v>0.25009999999999999</v>
      </c>
      <c r="AG49" s="147">
        <f>-3.563/10000</f>
        <v>-3.5630000000000004E-4</v>
      </c>
      <c r="AH49" s="135"/>
      <c r="AI49" s="134"/>
      <c r="AJ49" s="7"/>
      <c r="AK49" s="84"/>
      <c r="AL49" s="181">
        <v>-83</v>
      </c>
      <c r="AM49" s="178">
        <v>250</v>
      </c>
      <c r="AN49" s="177">
        <v>-53</v>
      </c>
      <c r="AO49" s="178">
        <v>200</v>
      </c>
      <c r="AP49" s="179">
        <v>-83</v>
      </c>
      <c r="AQ49" s="180">
        <v>133</v>
      </c>
      <c r="AR49" s="179">
        <v>-84</v>
      </c>
      <c r="AS49" s="180">
        <v>77</v>
      </c>
    </row>
    <row r="50" spans="1:45" ht="12.75" customHeight="1" thickBot="1" x14ac:dyDescent="0.25">
      <c r="A50" s="232"/>
      <c r="E50" s="35"/>
      <c r="I50" s="6"/>
      <c r="J50" s="142" t="s">
        <v>200</v>
      </c>
      <c r="K50" s="13" t="s">
        <v>271</v>
      </c>
      <c r="L50" s="13">
        <v>0.48864000000000002</v>
      </c>
      <c r="M50" s="13">
        <v>0.23894000000000001</v>
      </c>
      <c r="N50" s="13">
        <v>698</v>
      </c>
      <c r="O50" s="13">
        <v>0.28421000000000002</v>
      </c>
      <c r="P50" s="71">
        <v>150.17500000000001</v>
      </c>
      <c r="Q50" s="13" t="s">
        <v>341</v>
      </c>
      <c r="R50" s="13">
        <v>-40.706000000000003</v>
      </c>
      <c r="S50" s="13">
        <v>3035</v>
      </c>
      <c r="T50" s="13">
        <v>4.2655000000000003</v>
      </c>
      <c r="U50" s="18"/>
      <c r="V50" s="18"/>
      <c r="W50" s="15"/>
      <c r="X50" s="13" t="s">
        <v>409</v>
      </c>
      <c r="Y50" s="13">
        <v>124500</v>
      </c>
      <c r="Z50" s="13">
        <v>370.6</v>
      </c>
      <c r="AA50" s="13"/>
      <c r="AB50" s="18"/>
      <c r="AC50" s="18"/>
      <c r="AD50" s="142" t="s">
        <v>200</v>
      </c>
      <c r="AE50" s="13" t="s">
        <v>472</v>
      </c>
      <c r="AF50" s="149">
        <v>0.20771000000000001</v>
      </c>
      <c r="AG50" s="148">
        <f>-2.1265/10000</f>
        <v>-2.1265000000000002E-4</v>
      </c>
      <c r="AH50" s="13"/>
      <c r="AI50" s="18"/>
      <c r="AJ50" s="7"/>
      <c r="AK50" s="84"/>
      <c r="AL50" s="181">
        <v>-35</v>
      </c>
      <c r="AM50" s="178">
        <v>425</v>
      </c>
      <c r="AN50" s="177">
        <v>-23</v>
      </c>
      <c r="AO50" s="178">
        <v>214</v>
      </c>
      <c r="AP50" s="179">
        <v>-34</v>
      </c>
      <c r="AQ50" s="180">
        <v>213</v>
      </c>
      <c r="AR50" s="179">
        <v>-35</v>
      </c>
      <c r="AS50" s="180">
        <v>276</v>
      </c>
    </row>
    <row r="51" spans="1:45" ht="20.25" customHeight="1" x14ac:dyDescent="0.2">
      <c r="A51" s="232"/>
      <c r="C51" s="230" t="s">
        <v>68</v>
      </c>
      <c r="D51" s="231"/>
      <c r="I51" s="6"/>
      <c r="J51" s="142" t="s">
        <v>201</v>
      </c>
      <c r="K51" s="135" t="s">
        <v>272</v>
      </c>
      <c r="L51" s="135">
        <v>1.3149999999999999</v>
      </c>
      <c r="M51" s="135">
        <v>0.25124999999999997</v>
      </c>
      <c r="N51" s="135">
        <v>720</v>
      </c>
      <c r="O51" s="135">
        <v>0.21868000000000001</v>
      </c>
      <c r="P51" s="136">
        <v>62.067999999999998</v>
      </c>
      <c r="Q51" s="135" t="s">
        <v>342</v>
      </c>
      <c r="R51" s="135">
        <v>-20.515000000000001</v>
      </c>
      <c r="S51" s="135">
        <v>2468.5</v>
      </c>
      <c r="T51" s="135">
        <v>1.2435</v>
      </c>
      <c r="U51" s="134">
        <f>2.4998*1000000000000</f>
        <v>2499800000000</v>
      </c>
      <c r="V51" s="135">
        <v>-5</v>
      </c>
      <c r="W51" s="137"/>
      <c r="X51" s="135" t="s">
        <v>410</v>
      </c>
      <c r="Y51" s="135">
        <v>35540</v>
      </c>
      <c r="Z51" s="135">
        <v>436.78</v>
      </c>
      <c r="AA51" s="135">
        <v>-0.18486</v>
      </c>
      <c r="AB51" s="134"/>
      <c r="AC51" s="135"/>
      <c r="AD51" s="142" t="s">
        <v>201</v>
      </c>
      <c r="AE51" s="135" t="s">
        <v>473</v>
      </c>
      <c r="AF51" s="154">
        <v>8.8067000000000006E-2</v>
      </c>
      <c r="AG51" s="148">
        <f>9.4712/10000</f>
        <v>9.4711999999999997E-4</v>
      </c>
      <c r="AH51" s="135"/>
      <c r="AI51" s="134"/>
      <c r="AJ51" s="10"/>
      <c r="AK51" s="84"/>
      <c r="AL51" s="181">
        <v>-13</v>
      </c>
      <c r="AM51" s="178">
        <v>447</v>
      </c>
      <c r="AN51" s="177">
        <v>-13</v>
      </c>
      <c r="AO51" s="178">
        <v>303</v>
      </c>
      <c r="AP51" s="179">
        <v>-13</v>
      </c>
      <c r="AQ51" s="180">
        <v>220</v>
      </c>
      <c r="AR51" s="179">
        <v>-13</v>
      </c>
      <c r="AS51" s="180">
        <v>197</v>
      </c>
    </row>
    <row r="52" spans="1:45" ht="16.5" customHeight="1" x14ac:dyDescent="0.2">
      <c r="A52" s="232"/>
      <c r="C52" s="189">
        <f>X11</f>
        <v>1002.7398981192265</v>
      </c>
      <c r="D52" s="110" t="s">
        <v>72</v>
      </c>
      <c r="F52" s="221"/>
      <c r="G52" s="221"/>
      <c r="I52" s="6"/>
      <c r="J52" s="142" t="s">
        <v>202</v>
      </c>
      <c r="K52" s="13" t="s">
        <v>273</v>
      </c>
      <c r="L52" s="13">
        <v>0.78420000000000001</v>
      </c>
      <c r="M52" s="13">
        <v>0.20702000000000001</v>
      </c>
      <c r="N52" s="13">
        <v>593</v>
      </c>
      <c r="O52" s="13">
        <v>0.20254</v>
      </c>
      <c r="P52" s="71">
        <v>43.067999999999998</v>
      </c>
      <c r="Q52" s="13" t="s">
        <v>343</v>
      </c>
      <c r="R52" s="13">
        <v>-53.908000000000001</v>
      </c>
      <c r="S52" s="13">
        <v>4030.8</v>
      </c>
      <c r="T52" s="13">
        <v>5.9703999999999997</v>
      </c>
      <c r="U52" s="18"/>
      <c r="V52" s="18"/>
      <c r="W52" s="15"/>
      <c r="X52" s="13" t="s">
        <v>411</v>
      </c>
      <c r="Y52" s="13">
        <v>184440</v>
      </c>
      <c r="Z52" s="13">
        <v>-150.19999999999999</v>
      </c>
      <c r="AA52" s="13">
        <v>0.37043999999999999</v>
      </c>
      <c r="AB52" s="18"/>
      <c r="AC52" s="18"/>
      <c r="AD52" s="142" t="s">
        <v>202</v>
      </c>
      <c r="AE52" s="13" t="s">
        <v>411</v>
      </c>
      <c r="AF52" s="149">
        <v>0.36434</v>
      </c>
      <c r="AG52" s="147">
        <f>-4.433/10000</f>
        <v>-4.4329999999999999E-4</v>
      </c>
      <c r="AH52" s="13"/>
      <c r="AI52" s="18"/>
      <c r="AJ52" s="7"/>
      <c r="AK52" s="84"/>
      <c r="AL52" s="181">
        <v>12</v>
      </c>
      <c r="AM52" s="178">
        <v>320</v>
      </c>
      <c r="AN52" s="177">
        <v>11</v>
      </c>
      <c r="AO52" s="178">
        <v>210</v>
      </c>
      <c r="AP52" s="179">
        <v>11</v>
      </c>
      <c r="AQ52" s="180">
        <v>117</v>
      </c>
      <c r="AR52" s="179">
        <v>11</v>
      </c>
      <c r="AS52" s="180">
        <v>117</v>
      </c>
    </row>
    <row r="53" spans="1:45" ht="18" customHeight="1" thickBot="1" x14ac:dyDescent="0.3">
      <c r="A53" s="232"/>
      <c r="C53" s="8" t="s">
        <v>40</v>
      </c>
      <c r="D53" s="99" t="str">
        <f>X10</f>
        <v xml:space="preserve"> -173 to 1227</v>
      </c>
      <c r="E53" s="224" t="str">
        <f>IF(D$17&lt;AP10,"   Temperature is below range.",IF(D$17&gt;AQ10,"  Temperature is above range.",""))</f>
        <v/>
      </c>
      <c r="F53" s="225"/>
      <c r="G53" s="225"/>
      <c r="H53" s="225"/>
      <c r="I53" s="6"/>
      <c r="J53" s="142" t="s">
        <v>203</v>
      </c>
      <c r="K53" s="135" t="s">
        <v>274</v>
      </c>
      <c r="L53" s="135">
        <v>1.0145999999999999</v>
      </c>
      <c r="M53" s="135">
        <v>0.27277000000000001</v>
      </c>
      <c r="N53" s="140">
        <v>560.09</v>
      </c>
      <c r="O53" s="135">
        <v>0.28290999999999999</v>
      </c>
      <c r="P53" s="136">
        <v>96.102000000000004</v>
      </c>
      <c r="Q53" s="135" t="s">
        <v>344</v>
      </c>
      <c r="R53" s="135">
        <v>-10.064</v>
      </c>
      <c r="S53" s="135">
        <v>1058.7</v>
      </c>
      <c r="T53" s="135">
        <v>-0.17161999999999999</v>
      </c>
      <c r="U53" s="134"/>
      <c r="V53" s="134"/>
      <c r="W53" s="137"/>
      <c r="X53" s="135" t="s">
        <v>412</v>
      </c>
      <c r="Y53" s="135">
        <v>-21</v>
      </c>
      <c r="Z53" s="135">
        <v>11734</v>
      </c>
      <c r="AA53" s="135">
        <v>-40669</v>
      </c>
      <c r="AB53" s="134">
        <v>4.7333E-2</v>
      </c>
      <c r="AC53" s="134"/>
      <c r="AD53" s="142" t="s">
        <v>203</v>
      </c>
      <c r="AE53" s="135" t="s">
        <v>474</v>
      </c>
      <c r="AF53" s="149">
        <v>0.20962</v>
      </c>
      <c r="AG53" s="148">
        <f>-2.8034/10000</f>
        <v>-2.8034000000000002E-4</v>
      </c>
      <c r="AH53" s="135"/>
      <c r="AI53" s="134"/>
      <c r="AJ53" s="7"/>
      <c r="AK53" s="84"/>
      <c r="AL53" s="181">
        <v>-42</v>
      </c>
      <c r="AM53" s="178">
        <v>287</v>
      </c>
      <c r="AN53" s="177">
        <v>-41</v>
      </c>
      <c r="AO53" s="178">
        <v>180</v>
      </c>
      <c r="AP53" s="179">
        <v>-33</v>
      </c>
      <c r="AQ53" s="180">
        <v>47</v>
      </c>
      <c r="AR53" s="179">
        <v>-35</v>
      </c>
      <c r="AS53" s="180">
        <v>80</v>
      </c>
    </row>
    <row r="54" spans="1:45" ht="16.5" customHeight="1" x14ac:dyDescent="0.2">
      <c r="A54" s="232"/>
      <c r="F54" s="223"/>
      <c r="G54" s="223"/>
      <c r="I54" s="6"/>
      <c r="J54" s="142" t="s">
        <v>204</v>
      </c>
      <c r="K54" s="13" t="s">
        <v>275</v>
      </c>
      <c r="L54" s="13">
        <v>1.2485999999999999</v>
      </c>
      <c r="M54" s="13">
        <v>0.20352000000000001</v>
      </c>
      <c r="N54" s="13">
        <v>771</v>
      </c>
      <c r="O54" s="13">
        <v>0.25178</v>
      </c>
      <c r="P54" s="71">
        <v>45.040999999999997</v>
      </c>
      <c r="Q54" s="13" t="s">
        <v>345</v>
      </c>
      <c r="R54" s="13">
        <v>40.152999999999999</v>
      </c>
      <c r="S54" s="13">
        <v>-912.39</v>
      </c>
      <c r="T54" s="13">
        <v>-7.5663999999999998</v>
      </c>
      <c r="U54" s="18">
        <f>1.6873*1E+24</f>
        <v>1.6873000000000001E+24</v>
      </c>
      <c r="V54" s="13">
        <v>-10</v>
      </c>
      <c r="W54" s="15"/>
      <c r="X54" s="13" t="s">
        <v>413</v>
      </c>
      <c r="Y54" s="13">
        <v>63400</v>
      </c>
      <c r="Z54" s="13">
        <v>150.6</v>
      </c>
      <c r="AA54" s="13"/>
      <c r="AB54" s="18"/>
      <c r="AC54" s="13"/>
      <c r="AD54" s="142" t="s">
        <v>204</v>
      </c>
      <c r="AE54" s="13" t="s">
        <v>475</v>
      </c>
      <c r="AF54" s="149">
        <v>0.38469999999999999</v>
      </c>
      <c r="AG54" s="147">
        <f>-1.065/10000</f>
        <v>-1.065E-4</v>
      </c>
      <c r="AH54" s="13"/>
      <c r="AI54" s="18"/>
      <c r="AJ54" s="10"/>
      <c r="AK54" s="84"/>
      <c r="AL54" s="181">
        <v>3</v>
      </c>
      <c r="AM54" s="178">
        <v>498</v>
      </c>
      <c r="AN54" s="177">
        <v>0</v>
      </c>
      <c r="AO54" s="178">
        <v>220</v>
      </c>
      <c r="AP54" s="179">
        <v>18</v>
      </c>
      <c r="AQ54" s="180">
        <v>220</v>
      </c>
      <c r="AR54" s="179">
        <v>3</v>
      </c>
      <c r="AS54" s="180">
        <v>220</v>
      </c>
    </row>
    <row r="55" spans="1:45" ht="16.5" customHeight="1" x14ac:dyDescent="0.2">
      <c r="A55" s="232"/>
      <c r="C55" s="229" t="s">
        <v>4</v>
      </c>
      <c r="D55" s="229"/>
      <c r="F55" s="35"/>
      <c r="I55" s="6"/>
      <c r="J55" s="142" t="s">
        <v>205</v>
      </c>
      <c r="K55" s="135" t="s">
        <v>276</v>
      </c>
      <c r="L55" s="135">
        <v>0.61258999999999997</v>
      </c>
      <c r="M55" s="135">
        <v>0.26211000000000001</v>
      </c>
      <c r="N55" s="135">
        <v>540.20000000000005</v>
      </c>
      <c r="O55" s="135">
        <v>0.28140999999999999</v>
      </c>
      <c r="P55" s="136">
        <v>100.202</v>
      </c>
      <c r="Q55" s="135" t="s">
        <v>346</v>
      </c>
      <c r="R55" s="135">
        <v>-9.4621999999999993</v>
      </c>
      <c r="S55" s="135">
        <v>877.07</v>
      </c>
      <c r="T55" s="135">
        <v>-0.23444999999999999</v>
      </c>
      <c r="U55" s="134">
        <f>1.4022*1E+22</f>
        <v>1.4021999999999998E+22</v>
      </c>
      <c r="V55" s="135">
        <v>-10</v>
      </c>
      <c r="W55" s="137"/>
      <c r="X55" s="135" t="s">
        <v>414</v>
      </c>
      <c r="Y55" s="135">
        <v>61.26</v>
      </c>
      <c r="Z55" s="135">
        <v>314410</v>
      </c>
      <c r="AA55" s="135">
        <v>1824.6</v>
      </c>
      <c r="AB55" s="134">
        <v>-2547.9</v>
      </c>
      <c r="AC55" s="135">
        <v>-10</v>
      </c>
      <c r="AD55" s="142" t="s">
        <v>205</v>
      </c>
      <c r="AE55" s="135" t="s">
        <v>476</v>
      </c>
      <c r="AF55" s="149">
        <v>0.215</v>
      </c>
      <c r="AG55" s="146">
        <f>-3.03/10000</f>
        <v>-3.0299999999999999E-4</v>
      </c>
      <c r="AH55" s="135"/>
      <c r="AI55" s="134"/>
      <c r="AJ55" s="10"/>
      <c r="AK55" s="183"/>
      <c r="AL55" s="181">
        <v>-90</v>
      </c>
      <c r="AM55" s="178">
        <v>267</v>
      </c>
      <c r="AN55" s="177">
        <v>-93</v>
      </c>
      <c r="AO55" s="178">
        <v>159</v>
      </c>
      <c r="AP55" s="179">
        <v>-91</v>
      </c>
      <c r="AQ55" s="180">
        <v>247</v>
      </c>
      <c r="AR55" s="179">
        <v>-91</v>
      </c>
      <c r="AS55" s="180">
        <v>99</v>
      </c>
    </row>
    <row r="56" spans="1:45" ht="12.75" customHeight="1" thickBot="1" x14ac:dyDescent="0.3">
      <c r="A56" s="232"/>
      <c r="E56" s="85" t="s">
        <v>529</v>
      </c>
      <c r="I56" s="6"/>
      <c r="J56" s="142" t="s">
        <v>206</v>
      </c>
      <c r="K56" s="13" t="s">
        <v>277</v>
      </c>
      <c r="L56" s="13">
        <v>0.23289000000000001</v>
      </c>
      <c r="M56" s="13">
        <v>0.23658999999999999</v>
      </c>
      <c r="N56" s="13">
        <v>723</v>
      </c>
      <c r="O56" s="13">
        <v>0.28571000000000002</v>
      </c>
      <c r="P56" s="71">
        <v>226.441</v>
      </c>
      <c r="Q56" s="13" t="s">
        <v>347</v>
      </c>
      <c r="R56" s="13">
        <v>-20.181999999999999</v>
      </c>
      <c r="S56" s="13">
        <v>2203.5</v>
      </c>
      <c r="T56" s="13">
        <v>1.2289000000000001</v>
      </c>
      <c r="U56" s="18"/>
      <c r="V56" s="18"/>
      <c r="W56" s="15"/>
      <c r="X56" s="13" t="s">
        <v>415</v>
      </c>
      <c r="Y56" s="13">
        <v>370350</v>
      </c>
      <c r="Z56" s="13">
        <v>231.47</v>
      </c>
      <c r="AA56" s="13">
        <v>0.68632000000000004</v>
      </c>
      <c r="AB56" s="18"/>
      <c r="AC56" s="18"/>
      <c r="AD56" s="142" t="s">
        <v>206</v>
      </c>
      <c r="AE56" s="13" t="s">
        <v>415</v>
      </c>
      <c r="AF56" s="149">
        <v>0.20749000000000001</v>
      </c>
      <c r="AG56" s="148">
        <f>-2.1917/10000</f>
        <v>-2.1917E-4</v>
      </c>
      <c r="AH56" s="135"/>
      <c r="AI56" s="18"/>
      <c r="AJ56" s="7"/>
      <c r="AK56" s="84"/>
      <c r="AL56" s="181">
        <v>18</v>
      </c>
      <c r="AM56" s="178">
        <v>450</v>
      </c>
      <c r="AN56" s="177">
        <v>18</v>
      </c>
      <c r="AO56" s="178">
        <v>291</v>
      </c>
      <c r="AP56" s="179">
        <v>18</v>
      </c>
      <c r="AQ56" s="180">
        <v>287</v>
      </c>
      <c r="AR56" s="179">
        <v>18</v>
      </c>
      <c r="AS56" s="180">
        <v>287</v>
      </c>
    </row>
    <row r="57" spans="1:45" ht="18" customHeight="1" x14ac:dyDescent="0.25">
      <c r="A57" s="232"/>
      <c r="C57" s="230" t="s">
        <v>69</v>
      </c>
      <c r="D57" s="231"/>
      <c r="E57" s="85" t="s">
        <v>532</v>
      </c>
      <c r="I57" s="6"/>
      <c r="J57" s="142" t="s">
        <v>207</v>
      </c>
      <c r="K57" s="135" t="s">
        <v>248</v>
      </c>
      <c r="L57" s="135">
        <v>0.70823999999999998</v>
      </c>
      <c r="M57" s="135">
        <v>0.26411000000000001</v>
      </c>
      <c r="N57" s="135">
        <v>507.6</v>
      </c>
      <c r="O57" s="135">
        <v>0.27537</v>
      </c>
      <c r="P57" s="136">
        <v>86.174999999999997</v>
      </c>
      <c r="Q57" s="135" t="s">
        <v>348</v>
      </c>
      <c r="R57" s="135">
        <v>-6.3276000000000003</v>
      </c>
      <c r="S57" s="135">
        <v>640</v>
      </c>
      <c r="T57" s="135">
        <v>-0.69399999999999995</v>
      </c>
      <c r="U57" s="134">
        <f>5.6884*1E+21</f>
        <v>5.6883999999999995E+21</v>
      </c>
      <c r="V57" s="135">
        <v>-10</v>
      </c>
      <c r="W57" s="137"/>
      <c r="X57" s="135" t="s">
        <v>416</v>
      </c>
      <c r="Y57" s="135">
        <v>172120</v>
      </c>
      <c r="Z57" s="135">
        <v>-183.78</v>
      </c>
      <c r="AA57" s="135">
        <v>0.88734000000000002</v>
      </c>
      <c r="AB57" s="134"/>
      <c r="AC57" s="135"/>
      <c r="AD57" s="142" t="s">
        <v>207</v>
      </c>
      <c r="AE57" s="135" t="s">
        <v>477</v>
      </c>
      <c r="AF57" s="149">
        <v>0.22492000000000001</v>
      </c>
      <c r="AG57" s="147">
        <f>-3.533/10000</f>
        <v>-3.5329999999999997E-4</v>
      </c>
      <c r="AH57" s="135"/>
      <c r="AI57" s="134"/>
      <c r="AJ57" s="10"/>
      <c r="AK57" s="84"/>
      <c r="AL57" s="181">
        <v>-95</v>
      </c>
      <c r="AM57" s="178">
        <v>235</v>
      </c>
      <c r="AN57" s="177">
        <v>-98</v>
      </c>
      <c r="AO57" s="178">
        <v>133</v>
      </c>
      <c r="AP57" s="179">
        <v>-96</v>
      </c>
      <c r="AQ57" s="180">
        <v>187</v>
      </c>
      <c r="AR57" s="179">
        <v>-95</v>
      </c>
      <c r="AS57" s="180">
        <v>97</v>
      </c>
    </row>
    <row r="58" spans="1:45" ht="14.25" customHeight="1" x14ac:dyDescent="0.25">
      <c r="A58" s="232"/>
      <c r="C58" s="9"/>
      <c r="D58" s="10"/>
      <c r="E58" s="85" t="s">
        <v>533</v>
      </c>
      <c r="I58" s="6"/>
      <c r="J58" s="142" t="s">
        <v>208</v>
      </c>
      <c r="K58" s="13" t="s">
        <v>278</v>
      </c>
      <c r="L58" s="13">
        <v>1.0516000000000001</v>
      </c>
      <c r="M58" s="13">
        <v>0.16613</v>
      </c>
      <c r="N58" s="13">
        <v>653.15</v>
      </c>
      <c r="O58" s="13">
        <v>0.1898</v>
      </c>
      <c r="P58" s="71">
        <v>32.045000000000002</v>
      </c>
      <c r="Q58" s="13" t="s">
        <v>349</v>
      </c>
      <c r="R58" s="13">
        <v>-75.781000000000006</v>
      </c>
      <c r="S58" s="13">
        <v>4175.3999999999996</v>
      </c>
      <c r="T58" s="13">
        <v>9.6508000000000003</v>
      </c>
      <c r="U58" s="18">
        <f>-7.27/1000000000</f>
        <v>-7.2699999999999999E-9</v>
      </c>
      <c r="V58" s="13">
        <v>3</v>
      </c>
      <c r="W58" s="15"/>
      <c r="X58" s="13" t="s">
        <v>278</v>
      </c>
      <c r="Y58" s="13">
        <v>79815</v>
      </c>
      <c r="Z58" s="13">
        <v>50.929000000000002</v>
      </c>
      <c r="AA58" s="13">
        <v>4.3379000000000001E-2</v>
      </c>
      <c r="AB58" s="18"/>
      <c r="AC58" s="13"/>
      <c r="AD58" s="142" t="s">
        <v>208</v>
      </c>
      <c r="AE58" s="13" t="s">
        <v>478</v>
      </c>
      <c r="AF58" s="150">
        <v>1.3674999999999999</v>
      </c>
      <c r="AG58" s="148">
        <f>-1.5895/1000</f>
        <v>-1.5895E-3</v>
      </c>
      <c r="AH58" s="135"/>
      <c r="AI58" s="18"/>
      <c r="AJ58" s="10"/>
      <c r="AK58" s="84"/>
      <c r="AL58" s="181">
        <v>2</v>
      </c>
      <c r="AM58" s="178">
        <v>380</v>
      </c>
      <c r="AN58" s="177">
        <v>1</v>
      </c>
      <c r="AO58" s="178">
        <v>250</v>
      </c>
      <c r="AP58" s="179">
        <v>2</v>
      </c>
      <c r="AQ58" s="180">
        <v>380</v>
      </c>
      <c r="AR58" s="179">
        <v>2</v>
      </c>
      <c r="AS58" s="180">
        <v>350</v>
      </c>
    </row>
    <row r="59" spans="1:45" ht="18" customHeight="1" thickBot="1" x14ac:dyDescent="0.3">
      <c r="A59" s="232"/>
      <c r="C59" s="72" t="s">
        <v>73</v>
      </c>
      <c r="D59" s="22"/>
      <c r="E59" s="85" t="s">
        <v>534</v>
      </c>
      <c r="I59" s="6"/>
      <c r="J59" s="142" t="s">
        <v>209</v>
      </c>
      <c r="K59" s="135" t="s">
        <v>279</v>
      </c>
      <c r="L59" s="135">
        <v>1.2801</v>
      </c>
      <c r="M59" s="135">
        <v>0.2828</v>
      </c>
      <c r="N59" s="135">
        <v>471.85</v>
      </c>
      <c r="O59" s="135">
        <v>0.29720000000000002</v>
      </c>
      <c r="P59" s="136">
        <v>59.11</v>
      </c>
      <c r="Q59" s="135" t="s">
        <v>350</v>
      </c>
      <c r="R59" s="135">
        <v>-31.157</v>
      </c>
      <c r="S59" s="135">
        <v>1926</v>
      </c>
      <c r="T59" s="135">
        <v>2.9249999999999998</v>
      </c>
      <c r="U59" s="134"/>
      <c r="V59" s="134"/>
      <c r="W59" s="137"/>
      <c r="X59" s="135" t="s">
        <v>417</v>
      </c>
      <c r="Y59" s="135">
        <v>-32469</v>
      </c>
      <c r="Z59" s="135">
        <v>1977.1</v>
      </c>
      <c r="AA59" s="135">
        <v>-7.0145</v>
      </c>
      <c r="AB59" s="134">
        <v>8.6913000000000008E-3</v>
      </c>
      <c r="AC59" s="134"/>
      <c r="AD59" s="142" t="s">
        <v>209</v>
      </c>
      <c r="AE59" s="135" t="s">
        <v>479</v>
      </c>
      <c r="AF59" s="155">
        <v>0.23699999999999999</v>
      </c>
      <c r="AG59" s="147">
        <f>-3.32/10000</f>
        <v>-3.3199999999999999E-4</v>
      </c>
      <c r="AH59" s="135"/>
      <c r="AI59" s="134"/>
      <c r="AJ59" s="7"/>
      <c r="AK59" s="84"/>
      <c r="AL59" s="181">
        <v>-95</v>
      </c>
      <c r="AM59" s="178">
        <v>199</v>
      </c>
      <c r="AN59" s="177">
        <v>-23</v>
      </c>
      <c r="AO59" s="178">
        <v>180</v>
      </c>
      <c r="AP59" s="179">
        <v>-95</v>
      </c>
      <c r="AQ59" s="180">
        <v>47</v>
      </c>
      <c r="AR59" s="179">
        <v>-95</v>
      </c>
      <c r="AS59" s="180">
        <v>32</v>
      </c>
    </row>
    <row r="60" spans="1:45" ht="15" customHeight="1" x14ac:dyDescent="0.2">
      <c r="A60" s="232"/>
      <c r="I60" s="6"/>
      <c r="J60" s="142" t="s">
        <v>210</v>
      </c>
      <c r="K60" s="13" t="s">
        <v>280</v>
      </c>
      <c r="L60" s="13">
        <v>0.87024999999999997</v>
      </c>
      <c r="M60" s="13">
        <v>0.24382999999999999</v>
      </c>
      <c r="N60" s="13">
        <v>662</v>
      </c>
      <c r="O60" s="13">
        <v>0.28571000000000002</v>
      </c>
      <c r="P60" s="71">
        <v>86.088999999999999</v>
      </c>
      <c r="Q60" s="13" t="s">
        <v>351</v>
      </c>
      <c r="R60" s="13">
        <v>-14.526999999999999</v>
      </c>
      <c r="S60" s="13">
        <v>1497.7</v>
      </c>
      <c r="T60" s="13">
        <v>0.51746999999999999</v>
      </c>
      <c r="U60" s="18"/>
      <c r="V60" s="18"/>
      <c r="W60" s="15"/>
      <c r="X60" s="13" t="s">
        <v>351</v>
      </c>
      <c r="Y60" s="13">
        <v>146290</v>
      </c>
      <c r="Z60" s="13">
        <v>-58.59</v>
      </c>
      <c r="AA60" s="13">
        <v>0.35820000000000002</v>
      </c>
      <c r="AB60" s="18"/>
      <c r="AC60" s="18"/>
      <c r="AD60" s="142" t="s">
        <v>210</v>
      </c>
      <c r="AE60" s="13" t="s">
        <v>480</v>
      </c>
      <c r="AF60" s="150">
        <v>0.2306</v>
      </c>
      <c r="AG60" s="148">
        <f>-2.5201/10000</f>
        <v>-2.5200999999999999E-4</v>
      </c>
      <c r="AH60" s="135"/>
      <c r="AI60" s="18"/>
      <c r="AJ60" s="7"/>
      <c r="AK60" s="84"/>
      <c r="AL60" s="181">
        <v>15</v>
      </c>
      <c r="AM60" s="178">
        <v>389</v>
      </c>
      <c r="AN60" s="177">
        <v>15</v>
      </c>
      <c r="AO60" s="178">
        <v>161</v>
      </c>
      <c r="AP60" s="179">
        <v>15</v>
      </c>
      <c r="AQ60" s="180">
        <v>161</v>
      </c>
      <c r="AR60" s="179">
        <v>15</v>
      </c>
      <c r="AS60" s="180">
        <v>257</v>
      </c>
    </row>
    <row r="61" spans="1:45" ht="17.25" customHeight="1" x14ac:dyDescent="0.25">
      <c r="A61" s="232"/>
      <c r="C61" s="11" t="s">
        <v>70</v>
      </c>
      <c r="D61" s="188">
        <f>IF(D15="Other Fluid",D59,C52)</f>
        <v>1002.7398981192265</v>
      </c>
      <c r="E61" s="73" t="s">
        <v>72</v>
      </c>
      <c r="F61" s="85" t="str">
        <f>IF(D$15="Other Fluid","     (manual entry)","     (from menu selection)")</f>
        <v xml:space="preserve">     (from menu selection)</v>
      </c>
      <c r="I61" s="6"/>
      <c r="J61" s="142" t="s">
        <v>211</v>
      </c>
      <c r="K61" s="135" t="s">
        <v>281</v>
      </c>
      <c r="L61" s="135">
        <v>2.3267000000000002</v>
      </c>
      <c r="M61" s="135">
        <v>0.27073000000000003</v>
      </c>
      <c r="N61" s="135">
        <v>512.5</v>
      </c>
      <c r="O61" s="135">
        <v>0.24712999999999999</v>
      </c>
      <c r="P61" s="136">
        <v>32.042000000000002</v>
      </c>
      <c r="Q61" s="135" t="s">
        <v>352</v>
      </c>
      <c r="R61" s="135">
        <v>-25.317</v>
      </c>
      <c r="S61" s="135">
        <v>1789.2</v>
      </c>
      <c r="T61" s="135">
        <v>2.069</v>
      </c>
      <c r="U61" s="134"/>
      <c r="V61" s="134"/>
      <c r="W61" s="137"/>
      <c r="X61" s="135" t="s">
        <v>418</v>
      </c>
      <c r="Y61" s="135">
        <v>105800</v>
      </c>
      <c r="Z61" s="135">
        <v>-362.23</v>
      </c>
      <c r="AA61" s="135">
        <v>0.93789999999999996</v>
      </c>
      <c r="AB61" s="134"/>
      <c r="AC61" s="134"/>
      <c r="AD61" s="142" t="s">
        <v>211</v>
      </c>
      <c r="AE61" s="135" t="s">
        <v>352</v>
      </c>
      <c r="AF61" s="150">
        <v>0.28370000000000001</v>
      </c>
      <c r="AG61" s="146">
        <f>-2.81/10000</f>
        <v>-2.81E-4</v>
      </c>
      <c r="AH61" s="135"/>
      <c r="AI61" s="134"/>
      <c r="AJ61" s="7"/>
      <c r="AK61" s="84"/>
      <c r="AL61" s="181">
        <v>-98</v>
      </c>
      <c r="AM61" s="178">
        <v>240</v>
      </c>
      <c r="AN61" s="177">
        <v>-98</v>
      </c>
      <c r="AO61" s="178">
        <v>65</v>
      </c>
      <c r="AP61" s="179">
        <v>-98</v>
      </c>
      <c r="AQ61" s="180">
        <v>127</v>
      </c>
      <c r="AR61" s="179">
        <v>-98</v>
      </c>
      <c r="AS61" s="180">
        <v>65</v>
      </c>
    </row>
    <row r="62" spans="1:45" ht="16.5" customHeight="1" x14ac:dyDescent="0.2">
      <c r="A62" s="232"/>
      <c r="C62" t="s">
        <v>71</v>
      </c>
      <c r="I62" s="6"/>
      <c r="J62" s="142" t="s">
        <v>212</v>
      </c>
      <c r="K62" s="13" t="s">
        <v>282</v>
      </c>
      <c r="L62" s="13">
        <v>1.1299999999999999</v>
      </c>
      <c r="M62" s="13">
        <v>0.25929999999999997</v>
      </c>
      <c r="N62" s="13">
        <v>506.55</v>
      </c>
      <c r="O62" s="13">
        <v>0.27639999999999998</v>
      </c>
      <c r="P62" s="71">
        <v>74.078999999999994</v>
      </c>
      <c r="Q62" s="13" t="s">
        <v>353</v>
      </c>
      <c r="R62" s="13">
        <v>13.557</v>
      </c>
      <c r="S62" s="13">
        <v>-187.3</v>
      </c>
      <c r="T62" s="13">
        <v>-3.6591999999999998</v>
      </c>
      <c r="U62" s="18"/>
      <c r="V62" s="18"/>
      <c r="W62" s="15"/>
      <c r="X62" s="13" t="s">
        <v>419</v>
      </c>
      <c r="Y62" s="13">
        <v>61260</v>
      </c>
      <c r="Z62" s="13">
        <v>270.89999999999998</v>
      </c>
      <c r="AA62" s="13"/>
      <c r="AB62" s="18"/>
      <c r="AC62" s="18"/>
      <c r="AD62" s="142" t="s">
        <v>212</v>
      </c>
      <c r="AE62" s="13" t="s">
        <v>481</v>
      </c>
      <c r="AF62" s="150">
        <v>0.2777</v>
      </c>
      <c r="AG62" s="146">
        <f>-4.17/10000</f>
        <v>-4.17E-4</v>
      </c>
      <c r="AH62" s="13"/>
      <c r="AI62" s="18"/>
      <c r="AJ62" s="7"/>
      <c r="AK62" s="84"/>
      <c r="AL62" s="181">
        <v>-98</v>
      </c>
      <c r="AM62" s="178">
        <v>234</v>
      </c>
      <c r="AN62" s="177">
        <v>-23</v>
      </c>
      <c r="AO62" s="178">
        <v>152</v>
      </c>
      <c r="AP62" s="179">
        <v>-20</v>
      </c>
      <c r="AQ62" s="180">
        <v>100</v>
      </c>
      <c r="AR62" s="179">
        <v>-98</v>
      </c>
      <c r="AS62" s="180">
        <v>113</v>
      </c>
    </row>
    <row r="63" spans="1:45" ht="13.5" customHeight="1" x14ac:dyDescent="0.2">
      <c r="A63" s="232"/>
      <c r="I63" s="6"/>
      <c r="J63" s="142" t="s">
        <v>213</v>
      </c>
      <c r="K63" s="135" t="s">
        <v>283</v>
      </c>
      <c r="L63" s="135">
        <v>0.77610000000000001</v>
      </c>
      <c r="M63" s="135">
        <v>0.25068000000000001</v>
      </c>
      <c r="N63" s="135">
        <v>566</v>
      </c>
      <c r="O63" s="135">
        <v>0.29772999999999999</v>
      </c>
      <c r="P63" s="136">
        <v>100.116</v>
      </c>
      <c r="Q63" s="135" t="s">
        <v>354</v>
      </c>
      <c r="R63" s="135">
        <v>-9.9000000000000005E-2</v>
      </c>
      <c r="S63" s="135">
        <v>496</v>
      </c>
      <c r="T63" s="135">
        <v>-1.5939000000000001</v>
      </c>
      <c r="U63" s="134"/>
      <c r="V63" s="134"/>
      <c r="W63" s="137"/>
      <c r="X63" s="135" t="s">
        <v>420</v>
      </c>
      <c r="Y63" s="135">
        <v>255100</v>
      </c>
      <c r="Z63" s="135">
        <v>-938.4</v>
      </c>
      <c r="AA63" s="135">
        <v>2413</v>
      </c>
      <c r="AB63" s="134"/>
      <c r="AC63" s="134"/>
      <c r="AD63" s="142" t="s">
        <v>213</v>
      </c>
      <c r="AE63" s="135" t="s">
        <v>485</v>
      </c>
      <c r="AF63" s="150">
        <v>0.25829999999999997</v>
      </c>
      <c r="AG63" s="146">
        <f>-3.79/10000</f>
        <v>-3.79E-4</v>
      </c>
      <c r="AH63" s="135"/>
      <c r="AI63" s="134"/>
      <c r="AJ63" s="7"/>
      <c r="AK63" s="84"/>
      <c r="AL63" s="181">
        <v>-48</v>
      </c>
      <c r="AM63" s="178">
        <v>293</v>
      </c>
      <c r="AN63" s="177">
        <v>-13</v>
      </c>
      <c r="AO63" s="178">
        <v>127</v>
      </c>
      <c r="AP63" s="179">
        <v>-48</v>
      </c>
      <c r="AQ63" s="180">
        <v>101</v>
      </c>
      <c r="AR63" s="179">
        <v>-109</v>
      </c>
      <c r="AS63" s="180">
        <v>55</v>
      </c>
    </row>
    <row r="64" spans="1:45" ht="12" customHeight="1" x14ac:dyDescent="0.2">
      <c r="A64" s="232"/>
      <c r="I64" s="6"/>
      <c r="J64" s="142" t="s">
        <v>214</v>
      </c>
      <c r="K64" s="13" t="s">
        <v>284</v>
      </c>
      <c r="L64" s="13">
        <v>0.92800000000000005</v>
      </c>
      <c r="M64" s="13">
        <v>0.28899999999999998</v>
      </c>
      <c r="N64" s="13">
        <v>497.1</v>
      </c>
      <c r="O64" s="13">
        <v>0.28599999999999998</v>
      </c>
      <c r="P64" s="71">
        <v>88.147999999999996</v>
      </c>
      <c r="Q64" s="13" t="s">
        <v>355</v>
      </c>
      <c r="R64" s="13">
        <v>-6.9210000000000003</v>
      </c>
      <c r="S64" s="13">
        <v>790.77300000000002</v>
      </c>
      <c r="T64" s="13">
        <v>-0.65400000000000003</v>
      </c>
      <c r="U64" s="18"/>
      <c r="V64" s="18"/>
      <c r="W64" s="15"/>
      <c r="X64" s="13" t="s">
        <v>421</v>
      </c>
      <c r="Y64" s="13">
        <v>134300</v>
      </c>
      <c r="Z64" s="13">
        <v>94.355999999999995</v>
      </c>
      <c r="AA64" s="13">
        <v>-3.2000000000000002E-3</v>
      </c>
      <c r="AB64" s="18">
        <v>9.794999999999999E-4</v>
      </c>
      <c r="AC64" s="18"/>
      <c r="AD64" s="142" t="s">
        <v>214</v>
      </c>
      <c r="AE64" s="13" t="s">
        <v>421</v>
      </c>
      <c r="AF64" s="150">
        <v>0.2253</v>
      </c>
      <c r="AG64" s="148">
        <f>-3.7273/10000</f>
        <v>-3.7272999999999999E-4</v>
      </c>
      <c r="AH64" s="13">
        <f>1.1728/10000000</f>
        <v>1.1728E-7</v>
      </c>
      <c r="AI64" s="18"/>
      <c r="AJ64" s="7"/>
      <c r="AK64" s="84"/>
      <c r="AL64" s="181">
        <v>-108</v>
      </c>
      <c r="AM64" s="178">
        <v>224</v>
      </c>
      <c r="AN64" s="177">
        <v>-108</v>
      </c>
      <c r="AO64" s="178">
        <v>177</v>
      </c>
      <c r="AP64" s="179">
        <v>-109</v>
      </c>
      <c r="AQ64" s="180">
        <v>55</v>
      </c>
      <c r="AR64" s="179">
        <v>-109</v>
      </c>
      <c r="AS64" s="180">
        <v>55</v>
      </c>
    </row>
    <row r="65" spans="1:45" ht="17.25" customHeight="1" x14ac:dyDescent="0.2">
      <c r="I65" s="6"/>
      <c r="J65" s="142" t="s">
        <v>215</v>
      </c>
      <c r="K65" s="135" t="s">
        <v>285</v>
      </c>
      <c r="L65" s="135">
        <v>0.73109000000000002</v>
      </c>
      <c r="M65" s="135">
        <v>0.26971000000000001</v>
      </c>
      <c r="N65" s="135">
        <v>572.1</v>
      </c>
      <c r="O65" s="135">
        <v>0.29185</v>
      </c>
      <c r="P65" s="136">
        <v>98.186000000000007</v>
      </c>
      <c r="Q65" s="135" t="s">
        <v>356</v>
      </c>
      <c r="R65" s="135">
        <v>-11.358000000000001</v>
      </c>
      <c r="S65" s="135">
        <v>1213.0999999999999</v>
      </c>
      <c r="T65" s="134"/>
      <c r="U65" s="134"/>
      <c r="V65" s="134"/>
      <c r="W65" s="137"/>
      <c r="X65" s="135" t="s">
        <v>422</v>
      </c>
      <c r="Y65" s="135">
        <v>131340</v>
      </c>
      <c r="Z65" s="135">
        <v>-63.1</v>
      </c>
      <c r="AA65" s="134">
        <v>0.8125</v>
      </c>
      <c r="AB65" s="134"/>
      <c r="AC65" s="134"/>
      <c r="AD65" s="142" t="s">
        <v>215</v>
      </c>
      <c r="AE65" s="135" t="s">
        <v>482</v>
      </c>
      <c r="AF65" s="150">
        <v>0.17910000000000001</v>
      </c>
      <c r="AG65" s="147">
        <f>-2.291/10000</f>
        <v>-2.2909999999999999E-4</v>
      </c>
      <c r="AH65" s="134"/>
      <c r="AI65" s="134"/>
      <c r="AJ65" s="7"/>
      <c r="AK65" s="84"/>
      <c r="AL65" s="181">
        <v>-147</v>
      </c>
      <c r="AM65" s="178">
        <v>299</v>
      </c>
      <c r="AN65" s="177">
        <v>-126</v>
      </c>
      <c r="AO65" s="178">
        <v>185</v>
      </c>
      <c r="AP65" s="179">
        <v>-127</v>
      </c>
      <c r="AQ65" s="180">
        <v>47</v>
      </c>
      <c r="AR65" s="179">
        <v>0</v>
      </c>
      <c r="AS65" s="180">
        <v>101</v>
      </c>
    </row>
    <row r="66" spans="1:45" ht="12.75" customHeight="1" x14ac:dyDescent="0.2">
      <c r="A66" s="232" t="s">
        <v>74</v>
      </c>
      <c r="E66" s="36"/>
      <c r="I66" s="6"/>
      <c r="J66" s="142" t="s">
        <v>216</v>
      </c>
      <c r="K66" s="13" t="s">
        <v>286</v>
      </c>
      <c r="L66" s="13">
        <v>0.93767</v>
      </c>
      <c r="M66" s="13">
        <v>0.25035000000000002</v>
      </c>
      <c r="N66" s="13">
        <v>535.5</v>
      </c>
      <c r="O66" s="13">
        <v>0.29984</v>
      </c>
      <c r="P66" s="71">
        <v>72.105999999999995</v>
      </c>
      <c r="Q66" s="13" t="s">
        <v>286</v>
      </c>
      <c r="R66" s="13">
        <v>-1.0598000000000001</v>
      </c>
      <c r="S66" s="13">
        <v>520.67999999999995</v>
      </c>
      <c r="T66" s="13">
        <v>-1.4961</v>
      </c>
      <c r="U66" s="18"/>
      <c r="V66" s="18"/>
      <c r="W66" s="15"/>
      <c r="X66" s="13" t="s">
        <v>423</v>
      </c>
      <c r="Y66" s="13">
        <v>132300</v>
      </c>
      <c r="Z66" s="13">
        <v>200.87</v>
      </c>
      <c r="AA66" s="13">
        <v>-0.9597</v>
      </c>
      <c r="AB66" s="18">
        <v>1.9532999999999998E-3</v>
      </c>
      <c r="AC66" s="18"/>
      <c r="AD66" s="142" t="s">
        <v>216</v>
      </c>
      <c r="AE66" s="13" t="s">
        <v>483</v>
      </c>
      <c r="AF66" s="150">
        <v>0.21970000000000001</v>
      </c>
      <c r="AG66" s="147">
        <f>-2.505/10000</f>
        <v>-2.5049999999999996E-4</v>
      </c>
      <c r="AH66" s="13"/>
      <c r="AI66" s="18"/>
      <c r="AJ66" s="7"/>
      <c r="AK66" s="84"/>
      <c r="AL66" s="181">
        <v>-87</v>
      </c>
      <c r="AM66" s="178">
        <v>263</v>
      </c>
      <c r="AN66" s="177">
        <v>-87</v>
      </c>
      <c r="AO66" s="178">
        <v>263</v>
      </c>
      <c r="AP66" s="179">
        <v>-87</v>
      </c>
      <c r="AQ66" s="180">
        <v>100</v>
      </c>
      <c r="AR66" s="179">
        <v>-87</v>
      </c>
      <c r="AS66" s="180">
        <v>80</v>
      </c>
    </row>
    <row r="67" spans="1:45" ht="12" customHeight="1" thickBot="1" x14ac:dyDescent="0.25">
      <c r="A67" s="232"/>
      <c r="E67" s="35"/>
      <c r="I67" s="6"/>
      <c r="J67" s="142" t="s">
        <v>217</v>
      </c>
      <c r="K67" s="135" t="s">
        <v>287</v>
      </c>
      <c r="L67" s="135">
        <v>0.71687000000000001</v>
      </c>
      <c r="M67" s="135">
        <v>0.26452999999999999</v>
      </c>
      <c r="N67" s="135">
        <v>574.6</v>
      </c>
      <c r="O67" s="135">
        <v>0.28917999999999999</v>
      </c>
      <c r="P67" s="136">
        <v>100.15900000000001</v>
      </c>
      <c r="Q67" s="135" t="s">
        <v>357</v>
      </c>
      <c r="R67" s="135">
        <v>-11.394</v>
      </c>
      <c r="S67" s="135">
        <v>1168.7</v>
      </c>
      <c r="T67" s="135">
        <v>-7.5389999999999997E-3</v>
      </c>
      <c r="U67" s="134"/>
      <c r="V67" s="134"/>
      <c r="W67" s="137"/>
      <c r="X67" s="135" t="s">
        <v>424</v>
      </c>
      <c r="Y67" s="135">
        <v>183650</v>
      </c>
      <c r="Z67" s="135">
        <v>-79.861999999999995</v>
      </c>
      <c r="AA67" s="135">
        <v>0.60768999999999995</v>
      </c>
      <c r="AB67" s="134"/>
      <c r="AC67" s="134"/>
      <c r="AD67" s="142" t="s">
        <v>217</v>
      </c>
      <c r="AE67" s="135" t="s">
        <v>484</v>
      </c>
      <c r="AF67" s="150">
        <v>0.2301</v>
      </c>
      <c r="AG67" s="148">
        <f>-2.8899/10000</f>
        <v>-2.8898999999999998E-4</v>
      </c>
      <c r="AH67" s="135"/>
      <c r="AI67" s="134"/>
      <c r="AJ67" s="7"/>
      <c r="AK67" s="84"/>
      <c r="AL67" s="181">
        <v>-84</v>
      </c>
      <c r="AM67" s="178">
        <v>301</v>
      </c>
      <c r="AN67" s="177">
        <v>-84</v>
      </c>
      <c r="AO67" s="178">
        <v>116</v>
      </c>
      <c r="AP67" s="179">
        <v>-84</v>
      </c>
      <c r="AQ67" s="180">
        <v>116</v>
      </c>
      <c r="AR67" s="179">
        <v>-84</v>
      </c>
      <c r="AS67" s="180">
        <v>178</v>
      </c>
    </row>
    <row r="68" spans="1:45" ht="18" customHeight="1" x14ac:dyDescent="0.2">
      <c r="A68" s="232"/>
      <c r="C68" s="230" t="s">
        <v>75</v>
      </c>
      <c r="D68" s="231"/>
      <c r="I68" s="6"/>
      <c r="J68" s="142" t="s">
        <v>218</v>
      </c>
      <c r="K68" s="13" t="s">
        <v>288</v>
      </c>
      <c r="L68" s="13">
        <v>0.68901999999999997</v>
      </c>
      <c r="M68" s="13">
        <v>0.26085999999999998</v>
      </c>
      <c r="N68" s="13">
        <v>617</v>
      </c>
      <c r="O68" s="13">
        <v>0.27478999999999998</v>
      </c>
      <c r="P68" s="71">
        <v>106.16500000000001</v>
      </c>
      <c r="Q68" s="13" t="s">
        <v>358</v>
      </c>
      <c r="R68" s="13">
        <v>-11.91</v>
      </c>
      <c r="S68" s="13">
        <v>1094.9000000000001</v>
      </c>
      <c r="T68" s="13">
        <v>0.13825000000000001</v>
      </c>
      <c r="U68" s="18"/>
      <c r="V68" s="18"/>
      <c r="W68" s="15"/>
      <c r="X68" s="13" t="s">
        <v>425</v>
      </c>
      <c r="Y68" s="13">
        <v>133860</v>
      </c>
      <c r="Z68" s="13">
        <v>78754</v>
      </c>
      <c r="AA68" s="13">
        <v>0.52264999999999995</v>
      </c>
      <c r="AB68" s="18"/>
      <c r="AC68" s="18"/>
      <c r="AD68" s="142" t="s">
        <v>218</v>
      </c>
      <c r="AE68" s="13" t="s">
        <v>440</v>
      </c>
      <c r="AF68" s="149">
        <v>0.20044000000000001</v>
      </c>
      <c r="AG68" s="148">
        <f>-2.3544/10000</f>
        <v>-2.3544000000000001E-4</v>
      </c>
      <c r="AH68" s="13"/>
      <c r="AI68" s="18"/>
      <c r="AJ68" s="7"/>
      <c r="AK68" s="84"/>
      <c r="AL68" s="181">
        <v>-48</v>
      </c>
      <c r="AM68" s="178">
        <v>344</v>
      </c>
      <c r="AN68" s="177">
        <v>-48</v>
      </c>
      <c r="AO68" s="178">
        <v>140</v>
      </c>
      <c r="AP68" s="179">
        <v>-56</v>
      </c>
      <c r="AQ68" s="180">
        <v>267</v>
      </c>
      <c r="AR68" s="179">
        <v>-48</v>
      </c>
      <c r="AS68" s="180">
        <v>140</v>
      </c>
    </row>
    <row r="69" spans="1:45" ht="19.5" customHeight="1" x14ac:dyDescent="0.2">
      <c r="A69" s="232"/>
      <c r="C69" s="112">
        <f>AE11</f>
        <v>2.8352734676763611E-2</v>
      </c>
      <c r="D69" s="110" t="s">
        <v>76</v>
      </c>
      <c r="I69" s="6"/>
      <c r="J69" s="142" t="s">
        <v>219</v>
      </c>
      <c r="K69" s="135" t="s">
        <v>289</v>
      </c>
      <c r="L69" s="135">
        <v>0.46321000000000001</v>
      </c>
      <c r="M69" s="135">
        <v>0.25444</v>
      </c>
      <c r="N69" s="135">
        <v>594.6</v>
      </c>
      <c r="O69" s="135">
        <v>0.28571000000000002</v>
      </c>
      <c r="P69" s="136">
        <v>128.255</v>
      </c>
      <c r="Q69" s="135" t="s">
        <v>359</v>
      </c>
      <c r="R69" s="135">
        <v>-68.540000000000006</v>
      </c>
      <c r="S69" s="135">
        <v>3165.3</v>
      </c>
      <c r="T69" s="135">
        <v>9.0919000000000008</v>
      </c>
      <c r="U69" s="134"/>
      <c r="V69" s="134"/>
      <c r="W69" s="137"/>
      <c r="X69" s="135" t="s">
        <v>426</v>
      </c>
      <c r="Y69" s="135">
        <v>383080</v>
      </c>
      <c r="Z69" s="135">
        <v>-1139.8</v>
      </c>
      <c r="AA69" s="135">
        <v>2.7101000000000002</v>
      </c>
      <c r="AB69" s="134"/>
      <c r="AC69" s="134"/>
      <c r="AD69" s="142" t="s">
        <v>219</v>
      </c>
      <c r="AE69" s="135" t="s">
        <v>486</v>
      </c>
      <c r="AF69" s="155">
        <v>0.20899999999999999</v>
      </c>
      <c r="AG69" s="146">
        <f>-2.64/10000</f>
        <v>-2.6400000000000002E-4</v>
      </c>
      <c r="AH69" s="135"/>
      <c r="AI69" s="141"/>
      <c r="AJ69" s="7"/>
      <c r="AK69" s="84"/>
      <c r="AL69" s="181">
        <v>-53</v>
      </c>
      <c r="AM69" s="178">
        <v>321</v>
      </c>
      <c r="AN69" s="177">
        <v>-55</v>
      </c>
      <c r="AO69" s="178">
        <v>320</v>
      </c>
      <c r="AP69" s="179">
        <v>-53</v>
      </c>
      <c r="AQ69" s="180">
        <v>52</v>
      </c>
      <c r="AR69" s="179">
        <v>-53</v>
      </c>
      <c r="AS69" s="180">
        <v>151</v>
      </c>
    </row>
    <row r="70" spans="1:45" ht="20.25" customHeight="1" thickBot="1" x14ac:dyDescent="0.3">
      <c r="A70" s="232"/>
      <c r="C70" s="8" t="s">
        <v>40</v>
      </c>
      <c r="D70" s="99" t="str">
        <f>IF(D15="","",IF(D15="Air","-203 to 1727",IF(D15="Water","0 to 360","")))</f>
        <v>-203 to 1727</v>
      </c>
      <c r="E70" s="224" t="str">
        <f>IF(D$17&lt;AR10,"   Temperature is below range.",IF(D$17&gt;AS10,"  Temperature is above range.",""))</f>
        <v/>
      </c>
      <c r="F70" s="225"/>
      <c r="G70" s="225"/>
      <c r="H70" s="225"/>
      <c r="I70" s="6"/>
      <c r="J70" s="142" t="s">
        <v>220</v>
      </c>
      <c r="K70" s="13" t="s">
        <v>290</v>
      </c>
      <c r="L70" s="13">
        <v>0.52659999999999996</v>
      </c>
      <c r="M70" s="13">
        <v>0.25692999999999999</v>
      </c>
      <c r="N70" s="13">
        <v>568.70000000000005</v>
      </c>
      <c r="O70" s="13">
        <v>0.28571000000000002</v>
      </c>
      <c r="P70" s="71">
        <v>114.229</v>
      </c>
      <c r="Q70" s="13" t="s">
        <v>360</v>
      </c>
      <c r="R70" s="13">
        <v>-7.556</v>
      </c>
      <c r="S70" s="13">
        <v>881.09</v>
      </c>
      <c r="T70" s="13">
        <v>-0.52502000000000004</v>
      </c>
      <c r="U70" s="18">
        <f>4.6342*1E+22</f>
        <v>4.6342000000000003E+22</v>
      </c>
      <c r="V70" s="13">
        <v>-10</v>
      </c>
      <c r="W70" s="15"/>
      <c r="X70" s="13" t="s">
        <v>427</v>
      </c>
      <c r="Y70" s="13">
        <v>224830</v>
      </c>
      <c r="Z70" s="13">
        <v>-186.63</v>
      </c>
      <c r="AA70" s="13">
        <v>0.95891000000000004</v>
      </c>
      <c r="AB70" s="18"/>
      <c r="AC70" s="13"/>
      <c r="AD70" s="142" t="s">
        <v>220</v>
      </c>
      <c r="AE70" s="13" t="s">
        <v>487</v>
      </c>
      <c r="AF70" s="150">
        <v>0.21560000000000001</v>
      </c>
      <c r="AG70" s="148">
        <f>-2.9483/10000</f>
        <v>-2.9482999999999999E-4</v>
      </c>
      <c r="AH70" s="13"/>
      <c r="AI70" s="18"/>
      <c r="AJ70" s="10"/>
      <c r="AK70" s="84"/>
      <c r="AL70" s="181">
        <v>-57</v>
      </c>
      <c r="AM70" s="178">
        <v>296</v>
      </c>
      <c r="AN70" s="177">
        <v>-62</v>
      </c>
      <c r="AO70" s="178">
        <v>182</v>
      </c>
      <c r="AP70" s="179">
        <v>-57</v>
      </c>
      <c r="AQ70" s="180">
        <v>187</v>
      </c>
      <c r="AR70" s="179">
        <v>-57</v>
      </c>
      <c r="AS70" s="180">
        <v>126</v>
      </c>
    </row>
    <row r="71" spans="1:45" ht="17.100000000000001" customHeight="1" x14ac:dyDescent="0.2">
      <c r="A71" s="232"/>
      <c r="F71" s="223"/>
      <c r="G71" s="223"/>
      <c r="I71" s="6"/>
      <c r="J71" s="142" t="s">
        <v>221</v>
      </c>
      <c r="K71" s="135" t="s">
        <v>291</v>
      </c>
      <c r="L71" s="135">
        <v>0.48250999999999999</v>
      </c>
      <c r="M71" s="135">
        <v>0.25196000000000002</v>
      </c>
      <c r="N71" s="135">
        <v>694.26</v>
      </c>
      <c r="O71" s="135">
        <v>0.26841999999999999</v>
      </c>
      <c r="P71" s="136">
        <v>144.21100000000001</v>
      </c>
      <c r="Q71" s="135" t="s">
        <v>361</v>
      </c>
      <c r="R71" s="135">
        <v>-60.795000000000002</v>
      </c>
      <c r="S71" s="135">
        <v>4617.8</v>
      </c>
      <c r="T71" s="135">
        <v>7.0279999999999996</v>
      </c>
      <c r="U71" s="134"/>
      <c r="V71" s="134"/>
      <c r="W71" s="137"/>
      <c r="X71" s="135" t="s">
        <v>428</v>
      </c>
      <c r="Y71" s="135">
        <v>205260</v>
      </c>
      <c r="Z71" s="135">
        <v>44.392000000000003</v>
      </c>
      <c r="AA71" s="135">
        <v>0.89559999999999995</v>
      </c>
      <c r="AB71" s="134"/>
      <c r="AC71" s="134"/>
      <c r="AD71" s="142" t="s">
        <v>221</v>
      </c>
      <c r="AE71" s="135" t="s">
        <v>361</v>
      </c>
      <c r="AF71" s="155">
        <v>0.20300000000000001</v>
      </c>
      <c r="AG71" s="153">
        <f>-2/10000</f>
        <v>-2.0000000000000001E-4</v>
      </c>
      <c r="AH71" s="135"/>
      <c r="AI71" s="134"/>
      <c r="AJ71" s="7"/>
      <c r="AK71" s="84"/>
      <c r="AL71" s="181">
        <v>17</v>
      </c>
      <c r="AM71" s="178">
        <v>421</v>
      </c>
      <c r="AN71" s="177">
        <v>17</v>
      </c>
      <c r="AO71" s="178">
        <v>240</v>
      </c>
      <c r="AP71" s="179">
        <v>17</v>
      </c>
      <c r="AQ71" s="180">
        <v>239</v>
      </c>
      <c r="AR71" s="179">
        <v>17</v>
      </c>
      <c r="AS71" s="180">
        <v>240</v>
      </c>
    </row>
    <row r="72" spans="1:45" ht="17.100000000000001" customHeight="1" x14ac:dyDescent="0.2">
      <c r="A72" s="232"/>
      <c r="C72" s="229" t="s">
        <v>4</v>
      </c>
      <c r="D72" s="229"/>
      <c r="I72" s="6"/>
      <c r="J72" s="142" t="s">
        <v>222</v>
      </c>
      <c r="K72" s="13" t="s">
        <v>292</v>
      </c>
      <c r="L72" s="13">
        <v>0.69962000000000002</v>
      </c>
      <c r="M72" s="13">
        <v>0.26143</v>
      </c>
      <c r="N72" s="13">
        <v>630.29999999999995</v>
      </c>
      <c r="O72" s="13">
        <v>0.27365</v>
      </c>
      <c r="P72" s="71">
        <v>106.16500000000001</v>
      </c>
      <c r="Q72" s="13" t="s">
        <v>362</v>
      </c>
      <c r="R72" s="13">
        <v>-15.489000000000001</v>
      </c>
      <c r="S72" s="13">
        <v>1393.5</v>
      </c>
      <c r="T72" s="13">
        <v>0.63710999999999995</v>
      </c>
      <c r="U72" s="18"/>
      <c r="V72" s="18"/>
      <c r="W72" s="15"/>
      <c r="X72" s="13" t="s">
        <v>429</v>
      </c>
      <c r="Y72" s="13">
        <v>36500</v>
      </c>
      <c r="Z72" s="13">
        <v>1017.5</v>
      </c>
      <c r="AA72" s="13">
        <v>-2.63</v>
      </c>
      <c r="AB72" s="18">
        <v>3.0200000000000001E-3</v>
      </c>
      <c r="AC72" s="18"/>
      <c r="AD72" s="142" t="s">
        <v>222</v>
      </c>
      <c r="AE72" s="13" t="s">
        <v>429</v>
      </c>
      <c r="AF72" s="149">
        <v>0.19989000000000001</v>
      </c>
      <c r="AG72" s="147">
        <f>-2.299/10000</f>
        <v>-2.299E-4</v>
      </c>
      <c r="AH72" s="13"/>
      <c r="AI72" s="18"/>
      <c r="AJ72" s="7"/>
      <c r="AK72" s="84"/>
      <c r="AL72" s="181">
        <v>-25</v>
      </c>
      <c r="AM72" s="178">
        <v>357</v>
      </c>
      <c r="AN72" s="177">
        <v>-25</v>
      </c>
      <c r="AO72" s="178">
        <v>145</v>
      </c>
      <c r="AP72" s="179">
        <v>-25</v>
      </c>
      <c r="AQ72" s="180">
        <v>144</v>
      </c>
      <c r="AR72" s="179">
        <v>-25</v>
      </c>
      <c r="AS72" s="180">
        <v>144</v>
      </c>
    </row>
    <row r="73" spans="1:45" ht="15" customHeight="1" thickBot="1" x14ac:dyDescent="0.3">
      <c r="A73" s="232"/>
      <c r="E73" s="85" t="s">
        <v>529</v>
      </c>
      <c r="I73" s="6"/>
      <c r="J73" s="142" t="s">
        <v>223</v>
      </c>
      <c r="K73" s="135" t="s">
        <v>293</v>
      </c>
      <c r="L73" s="135">
        <v>0.25141999999999998</v>
      </c>
      <c r="M73" s="135">
        <v>0.23837</v>
      </c>
      <c r="N73" s="135">
        <v>708</v>
      </c>
      <c r="O73" s="135">
        <v>0.28571000000000002</v>
      </c>
      <c r="P73" s="136">
        <v>212.41499999999999</v>
      </c>
      <c r="Q73" s="135" t="s">
        <v>363</v>
      </c>
      <c r="R73" s="135">
        <v>-19.298999999999999</v>
      </c>
      <c r="S73" s="135">
        <v>2088.6</v>
      </c>
      <c r="T73" s="135">
        <v>1.1091</v>
      </c>
      <c r="U73" s="134"/>
      <c r="V73" s="134"/>
      <c r="W73" s="137"/>
      <c r="X73" s="135" t="s">
        <v>363</v>
      </c>
      <c r="Y73" s="135">
        <v>346910</v>
      </c>
      <c r="Z73" s="135">
        <v>219.54</v>
      </c>
      <c r="AA73" s="135">
        <v>0.65632000000000001</v>
      </c>
      <c r="AB73" s="134"/>
      <c r="AC73" s="134"/>
      <c r="AD73" s="142" t="s">
        <v>223</v>
      </c>
      <c r="AE73" s="135" t="s">
        <v>363</v>
      </c>
      <c r="AF73" s="149">
        <v>0.20649000000000001</v>
      </c>
      <c r="AG73" s="148">
        <f>-2.1911/10000</f>
        <v>-2.1911000000000001E-4</v>
      </c>
      <c r="AH73" s="135"/>
      <c r="AI73" s="134"/>
      <c r="AJ73" s="7"/>
      <c r="AK73" s="84"/>
      <c r="AL73" s="181">
        <v>10</v>
      </c>
      <c r="AM73" s="178">
        <v>436</v>
      </c>
      <c r="AN73" s="177">
        <v>10</v>
      </c>
      <c r="AO73" s="178">
        <v>271</v>
      </c>
      <c r="AP73" s="179">
        <v>10</v>
      </c>
      <c r="AQ73" s="180">
        <v>271</v>
      </c>
      <c r="AR73" s="179">
        <v>10</v>
      </c>
      <c r="AS73" s="180">
        <v>271</v>
      </c>
    </row>
    <row r="74" spans="1:45" ht="18.75" customHeight="1" x14ac:dyDescent="0.25">
      <c r="A74" s="232"/>
      <c r="C74" s="230" t="s">
        <v>77</v>
      </c>
      <c r="D74" s="231"/>
      <c r="E74" s="85" t="s">
        <v>532</v>
      </c>
      <c r="I74" s="6"/>
      <c r="J74" s="142" t="s">
        <v>224</v>
      </c>
      <c r="K74" s="13" t="s">
        <v>294</v>
      </c>
      <c r="L74" s="13">
        <v>0.84946999999999995</v>
      </c>
      <c r="M74" s="13">
        <v>0.26726</v>
      </c>
      <c r="N74" s="13">
        <v>469.7</v>
      </c>
      <c r="O74" s="13">
        <v>0.27789000000000003</v>
      </c>
      <c r="P74" s="71">
        <v>72.149000000000001</v>
      </c>
      <c r="Q74" s="13" t="s">
        <v>364</v>
      </c>
      <c r="R74" s="13">
        <v>-53.509</v>
      </c>
      <c r="S74" s="13">
        <v>1836.6</v>
      </c>
      <c r="T74" s="13">
        <v>7.1409000000000002</v>
      </c>
      <c r="U74" s="116">
        <v>-1.9627E-5</v>
      </c>
      <c r="V74" s="13">
        <v>2</v>
      </c>
      <c r="W74" s="15"/>
      <c r="X74" s="13" t="s">
        <v>430</v>
      </c>
      <c r="Y74" s="13">
        <v>159080</v>
      </c>
      <c r="Z74" s="13">
        <v>-270.5</v>
      </c>
      <c r="AA74" s="13">
        <v>0.99536999999999998</v>
      </c>
      <c r="AB74" s="116"/>
      <c r="AC74" s="13"/>
      <c r="AD74" s="142" t="s">
        <v>224</v>
      </c>
      <c r="AE74" s="13" t="s">
        <v>488</v>
      </c>
      <c r="AF74" s="150">
        <v>0.25369999999999998</v>
      </c>
      <c r="AG74" s="146">
        <f>-5.76/10000</f>
        <v>-5.7600000000000001E-4</v>
      </c>
      <c r="AH74" s="135">
        <f>3.44/10000000</f>
        <v>3.4400000000000001E-7</v>
      </c>
      <c r="AI74" s="116"/>
      <c r="AJ74" s="10"/>
      <c r="AK74" s="84"/>
      <c r="AL74" s="181">
        <v>-130</v>
      </c>
      <c r="AM74" s="178">
        <v>197</v>
      </c>
      <c r="AN74" s="177">
        <v>-130</v>
      </c>
      <c r="AO74" s="178">
        <v>192</v>
      </c>
      <c r="AP74" s="179">
        <v>-130</v>
      </c>
      <c r="AQ74" s="180">
        <v>117</v>
      </c>
      <c r="AR74" s="179">
        <v>-130</v>
      </c>
      <c r="AS74" s="180">
        <v>172</v>
      </c>
    </row>
    <row r="75" spans="1:45" ht="15" customHeight="1" x14ac:dyDescent="0.25">
      <c r="A75" s="232"/>
      <c r="C75" s="9"/>
      <c r="D75" s="10"/>
      <c r="E75" s="85" t="s">
        <v>533</v>
      </c>
      <c r="I75" s="6"/>
      <c r="J75" s="142" t="s">
        <v>225</v>
      </c>
      <c r="K75" s="135" t="s">
        <v>295</v>
      </c>
      <c r="L75" s="135">
        <v>1.3797999999999999</v>
      </c>
      <c r="M75" s="135">
        <v>0.31597999999999998</v>
      </c>
      <c r="N75" s="135">
        <v>694.25</v>
      </c>
      <c r="O75" s="135">
        <v>0.32768000000000003</v>
      </c>
      <c r="P75" s="136">
        <v>94.111000000000004</v>
      </c>
      <c r="Q75" s="135" t="s">
        <v>365</v>
      </c>
      <c r="R75" s="135">
        <v>-43.335000000000001</v>
      </c>
      <c r="S75" s="135">
        <v>3881.7</v>
      </c>
      <c r="T75" s="135">
        <v>4.3982999999999999</v>
      </c>
      <c r="U75" s="134">
        <f>3.0548*1E+24</f>
        <v>3.0548000000000002E+24</v>
      </c>
      <c r="V75" s="135">
        <v>-10</v>
      </c>
      <c r="W75" s="137"/>
      <c r="X75" s="135" t="s">
        <v>431</v>
      </c>
      <c r="Y75" s="135">
        <v>101720</v>
      </c>
      <c r="Z75" s="135">
        <v>317.61</v>
      </c>
      <c r="AA75" s="135"/>
      <c r="AB75" s="134"/>
      <c r="AC75" s="135"/>
      <c r="AD75" s="142" t="s">
        <v>225</v>
      </c>
      <c r="AE75" s="135" t="s">
        <v>489</v>
      </c>
      <c r="AF75" s="149">
        <v>0.18831000000000001</v>
      </c>
      <c r="AG75" s="153">
        <f>-1/10000</f>
        <v>-1E-4</v>
      </c>
      <c r="AH75" s="159"/>
      <c r="AI75" s="134"/>
      <c r="AJ75" s="10"/>
      <c r="AK75" s="84"/>
      <c r="AL75" s="181">
        <v>41</v>
      </c>
      <c r="AM75" s="178">
        <v>421</v>
      </c>
      <c r="AN75" s="177">
        <v>18</v>
      </c>
      <c r="AO75" s="178">
        <v>282</v>
      </c>
      <c r="AP75" s="179">
        <v>41</v>
      </c>
      <c r="AQ75" s="180">
        <v>152</v>
      </c>
      <c r="AR75" s="179">
        <v>41</v>
      </c>
      <c r="AS75" s="180">
        <v>182</v>
      </c>
    </row>
    <row r="76" spans="1:45" ht="17.100000000000001" customHeight="1" thickBot="1" x14ac:dyDescent="0.3">
      <c r="A76" s="232"/>
      <c r="C76" s="72" t="s">
        <v>78</v>
      </c>
      <c r="D76" s="22"/>
      <c r="E76" s="85" t="s">
        <v>534</v>
      </c>
      <c r="I76" s="6"/>
      <c r="J76" s="142" t="s">
        <v>226</v>
      </c>
      <c r="K76" s="13" t="s">
        <v>296</v>
      </c>
      <c r="L76" s="13">
        <v>0.5393</v>
      </c>
      <c r="M76" s="13">
        <v>0.22703999999999999</v>
      </c>
      <c r="N76" s="13">
        <v>791</v>
      </c>
      <c r="O76" s="13">
        <v>0.248</v>
      </c>
      <c r="P76" s="71">
        <v>148.11600000000001</v>
      </c>
      <c r="Q76" s="13" t="s">
        <v>366</v>
      </c>
      <c r="R76" s="13">
        <v>195.25</v>
      </c>
      <c r="S76" s="13">
        <v>-11072</v>
      </c>
      <c r="T76" s="13">
        <v>-29.084</v>
      </c>
      <c r="U76" s="18"/>
      <c r="V76" s="18"/>
      <c r="W76" s="15"/>
      <c r="X76" s="13" t="s">
        <v>366</v>
      </c>
      <c r="Y76" s="13">
        <v>145400</v>
      </c>
      <c r="Z76" s="13">
        <v>252.4</v>
      </c>
      <c r="AA76" s="13"/>
      <c r="AB76" s="18"/>
      <c r="AC76" s="18"/>
      <c r="AD76" s="142" t="s">
        <v>226</v>
      </c>
      <c r="AE76" s="13" t="s">
        <v>366</v>
      </c>
      <c r="AF76" s="150">
        <v>0.22946</v>
      </c>
      <c r="AG76" s="148">
        <f>-2.1345/10000</f>
        <v>-2.1345000000000001E-4</v>
      </c>
      <c r="AH76" s="135"/>
      <c r="AI76" s="18"/>
      <c r="AJ76" s="7"/>
      <c r="AK76" s="84"/>
      <c r="AL76" s="181">
        <v>131</v>
      </c>
      <c r="AM76" s="178">
        <v>518</v>
      </c>
      <c r="AN76" s="177">
        <v>131</v>
      </c>
      <c r="AO76" s="178">
        <v>285</v>
      </c>
      <c r="AP76" s="179">
        <v>131</v>
      </c>
      <c r="AQ76" s="180">
        <v>285</v>
      </c>
      <c r="AR76" s="179">
        <v>131</v>
      </c>
      <c r="AS76" s="180">
        <v>285</v>
      </c>
    </row>
    <row r="77" spans="1:45" ht="17.100000000000001" customHeight="1" x14ac:dyDescent="0.2">
      <c r="A77" s="232"/>
      <c r="I77" s="6"/>
      <c r="J77" s="142" t="s">
        <v>227</v>
      </c>
      <c r="K77" s="135" t="s">
        <v>297</v>
      </c>
      <c r="L77" s="135">
        <v>1.0969</v>
      </c>
      <c r="M77" s="135">
        <v>0.25568000000000002</v>
      </c>
      <c r="N77" s="135">
        <v>600.80999999999995</v>
      </c>
      <c r="O77" s="135">
        <v>0.26856999999999998</v>
      </c>
      <c r="P77" s="136">
        <v>74.078999999999994</v>
      </c>
      <c r="Q77" s="135" t="s">
        <v>367</v>
      </c>
      <c r="R77" s="135">
        <v>-23.931999999999999</v>
      </c>
      <c r="S77" s="135">
        <v>1834.6</v>
      </c>
      <c r="T77" s="135">
        <v>1.9124000000000001</v>
      </c>
      <c r="U77" s="134"/>
      <c r="V77" s="134"/>
      <c r="W77" s="137"/>
      <c r="X77" s="135" t="s">
        <v>367</v>
      </c>
      <c r="Y77" s="135">
        <v>213660</v>
      </c>
      <c r="Z77" s="135">
        <v>-702.7</v>
      </c>
      <c r="AA77" s="135">
        <v>1.6605000000000001</v>
      </c>
      <c r="AB77" s="134"/>
      <c r="AC77" s="134"/>
      <c r="AD77" s="142" t="s">
        <v>227</v>
      </c>
      <c r="AE77" s="135" t="s">
        <v>490</v>
      </c>
      <c r="AF77" s="150">
        <v>0.19539999999999999</v>
      </c>
      <c r="AG77" s="146">
        <f>-1.64/10000</f>
        <v>-1.64E-4</v>
      </c>
      <c r="AH77" s="135"/>
      <c r="AI77" s="134"/>
      <c r="AJ77" s="7"/>
      <c r="AK77" s="84"/>
      <c r="AL77" s="181">
        <v>-21</v>
      </c>
      <c r="AM77" s="178">
        <v>328</v>
      </c>
      <c r="AN77" s="177">
        <v>-21</v>
      </c>
      <c r="AO77" s="178">
        <v>141</v>
      </c>
      <c r="AP77" s="179">
        <v>-21</v>
      </c>
      <c r="AQ77" s="180">
        <v>141</v>
      </c>
      <c r="AR77" s="179">
        <v>-21</v>
      </c>
      <c r="AS77" s="180">
        <v>270</v>
      </c>
    </row>
    <row r="78" spans="1:45" ht="18.75" customHeight="1" x14ac:dyDescent="0.25">
      <c r="A78" s="232"/>
      <c r="C78" s="11" t="s">
        <v>79</v>
      </c>
      <c r="D78" s="190">
        <f>IF(D15="Other Fluid",D76,C69)</f>
        <v>2.8352734676763611E-2</v>
      </c>
      <c r="E78" s="73" t="s">
        <v>76</v>
      </c>
      <c r="F78" s="85" t="str">
        <f>IF(D$15="Other Fluid","     (manual entry)","     (from menu selection)")</f>
        <v xml:space="preserve">     (from menu selection)</v>
      </c>
      <c r="I78" s="6"/>
      <c r="J78" s="142" t="s">
        <v>228</v>
      </c>
      <c r="K78" s="13" t="s">
        <v>298</v>
      </c>
      <c r="L78" s="13">
        <v>0.57233000000000001</v>
      </c>
      <c r="M78" s="13">
        <v>0.25170999999999999</v>
      </c>
      <c r="N78" s="13">
        <v>638.35</v>
      </c>
      <c r="O78" s="13">
        <v>0.29615999999999998</v>
      </c>
      <c r="P78" s="71">
        <v>120.19199999999999</v>
      </c>
      <c r="Q78" s="13" t="s">
        <v>368</v>
      </c>
      <c r="R78" s="13">
        <v>-18.282</v>
      </c>
      <c r="S78" s="13">
        <v>1549.7</v>
      </c>
      <c r="T78" s="13">
        <v>1.0454000000000001</v>
      </c>
      <c r="U78" s="13"/>
      <c r="V78" s="18"/>
      <c r="W78" s="15"/>
      <c r="X78" s="13" t="s">
        <v>432</v>
      </c>
      <c r="Y78" s="13">
        <v>174380</v>
      </c>
      <c r="Z78" s="13">
        <v>-101.8</v>
      </c>
      <c r="AA78" s="13">
        <v>0.79</v>
      </c>
      <c r="AB78" s="13"/>
      <c r="AC78" s="18"/>
      <c r="AD78" s="142" t="s">
        <v>228</v>
      </c>
      <c r="AE78" s="13" t="s">
        <v>491</v>
      </c>
      <c r="AF78" s="149">
        <v>0.18706999999999999</v>
      </c>
      <c r="AG78" s="148">
        <f>-1.9846/10000</f>
        <v>-1.9845999999999999E-4</v>
      </c>
      <c r="AH78" s="13"/>
      <c r="AI78" s="13"/>
      <c r="AJ78" s="7"/>
      <c r="AK78" s="84"/>
      <c r="AL78" s="181">
        <v>-99</v>
      </c>
      <c r="AM78" s="178">
        <v>365</v>
      </c>
      <c r="AN78" s="177">
        <v>-73</v>
      </c>
      <c r="AO78" s="178">
        <v>159</v>
      </c>
      <c r="AP78" s="179">
        <v>-99</v>
      </c>
      <c r="AQ78" s="180">
        <v>159</v>
      </c>
      <c r="AR78" s="179">
        <v>-100</v>
      </c>
      <c r="AS78" s="180">
        <v>310</v>
      </c>
    </row>
    <row r="79" spans="1:45" ht="18.75" customHeight="1" x14ac:dyDescent="0.2">
      <c r="A79" s="232"/>
      <c r="C79" t="s">
        <v>80</v>
      </c>
      <c r="I79" s="6"/>
      <c r="J79" s="142" t="s">
        <v>229</v>
      </c>
      <c r="K79" s="135" t="s">
        <v>299</v>
      </c>
      <c r="L79" s="135">
        <v>0.67752000000000001</v>
      </c>
      <c r="M79" s="135">
        <v>0.25886999999999999</v>
      </c>
      <c r="N79" s="135">
        <v>616.20000000000005</v>
      </c>
      <c r="O79" s="135">
        <v>0.27595999999999998</v>
      </c>
      <c r="P79" s="136">
        <v>106.16500000000001</v>
      </c>
      <c r="Q79" s="135" t="s">
        <v>369</v>
      </c>
      <c r="R79" s="135">
        <v>-7.3810000000000002</v>
      </c>
      <c r="S79" s="135">
        <v>911.7</v>
      </c>
      <c r="T79" s="135">
        <v>-0.54152</v>
      </c>
      <c r="U79" s="134"/>
      <c r="V79" s="134"/>
      <c r="W79" s="137"/>
      <c r="X79" s="135" t="s">
        <v>433</v>
      </c>
      <c r="Y79" s="135">
        <v>-35500</v>
      </c>
      <c r="Z79" s="135">
        <v>1287.2</v>
      </c>
      <c r="AA79" s="135">
        <v>-2.5990000000000002</v>
      </c>
      <c r="AB79" s="134">
        <v>2.4260000000000002E-3</v>
      </c>
      <c r="AC79" s="134"/>
      <c r="AD79" s="142" t="s">
        <v>229</v>
      </c>
      <c r="AE79" s="135" t="s">
        <v>369</v>
      </c>
      <c r="AF79" s="149">
        <v>0.20003000000000001</v>
      </c>
      <c r="AG79" s="148">
        <f>-2.3573/10000</f>
        <v>-2.3572999999999999E-4</v>
      </c>
      <c r="AH79" s="135"/>
      <c r="AI79" s="134"/>
      <c r="AJ79" s="7"/>
      <c r="AK79" s="84"/>
      <c r="AL79" s="181">
        <v>13</v>
      </c>
      <c r="AM79" s="178">
        <v>343</v>
      </c>
      <c r="AN79" s="177">
        <v>13</v>
      </c>
      <c r="AO79" s="178">
        <v>140</v>
      </c>
      <c r="AP79" s="179">
        <v>13</v>
      </c>
      <c r="AQ79" s="180">
        <v>327</v>
      </c>
      <c r="AR79" s="179">
        <v>13</v>
      </c>
      <c r="AS79" s="180">
        <v>140</v>
      </c>
    </row>
    <row r="80" spans="1:45" ht="17.100000000000001" customHeight="1" x14ac:dyDescent="0.2">
      <c r="A80" s="232"/>
      <c r="I80" s="6"/>
      <c r="J80" s="142" t="s">
        <v>230</v>
      </c>
      <c r="K80" s="13" t="s">
        <v>300</v>
      </c>
      <c r="L80" s="13">
        <v>0.73970000000000002</v>
      </c>
      <c r="M80" s="13">
        <v>0.26029999999999998</v>
      </c>
      <c r="N80" s="13">
        <v>636</v>
      </c>
      <c r="O80" s="13">
        <v>0.3009</v>
      </c>
      <c r="P80" s="71">
        <v>104.149</v>
      </c>
      <c r="Q80" s="13" t="s">
        <v>370</v>
      </c>
      <c r="R80" s="13">
        <v>-22.675000000000001</v>
      </c>
      <c r="S80" s="13">
        <v>1758</v>
      </c>
      <c r="T80" s="13">
        <v>1.6700999999999999</v>
      </c>
      <c r="U80" s="18"/>
      <c r="V80" s="18"/>
      <c r="W80" s="15"/>
      <c r="X80" s="13" t="s">
        <v>434</v>
      </c>
      <c r="Y80" s="13">
        <v>113340</v>
      </c>
      <c r="Z80" s="13">
        <v>290.2</v>
      </c>
      <c r="AA80" s="13">
        <v>-0.60509999999999997</v>
      </c>
      <c r="AB80" s="18">
        <v>1.3567E-3</v>
      </c>
      <c r="AC80" s="18"/>
      <c r="AD80" s="142" t="s">
        <v>230</v>
      </c>
      <c r="AE80" s="13" t="s">
        <v>434</v>
      </c>
      <c r="AF80" s="149">
        <v>0.20215</v>
      </c>
      <c r="AG80" s="147">
        <f>-2.201/10000</f>
        <v>-2.2010000000000001E-4</v>
      </c>
      <c r="AH80" s="13"/>
      <c r="AI80" s="18"/>
      <c r="AJ80" s="7"/>
      <c r="AK80" s="84"/>
      <c r="AL80" s="181">
        <v>-30</v>
      </c>
      <c r="AM80" s="178">
        <v>363</v>
      </c>
      <c r="AN80" s="177">
        <v>-30</v>
      </c>
      <c r="AO80" s="178">
        <v>145</v>
      </c>
      <c r="AP80" s="179">
        <v>-31</v>
      </c>
      <c r="AQ80" s="180">
        <v>145</v>
      </c>
      <c r="AR80" s="179">
        <v>-31</v>
      </c>
      <c r="AS80" s="180">
        <v>145</v>
      </c>
    </row>
    <row r="81" spans="1:45" ht="17.100000000000001" customHeight="1" x14ac:dyDescent="0.2">
      <c r="A81" s="232"/>
      <c r="C81" s="4"/>
      <c r="I81" s="6"/>
      <c r="J81" s="142" t="s">
        <v>231</v>
      </c>
      <c r="K81" s="135" t="s">
        <v>301</v>
      </c>
      <c r="L81" s="135">
        <v>1.2543</v>
      </c>
      <c r="M81" s="135">
        <v>0.28083999999999998</v>
      </c>
      <c r="N81" s="135">
        <v>540.15</v>
      </c>
      <c r="O81" s="135">
        <v>0.29120000000000001</v>
      </c>
      <c r="P81" s="136">
        <v>72.105999999999995</v>
      </c>
      <c r="Q81" s="135" t="s">
        <v>371</v>
      </c>
      <c r="R81" s="135">
        <v>-10.321</v>
      </c>
      <c r="S81" s="135">
        <v>900.92</v>
      </c>
      <c r="T81" s="135">
        <v>-6.9127999999999995E-2</v>
      </c>
      <c r="U81" s="134"/>
      <c r="V81" s="134"/>
      <c r="W81" s="137"/>
      <c r="X81" s="135" t="s">
        <v>435</v>
      </c>
      <c r="Y81" s="135">
        <v>171730</v>
      </c>
      <c r="Z81" s="135">
        <v>-800.47</v>
      </c>
      <c r="AA81" s="135">
        <v>2.8934000000000002</v>
      </c>
      <c r="AB81" s="134">
        <v>-2.5014999999999998E-3</v>
      </c>
      <c r="AC81" s="134"/>
      <c r="AD81" s="142" t="s">
        <v>231</v>
      </c>
      <c r="AE81" s="135" t="s">
        <v>435</v>
      </c>
      <c r="AF81" s="149">
        <v>0.19428000000000001</v>
      </c>
      <c r="AG81" s="146">
        <f>-2.49/10000</f>
        <v>-2.4900000000000004E-4</v>
      </c>
      <c r="AH81" s="135"/>
      <c r="AI81" s="134"/>
      <c r="AJ81" s="7"/>
      <c r="AK81" s="84"/>
      <c r="AL81" s="181">
        <v>-108</v>
      </c>
      <c r="AM81" s="178">
        <v>267</v>
      </c>
      <c r="AN81" s="177">
        <v>-108</v>
      </c>
      <c r="AO81" s="178">
        <v>100</v>
      </c>
      <c r="AP81" s="179">
        <v>-108</v>
      </c>
      <c r="AQ81" s="180">
        <v>66</v>
      </c>
      <c r="AR81" s="179">
        <v>-108</v>
      </c>
      <c r="AS81" s="180">
        <v>66</v>
      </c>
    </row>
    <row r="82" spans="1:45" x14ac:dyDescent="0.2">
      <c r="A82" s="232"/>
      <c r="G82" s="1"/>
      <c r="I82" s="6"/>
      <c r="J82" s="142" t="s">
        <v>232</v>
      </c>
      <c r="K82" s="13" t="s">
        <v>302</v>
      </c>
      <c r="L82" s="13">
        <v>0.87919999999999998</v>
      </c>
      <c r="M82" s="13">
        <v>0.27135999999999999</v>
      </c>
      <c r="N82" s="13">
        <v>591.75</v>
      </c>
      <c r="O82" s="13">
        <v>0.29241</v>
      </c>
      <c r="P82" s="71">
        <v>92.138000000000005</v>
      </c>
      <c r="Q82" s="13" t="s">
        <v>372</v>
      </c>
      <c r="R82" s="13">
        <v>-226.08</v>
      </c>
      <c r="S82" s="13">
        <v>6805.7</v>
      </c>
      <c r="T82" s="13">
        <v>37.542000000000002</v>
      </c>
      <c r="U82" s="13">
        <v>-6.0852999999999997E-2</v>
      </c>
      <c r="V82" s="13">
        <v>1</v>
      </c>
      <c r="W82" s="15"/>
      <c r="X82" s="13" t="s">
        <v>436</v>
      </c>
      <c r="Y82" s="13">
        <v>140140</v>
      </c>
      <c r="Z82" s="13">
        <v>-152.30000000000001</v>
      </c>
      <c r="AA82" s="13">
        <v>0.69499999999999995</v>
      </c>
      <c r="AB82" s="13"/>
      <c r="AC82" s="13"/>
      <c r="AD82" s="142" t="s">
        <v>232</v>
      </c>
      <c r="AE82" s="13" t="s">
        <v>492</v>
      </c>
      <c r="AF82" s="149">
        <v>0.20463000000000001</v>
      </c>
      <c r="AG82" s="148">
        <f>-2.4252/10000</f>
        <v>-2.4251999999999998E-4</v>
      </c>
      <c r="AH82" s="13"/>
      <c r="AI82" s="13"/>
      <c r="AJ82" s="10"/>
      <c r="AK82" s="84"/>
      <c r="AL82" s="181">
        <v>-95</v>
      </c>
      <c r="AM82" s="178">
        <v>319</v>
      </c>
      <c r="AN82" s="177">
        <v>-95</v>
      </c>
      <c r="AO82" s="178">
        <v>111</v>
      </c>
      <c r="AP82" s="179">
        <v>-95</v>
      </c>
      <c r="AQ82" s="180">
        <v>227</v>
      </c>
      <c r="AR82" s="179">
        <v>-95</v>
      </c>
      <c r="AS82" s="180">
        <v>202</v>
      </c>
    </row>
    <row r="83" spans="1:45" ht="13.5" thickBot="1" x14ac:dyDescent="0.25">
      <c r="I83" s="6"/>
      <c r="J83" s="142" t="s">
        <v>233</v>
      </c>
      <c r="K83" s="135" t="s">
        <v>243</v>
      </c>
      <c r="L83" s="135">
        <v>0.70350000000000001</v>
      </c>
      <c r="M83" s="135">
        <v>0.27385999999999999</v>
      </c>
      <c r="N83" s="135">
        <v>535.15</v>
      </c>
      <c r="O83" s="135">
        <v>0.28720000000000001</v>
      </c>
      <c r="P83" s="136">
        <v>101.19</v>
      </c>
      <c r="Q83" s="135" t="s">
        <v>373</v>
      </c>
      <c r="R83" s="135">
        <v>-3.7067000000000001</v>
      </c>
      <c r="S83" s="135">
        <v>585.78</v>
      </c>
      <c r="T83" s="135">
        <v>-1.0926</v>
      </c>
      <c r="U83" s="134"/>
      <c r="V83" s="134"/>
      <c r="W83" s="137"/>
      <c r="X83" s="135" t="s">
        <v>437</v>
      </c>
      <c r="Y83" s="135">
        <v>111480</v>
      </c>
      <c r="Z83" s="135">
        <v>368.13</v>
      </c>
      <c r="AA83" s="135"/>
      <c r="AB83" s="134"/>
      <c r="AC83" s="134"/>
      <c r="AD83" s="142" t="s">
        <v>233</v>
      </c>
      <c r="AE83" s="135" t="s">
        <v>493</v>
      </c>
      <c r="AF83" s="150">
        <v>0.1918</v>
      </c>
      <c r="AG83" s="147">
        <f>-2.453/10000</f>
        <v>-2.453E-4</v>
      </c>
      <c r="AH83" s="135"/>
      <c r="AI83" s="134"/>
      <c r="AJ83" s="7"/>
      <c r="AK83" s="84"/>
      <c r="AL83" s="181">
        <v>-115</v>
      </c>
      <c r="AM83" s="178">
        <v>262</v>
      </c>
      <c r="AN83" s="177">
        <v>-23</v>
      </c>
      <c r="AO83" s="178">
        <v>86</v>
      </c>
      <c r="AP83" s="179">
        <v>-73</v>
      </c>
      <c r="AQ83" s="180">
        <v>89</v>
      </c>
      <c r="AR83" s="179">
        <v>-115</v>
      </c>
      <c r="AS83" s="180">
        <v>210</v>
      </c>
    </row>
    <row r="84" spans="1:45" ht="17.25" customHeight="1" x14ac:dyDescent="0.2">
      <c r="A84" s="232" t="s">
        <v>133</v>
      </c>
      <c r="C84" s="230" t="s">
        <v>134</v>
      </c>
      <c r="D84" s="231"/>
      <c r="E84" s="36"/>
      <c r="G84" s="1"/>
      <c r="I84" s="6"/>
      <c r="J84" s="142" t="s">
        <v>234</v>
      </c>
      <c r="K84" s="13" t="s">
        <v>303</v>
      </c>
      <c r="L84" s="13">
        <v>0.36703000000000002</v>
      </c>
      <c r="M84" s="13">
        <v>0.24876000000000001</v>
      </c>
      <c r="N84" s="13">
        <v>639</v>
      </c>
      <c r="O84" s="13">
        <v>0.28571000000000002</v>
      </c>
      <c r="P84" s="71">
        <v>156.30799999999999</v>
      </c>
      <c r="Q84" s="13" t="s">
        <v>374</v>
      </c>
      <c r="R84" s="13">
        <v>52.176000000000002</v>
      </c>
      <c r="S84" s="13">
        <v>-4951.8999999999996</v>
      </c>
      <c r="T84" s="13">
        <v>-8.5676000000000005</v>
      </c>
      <c r="U84" s="13">
        <v>570980</v>
      </c>
      <c r="V84" s="13">
        <v>-2</v>
      </c>
      <c r="W84" s="15"/>
      <c r="X84" s="13" t="s">
        <v>438</v>
      </c>
      <c r="Y84" s="13">
        <v>293980</v>
      </c>
      <c r="Z84" s="13">
        <v>-114.98</v>
      </c>
      <c r="AA84" s="13">
        <v>0.96936</v>
      </c>
      <c r="AB84" s="13"/>
      <c r="AC84" s="13"/>
      <c r="AD84" s="142" t="s">
        <v>234</v>
      </c>
      <c r="AE84" s="13" t="s">
        <v>494</v>
      </c>
      <c r="AF84" s="149">
        <v>0.20515</v>
      </c>
      <c r="AG84" s="148">
        <f>-2.3933/10000</f>
        <v>-2.3933E-4</v>
      </c>
      <c r="AH84" s="13"/>
      <c r="AI84" s="13"/>
      <c r="AJ84" s="10"/>
      <c r="AK84" s="84"/>
      <c r="AL84" s="181">
        <v>-25</v>
      </c>
      <c r="AM84" s="178">
        <v>366</v>
      </c>
      <c r="AN84" s="177">
        <v>-25</v>
      </c>
      <c r="AO84" s="178">
        <v>238</v>
      </c>
      <c r="AP84" s="179">
        <v>-26</v>
      </c>
      <c r="AQ84" s="180">
        <v>160</v>
      </c>
      <c r="AR84" s="179">
        <v>-26</v>
      </c>
      <c r="AS84" s="180">
        <v>196</v>
      </c>
    </row>
    <row r="85" spans="1:45" ht="17.25" customHeight="1" x14ac:dyDescent="0.2">
      <c r="A85" s="232"/>
      <c r="C85" s="114">
        <f>IF(D15="Air",(1/(D17+273.15)),K11*((1/G99)-(1/G98))/(D100-D99))</f>
        <v>3.0016509079993999E-3</v>
      </c>
      <c r="D85" s="110" t="s">
        <v>135</v>
      </c>
      <c r="E85" s="35"/>
      <c r="F85" s="198"/>
      <c r="I85" s="6"/>
      <c r="J85" s="142" t="s">
        <v>235</v>
      </c>
      <c r="K85" s="135" t="s">
        <v>304</v>
      </c>
      <c r="L85" s="135">
        <v>1.5115000000000001</v>
      </c>
      <c r="M85" s="135">
        <v>0.2707</v>
      </c>
      <c r="N85" s="135">
        <v>432</v>
      </c>
      <c r="O85" s="135">
        <v>0.27160000000000001</v>
      </c>
      <c r="P85" s="136">
        <v>62.497999999999998</v>
      </c>
      <c r="Q85" s="135" t="s">
        <v>375</v>
      </c>
      <c r="R85" s="135">
        <v>0.26296999999999998</v>
      </c>
      <c r="S85" s="135">
        <v>276.55</v>
      </c>
      <c r="T85" s="135">
        <v>-1.7282</v>
      </c>
      <c r="U85" s="134"/>
      <c r="V85" s="134"/>
      <c r="W85" s="137"/>
      <c r="X85" s="135" t="s">
        <v>329</v>
      </c>
      <c r="Y85" s="135">
        <v>-10320</v>
      </c>
      <c r="Z85" s="135">
        <v>322.8</v>
      </c>
      <c r="AA85" s="135"/>
      <c r="AB85" s="134"/>
      <c r="AC85" s="134"/>
      <c r="AD85" s="142" t="s">
        <v>235</v>
      </c>
      <c r="AE85" s="135" t="s">
        <v>495</v>
      </c>
      <c r="AF85" s="150">
        <v>0.23330000000000001</v>
      </c>
      <c r="AG85" s="146">
        <f>-3.9223/10000</f>
        <v>-3.9222999999999998E-4</v>
      </c>
      <c r="AH85" s="135"/>
      <c r="AI85" s="134"/>
      <c r="AJ85" s="7"/>
      <c r="AK85" s="84"/>
      <c r="AL85" s="181">
        <v>-254</v>
      </c>
      <c r="AM85" s="178">
        <v>159</v>
      </c>
      <c r="AN85" s="177">
        <v>-143</v>
      </c>
      <c r="AO85" s="178">
        <v>127</v>
      </c>
      <c r="AP85" s="179">
        <v>-73</v>
      </c>
      <c r="AQ85" s="180">
        <v>127</v>
      </c>
      <c r="AR85" s="179">
        <v>-154</v>
      </c>
      <c r="AS85" s="180">
        <v>72</v>
      </c>
    </row>
    <row r="86" spans="1:45" ht="17.25" customHeight="1" thickBot="1" x14ac:dyDescent="0.25">
      <c r="A86" s="232"/>
      <c r="C86" s="8"/>
      <c r="D86" s="99"/>
      <c r="I86" s="6"/>
      <c r="J86" s="142" t="s">
        <v>3</v>
      </c>
      <c r="K86" s="135" t="s">
        <v>60</v>
      </c>
      <c r="L86" s="135">
        <v>-13.851000000000001</v>
      </c>
      <c r="M86" s="135">
        <v>0.64037999999999995</v>
      </c>
      <c r="N86" s="135">
        <v>-1.91E-3</v>
      </c>
      <c r="O86" s="134">
        <f>1.8211/1000000</f>
        <v>1.8211E-6</v>
      </c>
      <c r="P86" s="136">
        <v>18.015000000000001</v>
      </c>
      <c r="Q86" s="135" t="s">
        <v>61</v>
      </c>
      <c r="R86" s="135">
        <v>-52.843000000000004</v>
      </c>
      <c r="S86" s="135">
        <v>3703.6</v>
      </c>
      <c r="T86" s="135">
        <v>5.8659999999999997</v>
      </c>
      <c r="U86" s="134">
        <f>-5.879/1E+29</f>
        <v>-5.8789999999999996E-29</v>
      </c>
      <c r="V86" s="135">
        <v>10</v>
      </c>
      <c r="W86" s="137"/>
      <c r="X86" s="135" t="s">
        <v>83</v>
      </c>
      <c r="Y86" s="135">
        <v>276370</v>
      </c>
      <c r="Z86" s="135">
        <v>-2090.1</v>
      </c>
      <c r="AA86" s="135">
        <v>8.125</v>
      </c>
      <c r="AB86" s="134">
        <v>-1.4116E-2</v>
      </c>
      <c r="AC86" s="135">
        <f>9.37/1000000</f>
        <v>9.3699999999999984E-6</v>
      </c>
      <c r="AD86" s="142" t="s">
        <v>3</v>
      </c>
      <c r="AE86" s="135" t="s">
        <v>496</v>
      </c>
      <c r="AF86" s="150">
        <v>-0.432</v>
      </c>
      <c r="AG86" s="146">
        <v>5.7254999999999997E-3</v>
      </c>
      <c r="AH86" s="135">
        <f>-8.078/1000000</f>
        <v>-8.0779999999999996E-6</v>
      </c>
      <c r="AI86" s="134">
        <f>1.861/1000000000</f>
        <v>1.8610000000000001E-9</v>
      </c>
      <c r="AJ86" s="10"/>
      <c r="AK86" s="84"/>
      <c r="AL86" s="181">
        <v>0</v>
      </c>
      <c r="AM86" s="178">
        <v>80</v>
      </c>
      <c r="AN86" s="177">
        <v>0</v>
      </c>
      <c r="AO86" s="178">
        <v>373</v>
      </c>
      <c r="AP86" s="179">
        <v>0</v>
      </c>
      <c r="AQ86" s="180">
        <v>260</v>
      </c>
      <c r="AR86" s="179">
        <v>0</v>
      </c>
      <c r="AS86" s="180">
        <v>360</v>
      </c>
    </row>
    <row r="87" spans="1:45" ht="16.5" customHeight="1" thickBot="1" x14ac:dyDescent="0.25">
      <c r="A87" s="232"/>
      <c r="G87" s="1"/>
      <c r="I87" s="8"/>
      <c r="J87" s="200" t="s">
        <v>528</v>
      </c>
      <c r="K87" s="128"/>
      <c r="L87" s="54"/>
      <c r="M87" s="54"/>
      <c r="N87" s="54"/>
      <c r="O87" s="54"/>
      <c r="P87" s="54"/>
      <c r="Q87" s="28"/>
      <c r="R87" s="28"/>
      <c r="S87" s="28"/>
      <c r="T87" s="28"/>
      <c r="U87" s="28"/>
      <c r="V87" s="28"/>
      <c r="W87" s="129"/>
      <c r="X87" s="28"/>
      <c r="Y87" s="28"/>
      <c r="Z87" s="28"/>
      <c r="AA87" s="28"/>
      <c r="AB87" s="28"/>
      <c r="AC87" s="28"/>
      <c r="AD87" s="129"/>
      <c r="AE87" s="28"/>
      <c r="AF87" s="28"/>
      <c r="AG87" s="28"/>
      <c r="AH87" s="28"/>
      <c r="AI87" s="28"/>
      <c r="AJ87" s="29"/>
      <c r="AK87" s="84"/>
    </row>
    <row r="88" spans="1:45" ht="14.25" customHeight="1" x14ac:dyDescent="0.25">
      <c r="A88" s="232"/>
      <c r="C88" s="256" t="s">
        <v>4</v>
      </c>
      <c r="D88" s="256"/>
      <c r="E88" s="235"/>
      <c r="F88" s="225"/>
      <c r="G88" s="225"/>
      <c r="H88" s="225"/>
    </row>
    <row r="89" spans="1:45" ht="16.5" customHeight="1" thickBot="1" x14ac:dyDescent="0.3">
      <c r="A89" s="232"/>
      <c r="E89" s="85" t="s">
        <v>529</v>
      </c>
      <c r="G89" s="1"/>
      <c r="J89" s="157"/>
    </row>
    <row r="90" spans="1:45" ht="15.75" customHeight="1" x14ac:dyDescent="0.25">
      <c r="A90" s="232"/>
      <c r="C90" s="230" t="s">
        <v>137</v>
      </c>
      <c r="D90" s="231"/>
      <c r="E90" s="85" t="s">
        <v>532</v>
      </c>
      <c r="J90" s="157"/>
    </row>
    <row r="91" spans="1:45" ht="14.25" customHeight="1" x14ac:dyDescent="0.25">
      <c r="A91" s="232"/>
      <c r="C91" s="9"/>
      <c r="D91" s="10"/>
      <c r="E91" s="85" t="s">
        <v>533</v>
      </c>
      <c r="J91" s="157"/>
    </row>
    <row r="92" spans="1:45" ht="18" customHeight="1" thickBot="1" x14ac:dyDescent="0.3">
      <c r="A92" s="232"/>
      <c r="C92" s="72" t="s">
        <v>138</v>
      </c>
      <c r="D92" s="22"/>
      <c r="E92" s="85" t="s">
        <v>534</v>
      </c>
      <c r="J92" s="157"/>
    </row>
    <row r="93" spans="1:45" ht="14.25" customHeight="1" x14ac:dyDescent="0.2">
      <c r="A93" s="232"/>
      <c r="J93" s="157"/>
    </row>
    <row r="94" spans="1:45" ht="17.25" customHeight="1" x14ac:dyDescent="0.25">
      <c r="A94" s="232"/>
      <c r="C94" s="11" t="s">
        <v>136</v>
      </c>
      <c r="D94" s="115">
        <f>IF(D15="Other Fluid",D92,C85)</f>
        <v>3.0016509079993999E-3</v>
      </c>
      <c r="E94" s="113" t="s">
        <v>140</v>
      </c>
      <c r="F94" s="85" t="str">
        <f>IF(D$15="Other Fluid","     (manual entry)","     (from menu selection)")</f>
        <v xml:space="preserve">     (from menu selection)</v>
      </c>
      <c r="J94" s="157"/>
    </row>
    <row r="95" spans="1:45" ht="18.75" customHeight="1" x14ac:dyDescent="0.2">
      <c r="A95" s="232"/>
      <c r="C95" t="s">
        <v>139</v>
      </c>
      <c r="J95" s="157"/>
    </row>
    <row r="96" spans="1:45" ht="18" customHeight="1" thickBot="1" x14ac:dyDescent="0.25">
      <c r="A96" s="232"/>
      <c r="J96" s="157"/>
    </row>
    <row r="97" spans="1:11" ht="9" customHeight="1" x14ac:dyDescent="0.2">
      <c r="A97" s="232"/>
      <c r="C97" s="65"/>
      <c r="D97" s="66"/>
      <c r="E97" s="66"/>
      <c r="F97" s="66"/>
      <c r="G97" s="66"/>
      <c r="H97" s="67"/>
      <c r="J97" s="157"/>
    </row>
    <row r="98" spans="1:11" ht="16.5" customHeight="1" x14ac:dyDescent="0.25">
      <c r="A98" s="232"/>
      <c r="C98" s="160" t="s">
        <v>497</v>
      </c>
      <c r="D98" s="164">
        <v>0.2</v>
      </c>
      <c r="E98" s="18"/>
      <c r="F98" s="162" t="s">
        <v>500</v>
      </c>
      <c r="G98" s="163">
        <f>IF($D$15="Air",28.96*$D$10/(8.3145*($D$17+273.15)),IF($D$15="Water",$P$10*(17.863+(58.606*(1-(($D$99+273.15)/(647.096)))^0.35)-(95.396*(1-(($D$99+273.15)/(647.096)))^(2/3))+(213.89*(1-(($D$99+273.15)/(647.096))))-(141.26*(1-(($D$99+273.15)/(647.096)))^(4/3))),$P$10*$L$10/($M$10^(1+(1-(($D$99+273.15)/$N$10))^$O$10))))</f>
        <v>1.0559515111987401</v>
      </c>
      <c r="H98" s="7"/>
      <c r="J98" s="165" t="s">
        <v>508</v>
      </c>
    </row>
    <row r="99" spans="1:11" ht="18" customHeight="1" x14ac:dyDescent="0.25">
      <c r="A99" s="232"/>
      <c r="C99" s="6" t="s">
        <v>498</v>
      </c>
      <c r="D99" s="161">
        <f>FilmTemp-D98</f>
        <v>59.8</v>
      </c>
      <c r="E99" s="18"/>
      <c r="F99" s="162" t="s">
        <v>501</v>
      </c>
      <c r="G99" s="163">
        <f>IF($D$15="Air",28.96*$D$10/(8.3145*($D$17+273.15)),IF($D$15="Water",$P$10*(17.863+(58.606*(1-(($D$100+273.15)/(647.096)))^0.35)-(95.396*(1-(($D$100+273.15)/(647.096)))^(2/3))+(213.89*(1-(($D$100+273.15)/(647.096))))-(141.26*(1-(($D$100+273.15)/(647.096)))^(4/3))),$P$10*$L$10/($M$10^(1+(1-(($D$100+273.15)/$N$10))^$O$10))))</f>
        <v>1.0559515111987401</v>
      </c>
      <c r="H99" s="7"/>
      <c r="J99" s="166" t="s">
        <v>502</v>
      </c>
      <c r="K99"/>
    </row>
    <row r="100" spans="1:11" ht="16.5" customHeight="1" x14ac:dyDescent="0.2">
      <c r="A100" s="232"/>
      <c r="C100" s="6" t="s">
        <v>499</v>
      </c>
      <c r="D100" s="161">
        <f>FilmTemp+D98</f>
        <v>60.2</v>
      </c>
      <c r="E100" s="18"/>
      <c r="F100" s="18"/>
      <c r="G100" s="18"/>
      <c r="H100" s="7"/>
    </row>
    <row r="101" spans="1:11" ht="9.75" customHeight="1" thickBot="1" x14ac:dyDescent="0.25">
      <c r="A101" s="232"/>
      <c r="C101" s="8"/>
      <c r="D101" s="54"/>
      <c r="E101" s="54"/>
      <c r="F101" s="54"/>
      <c r="G101" s="54"/>
      <c r="H101" s="24"/>
    </row>
    <row r="102" spans="1:11" ht="27.75" customHeight="1" thickBot="1" x14ac:dyDescent="0.25"/>
    <row r="103" spans="1:11" ht="20.25" customHeight="1" thickBot="1" x14ac:dyDescent="0.25">
      <c r="C103" s="226" t="s">
        <v>156</v>
      </c>
      <c r="D103" s="227"/>
      <c r="E103" s="227"/>
      <c r="F103" s="227"/>
      <c r="G103" s="228"/>
    </row>
    <row r="104" spans="1:11" x14ac:dyDescent="0.2">
      <c r="C104" s="25"/>
      <c r="D104" s="89"/>
      <c r="E104" s="89"/>
      <c r="F104" s="89"/>
      <c r="G104" s="27"/>
    </row>
    <row r="105" spans="1:11" ht="14.25" x14ac:dyDescent="0.2">
      <c r="C105" s="52" t="s">
        <v>518</v>
      </c>
      <c r="D105" s="41"/>
      <c r="E105" s="41"/>
      <c r="F105" s="41"/>
      <c r="G105" s="42"/>
      <c r="J105" s="106" t="s">
        <v>527</v>
      </c>
    </row>
    <row r="106" spans="1:11" ht="14.25" x14ac:dyDescent="0.2">
      <c r="C106" s="52" t="s">
        <v>519</v>
      </c>
      <c r="D106" s="41"/>
      <c r="E106" s="41"/>
      <c r="F106" s="41"/>
      <c r="G106" s="42"/>
    </row>
    <row r="107" spans="1:11" ht="14.25" x14ac:dyDescent="0.2">
      <c r="C107" s="52" t="s">
        <v>520</v>
      </c>
      <c r="D107" s="41"/>
      <c r="E107" s="41"/>
      <c r="F107" s="41"/>
      <c r="G107" s="42"/>
    </row>
    <row r="108" spans="1:11" ht="17.25" customHeight="1" x14ac:dyDescent="0.2">
      <c r="C108" s="217" t="s">
        <v>547</v>
      </c>
      <c r="D108" s="218"/>
      <c r="E108" s="218"/>
      <c r="F108" s="218"/>
      <c r="G108" s="219"/>
    </row>
    <row r="109" spans="1:11" ht="9.75" customHeight="1" x14ac:dyDescent="0.2">
      <c r="C109" s="52"/>
      <c r="D109" s="41"/>
      <c r="E109" s="41"/>
      <c r="F109" s="41"/>
      <c r="G109" s="42"/>
    </row>
    <row r="110" spans="1:11" ht="14.25" x14ac:dyDescent="0.2">
      <c r="C110" s="52" t="s">
        <v>521</v>
      </c>
      <c r="D110" s="41"/>
      <c r="E110" s="41"/>
      <c r="F110" s="41"/>
      <c r="G110" s="42"/>
    </row>
    <row r="111" spans="1:11" ht="12.75" customHeight="1" x14ac:dyDescent="0.2">
      <c r="C111" s="40"/>
      <c r="D111" s="41"/>
      <c r="E111" s="41"/>
      <c r="F111" s="41"/>
      <c r="G111" s="42"/>
    </row>
    <row r="112" spans="1:11" x14ac:dyDescent="0.2">
      <c r="C112" s="214" t="s">
        <v>23</v>
      </c>
      <c r="D112" s="215"/>
      <c r="E112" s="215"/>
      <c r="F112" s="215"/>
      <c r="G112" s="216"/>
    </row>
    <row r="113" spans="3:7" ht="9.75" customHeight="1" x14ac:dyDescent="0.2">
      <c r="C113" s="214"/>
      <c r="D113" s="215"/>
      <c r="E113" s="215"/>
      <c r="F113" s="215"/>
      <c r="G113" s="216"/>
    </row>
    <row r="114" spans="3:7" ht="18.75" x14ac:dyDescent="0.25">
      <c r="C114" s="195" t="s">
        <v>523</v>
      </c>
      <c r="D114" s="41"/>
      <c r="E114" s="41"/>
      <c r="F114" s="41"/>
      <c r="G114" s="42"/>
    </row>
    <row r="115" spans="3:7" ht="10.5" customHeight="1" x14ac:dyDescent="0.2">
      <c r="C115" s="40"/>
      <c r="D115" s="41"/>
      <c r="E115" s="41"/>
      <c r="F115" s="41"/>
      <c r="G115" s="42"/>
    </row>
    <row r="116" spans="3:7" ht="17.25" x14ac:dyDescent="0.25">
      <c r="C116" s="52" t="s">
        <v>145</v>
      </c>
      <c r="D116" s="192" t="s">
        <v>514</v>
      </c>
      <c r="E116" s="193"/>
      <c r="F116" s="192" t="s">
        <v>515</v>
      </c>
      <c r="G116" s="51"/>
    </row>
    <row r="117" spans="3:7" ht="14.25" x14ac:dyDescent="0.2">
      <c r="C117" s="52"/>
      <c r="D117" s="41"/>
      <c r="E117" s="41"/>
      <c r="F117" s="41"/>
      <c r="G117" s="42"/>
    </row>
    <row r="118" spans="3:7" x14ac:dyDescent="0.2">
      <c r="C118" s="214" t="s">
        <v>522</v>
      </c>
      <c r="D118" s="215"/>
      <c r="E118" s="215"/>
      <c r="F118" s="215"/>
      <c r="G118" s="216"/>
    </row>
    <row r="119" spans="3:7" ht="9.75" customHeight="1" x14ac:dyDescent="0.2">
      <c r="C119" s="52"/>
      <c r="D119" s="41"/>
      <c r="E119" s="41"/>
      <c r="F119" s="41"/>
      <c r="G119" s="42"/>
    </row>
    <row r="120" spans="3:7" ht="18.75" x14ac:dyDescent="0.25">
      <c r="C120" s="195" t="s">
        <v>524</v>
      </c>
      <c r="D120" s="41"/>
      <c r="E120" s="194" t="s">
        <v>145</v>
      </c>
      <c r="F120" s="192" t="s">
        <v>525</v>
      </c>
      <c r="G120" s="42"/>
    </row>
    <row r="121" spans="3:7" ht="17.25" customHeight="1" x14ac:dyDescent="0.2">
      <c r="C121" s="52"/>
      <c r="D121" s="41"/>
      <c r="E121" s="41"/>
      <c r="F121" s="41"/>
      <c r="G121" s="42"/>
    </row>
    <row r="122" spans="3:7" x14ac:dyDescent="0.2">
      <c r="C122" s="117" t="s">
        <v>146</v>
      </c>
      <c r="D122" s="41"/>
      <c r="E122" s="41"/>
      <c r="F122" s="41"/>
      <c r="G122" s="42"/>
    </row>
    <row r="123" spans="3:7" ht="17.25" customHeight="1" x14ac:dyDescent="0.2">
      <c r="C123" s="117"/>
      <c r="D123" s="41"/>
      <c r="E123" s="41"/>
      <c r="F123" s="41"/>
      <c r="G123" s="42"/>
    </row>
    <row r="124" spans="3:7" x14ac:dyDescent="0.2">
      <c r="C124" s="214" t="s">
        <v>509</v>
      </c>
      <c r="D124" s="215"/>
      <c r="E124" s="215"/>
      <c r="F124" s="215"/>
      <c r="G124" s="216"/>
    </row>
    <row r="125" spans="3:7" ht="9.75" customHeight="1" x14ac:dyDescent="0.2">
      <c r="C125" s="40"/>
      <c r="D125" s="41"/>
      <c r="E125" s="41"/>
      <c r="F125" s="41"/>
      <c r="G125" s="42"/>
    </row>
    <row r="126" spans="3:7" ht="17.25" x14ac:dyDescent="0.25">
      <c r="C126" s="118" t="s">
        <v>151</v>
      </c>
      <c r="D126" s="41"/>
      <c r="E126" s="47" t="s">
        <v>149</v>
      </c>
      <c r="F126" s="48" t="s">
        <v>44</v>
      </c>
      <c r="G126" s="42"/>
    </row>
    <row r="127" spans="3:7" ht="15" x14ac:dyDescent="0.25">
      <c r="C127" s="118"/>
      <c r="D127" s="41"/>
      <c r="E127" s="47"/>
      <c r="F127" s="48"/>
      <c r="G127" s="42"/>
    </row>
    <row r="128" spans="3:7" x14ac:dyDescent="0.2">
      <c r="C128" s="214" t="s">
        <v>148</v>
      </c>
      <c r="D128" s="215"/>
      <c r="E128" s="215"/>
      <c r="F128" s="215"/>
      <c r="G128" s="216"/>
    </row>
    <row r="129" spans="3:7" ht="9.75" customHeight="1" x14ac:dyDescent="0.25">
      <c r="C129" s="118"/>
      <c r="D129" s="41"/>
      <c r="E129" s="47"/>
      <c r="F129" s="48"/>
      <c r="G129" s="42"/>
    </row>
    <row r="130" spans="3:7" ht="17.25" x14ac:dyDescent="0.25">
      <c r="C130" s="118" t="s">
        <v>152</v>
      </c>
      <c r="D130" s="47" t="s">
        <v>147</v>
      </c>
      <c r="E130" s="48" t="s">
        <v>44</v>
      </c>
      <c r="F130" s="41"/>
      <c r="G130" s="42"/>
    </row>
    <row r="131" spans="3:7" ht="15" x14ac:dyDescent="0.25">
      <c r="C131" s="118"/>
      <c r="D131" s="47"/>
      <c r="E131" s="48"/>
      <c r="F131" s="41"/>
      <c r="G131" s="42"/>
    </row>
    <row r="132" spans="3:7" x14ac:dyDescent="0.2">
      <c r="C132" s="214" t="s">
        <v>150</v>
      </c>
      <c r="D132" s="215"/>
      <c r="E132" s="215"/>
      <c r="F132" s="215"/>
      <c r="G132" s="216"/>
    </row>
    <row r="133" spans="3:7" ht="9.75" customHeight="1" x14ac:dyDescent="0.2">
      <c r="C133" s="40"/>
      <c r="D133" s="41"/>
      <c r="E133" s="41"/>
      <c r="F133" s="41"/>
      <c r="G133" s="42"/>
    </row>
    <row r="134" spans="3:7" ht="16.5" x14ac:dyDescent="0.2">
      <c r="C134" s="52" t="s">
        <v>153</v>
      </c>
      <c r="D134" s="41"/>
      <c r="E134" s="41"/>
      <c r="F134" s="41"/>
      <c r="G134" s="42"/>
    </row>
    <row r="135" spans="3:7" ht="9.75" customHeight="1" x14ac:dyDescent="0.2">
      <c r="C135" s="40"/>
      <c r="D135" s="41"/>
      <c r="E135" s="41"/>
      <c r="F135" s="41"/>
      <c r="G135" s="42"/>
    </row>
    <row r="136" spans="3:7" x14ac:dyDescent="0.2">
      <c r="C136" s="40"/>
      <c r="D136" s="47" t="s">
        <v>147</v>
      </c>
      <c r="E136" s="41" t="s">
        <v>154</v>
      </c>
      <c r="F136" s="41"/>
      <c r="G136" s="42"/>
    </row>
    <row r="137" spans="3:7" ht="16.5" customHeight="1" x14ac:dyDescent="0.2">
      <c r="C137" s="40"/>
      <c r="D137" s="41"/>
      <c r="E137" s="41"/>
      <c r="F137" s="41"/>
      <c r="G137" s="42"/>
    </row>
    <row r="138" spans="3:7" x14ac:dyDescent="0.2">
      <c r="C138" s="214" t="s">
        <v>510</v>
      </c>
      <c r="D138" s="215"/>
      <c r="E138" s="215"/>
      <c r="F138" s="215"/>
      <c r="G138" s="216"/>
    </row>
    <row r="139" spans="3:7" ht="9.75" customHeight="1" x14ac:dyDescent="0.2">
      <c r="C139" s="40"/>
      <c r="D139" s="41"/>
      <c r="E139" s="41"/>
      <c r="F139" s="41"/>
      <c r="G139" s="42"/>
    </row>
    <row r="140" spans="3:7" ht="16.5" x14ac:dyDescent="0.2">
      <c r="C140" s="52" t="s">
        <v>155</v>
      </c>
      <c r="D140" s="41"/>
      <c r="E140" s="41"/>
      <c r="F140" s="41"/>
      <c r="G140" s="42"/>
    </row>
    <row r="141" spans="3:7" ht="9.75" customHeight="1" x14ac:dyDescent="0.2">
      <c r="C141" s="40"/>
      <c r="D141" s="47"/>
      <c r="E141" s="41"/>
      <c r="F141" s="41"/>
      <c r="G141" s="42"/>
    </row>
    <row r="142" spans="3:7" x14ac:dyDescent="0.2">
      <c r="C142" s="40"/>
      <c r="D142" s="47" t="s">
        <v>147</v>
      </c>
      <c r="E142" s="41" t="s">
        <v>154</v>
      </c>
      <c r="F142" s="41"/>
      <c r="G142" s="42"/>
    </row>
    <row r="143" spans="3:7" ht="18.75" customHeight="1" x14ac:dyDescent="0.2">
      <c r="C143" s="52"/>
      <c r="D143" s="41"/>
      <c r="E143" s="41"/>
      <c r="F143" s="41"/>
      <c r="G143" s="42"/>
    </row>
    <row r="144" spans="3:7" x14ac:dyDescent="0.2">
      <c r="C144" s="214" t="s">
        <v>157</v>
      </c>
      <c r="D144" s="215"/>
      <c r="E144" s="215"/>
      <c r="F144" s="215"/>
      <c r="G144" s="216"/>
    </row>
    <row r="145" spans="3:7" ht="9.75" customHeight="1" x14ac:dyDescent="0.2">
      <c r="C145" s="40"/>
      <c r="D145" s="41"/>
      <c r="E145" s="41"/>
      <c r="F145" s="41"/>
      <c r="G145" s="42"/>
    </row>
    <row r="146" spans="3:7" ht="16.5" x14ac:dyDescent="0.2">
      <c r="C146" s="52" t="s">
        <v>159</v>
      </c>
      <c r="D146" s="47" t="s">
        <v>160</v>
      </c>
      <c r="E146" s="41" t="s">
        <v>158</v>
      </c>
      <c r="F146" s="41"/>
      <c r="G146" s="42"/>
    </row>
    <row r="147" spans="3:7" ht="17.25" customHeight="1" x14ac:dyDescent="0.2">
      <c r="C147" s="40"/>
      <c r="D147" s="47"/>
      <c r="E147" s="41"/>
      <c r="F147" s="41"/>
      <c r="G147" s="42"/>
    </row>
    <row r="148" spans="3:7" x14ac:dyDescent="0.2">
      <c r="C148" s="214" t="s">
        <v>511</v>
      </c>
      <c r="D148" s="215"/>
      <c r="E148" s="215"/>
      <c r="F148" s="215"/>
      <c r="G148" s="216"/>
    </row>
    <row r="149" spans="3:7" ht="9.75" customHeight="1" x14ac:dyDescent="0.2">
      <c r="C149" s="40"/>
      <c r="D149" s="41"/>
      <c r="E149" s="41"/>
      <c r="F149" s="41"/>
      <c r="G149" s="42"/>
    </row>
    <row r="150" spans="3:7" ht="16.5" x14ac:dyDescent="0.2">
      <c r="C150" s="52" t="s">
        <v>161</v>
      </c>
      <c r="D150" s="47" t="s">
        <v>160</v>
      </c>
      <c r="E150" s="41" t="s">
        <v>158</v>
      </c>
      <c r="F150" s="41"/>
      <c r="G150" s="42"/>
    </row>
    <row r="151" spans="3:7" ht="14.25" x14ac:dyDescent="0.2">
      <c r="C151" s="191"/>
      <c r="D151" s="47"/>
      <c r="E151" s="48"/>
      <c r="F151" s="47"/>
      <c r="G151" s="119"/>
    </row>
    <row r="152" spans="3:7" x14ac:dyDescent="0.2">
      <c r="C152" s="214" t="s">
        <v>512</v>
      </c>
      <c r="D152" s="215"/>
      <c r="E152" s="215"/>
      <c r="F152" s="215"/>
      <c r="G152" s="216"/>
    </row>
    <row r="153" spans="3:7" ht="14.25" x14ac:dyDescent="0.2">
      <c r="C153" s="191"/>
      <c r="D153" s="47"/>
      <c r="E153" s="41"/>
      <c r="F153" s="41"/>
      <c r="G153" s="42"/>
    </row>
    <row r="154" spans="3:7" ht="15" x14ac:dyDescent="0.25">
      <c r="C154" s="191" t="s">
        <v>513</v>
      </c>
      <c r="D154" s="47"/>
      <c r="E154" s="48"/>
      <c r="F154" s="47"/>
      <c r="G154" s="119"/>
    </row>
    <row r="155" spans="3:7" ht="14.25" x14ac:dyDescent="0.2">
      <c r="C155" s="52"/>
      <c r="D155" s="47"/>
      <c r="E155" s="48"/>
      <c r="F155" s="47"/>
      <c r="G155" s="119"/>
    </row>
    <row r="156" spans="3:7" ht="14.25" x14ac:dyDescent="0.2">
      <c r="C156" s="49" t="s">
        <v>517</v>
      </c>
      <c r="D156" s="47" t="s">
        <v>516</v>
      </c>
      <c r="E156" s="41"/>
      <c r="F156" s="41"/>
      <c r="G156" s="42"/>
    </row>
    <row r="157" spans="3:7" x14ac:dyDescent="0.2">
      <c r="C157" s="40"/>
      <c r="D157" s="41"/>
      <c r="E157" s="41"/>
      <c r="F157" s="41"/>
      <c r="G157" s="42"/>
    </row>
    <row r="158" spans="3:7" x14ac:dyDescent="0.2">
      <c r="C158" s="120" t="s">
        <v>162</v>
      </c>
      <c r="D158" s="41"/>
      <c r="E158" s="41"/>
      <c r="F158" s="41"/>
      <c r="G158" s="42"/>
    </row>
    <row r="159" spans="3:7" ht="13.5" thickBot="1" x14ac:dyDescent="0.25">
      <c r="C159" s="43"/>
      <c r="D159" s="44"/>
      <c r="E159" s="44"/>
      <c r="F159" s="44"/>
      <c r="G159" s="45"/>
    </row>
  </sheetData>
  <sheetProtection sheet="1" objects="1" scenarios="1" formatCells="0"/>
  <mergeCells count="70">
    <mergeCell ref="Y11:AC11"/>
    <mergeCell ref="AF11:AJ11"/>
    <mergeCell ref="C84:D84"/>
    <mergeCell ref="C88:D88"/>
    <mergeCell ref="C90:D90"/>
    <mergeCell ref="C38:D38"/>
    <mergeCell ref="C68:D68"/>
    <mergeCell ref="L4:N4"/>
    <mergeCell ref="J2:N2"/>
    <mergeCell ref="Q2:U2"/>
    <mergeCell ref="Q6:V6"/>
    <mergeCell ref="P4:R4"/>
    <mergeCell ref="L5:N5"/>
    <mergeCell ref="L6:N6"/>
    <mergeCell ref="P5:S5"/>
    <mergeCell ref="B3:F3"/>
    <mergeCell ref="E17:H17"/>
    <mergeCell ref="B2:F2"/>
    <mergeCell ref="C19:D19"/>
    <mergeCell ref="C13:D13"/>
    <mergeCell ref="F9:H9"/>
    <mergeCell ref="F18:G18"/>
    <mergeCell ref="F8:H8"/>
    <mergeCell ref="B4:F4"/>
    <mergeCell ref="C6:D6"/>
    <mergeCell ref="A32:A47"/>
    <mergeCell ref="C34:D34"/>
    <mergeCell ref="C22:D22"/>
    <mergeCell ref="C24:D24"/>
    <mergeCell ref="C40:D40"/>
    <mergeCell ref="A12:A30"/>
    <mergeCell ref="A49:A64"/>
    <mergeCell ref="C51:D51"/>
    <mergeCell ref="F52:G52"/>
    <mergeCell ref="C55:D55"/>
    <mergeCell ref="F54:G54"/>
    <mergeCell ref="C57:D57"/>
    <mergeCell ref="E53:H53"/>
    <mergeCell ref="A66:A82"/>
    <mergeCell ref="C152:G152"/>
    <mergeCell ref="AR9:AS9"/>
    <mergeCell ref="C138:G138"/>
    <mergeCell ref="C144:G144"/>
    <mergeCell ref="C128:G128"/>
    <mergeCell ref="C132:G132"/>
    <mergeCell ref="E88:H88"/>
    <mergeCell ref="F23:G23"/>
    <mergeCell ref="F24:G24"/>
    <mergeCell ref="A84:A101"/>
    <mergeCell ref="AL9:AM9"/>
    <mergeCell ref="AN9:AO9"/>
    <mergeCell ref="AP9:AQ9"/>
    <mergeCell ref="J9:V9"/>
    <mergeCell ref="L11:P11"/>
    <mergeCell ref="AL8:AS8"/>
    <mergeCell ref="C148:G148"/>
    <mergeCell ref="C108:G108"/>
    <mergeCell ref="C118:G118"/>
    <mergeCell ref="C113:G113"/>
    <mergeCell ref="F35:G35"/>
    <mergeCell ref="R11:V11"/>
    <mergeCell ref="C124:G124"/>
    <mergeCell ref="C112:G112"/>
    <mergeCell ref="F37:G37"/>
    <mergeCell ref="E36:H36"/>
    <mergeCell ref="C103:G103"/>
    <mergeCell ref="C72:D72"/>
    <mergeCell ref="F71:G71"/>
    <mergeCell ref="C74:D74"/>
    <mergeCell ref="E70:H70"/>
  </mergeCells>
  <phoneticPr fontId="20" type="noConversion"/>
  <dataValidations xWindow="525" yWindow="190" count="7">
    <dataValidation type="decimal" operator="greaterThan" allowBlank="1" showInputMessage="1" showErrorMessage="1" errorTitle="Invalid Entry" error="Please enter a value greater than 0." promptTitle="Enter Viscosity" prompt="This is a pre-calculated fluid viscosity you have obtained from another source. Any value you enter here will override the selection above." sqref="D42 D59 D76" xr:uid="{00000000-0002-0000-0100-000000000000}">
      <formula1>0</formula1>
    </dataValidation>
    <dataValidation allowBlank="1" showInputMessage="1" showErrorMessage="1" promptTitle="Fluid Density Calculation" prompt="Based on variables for density." sqref="C20 K11 G98:G99" xr:uid="{00000000-0002-0000-0100-000001000000}"/>
    <dataValidation type="decimal" operator="greaterThan" allowBlank="1" showInputMessage="1" showErrorMessage="1" errorTitle="Invalid Entry" error="Please enter a numerical value only." sqref="D8:D10" xr:uid="{00000000-0002-0000-0100-000002000000}">
      <formula1>-10000</formula1>
    </dataValidation>
    <dataValidation type="decimal" operator="greaterThan" allowBlank="1" showInputMessage="1" showErrorMessage="1" errorTitle="Invalid Entry" error="Please enter a value greater than 0." promptTitle="Enter in kg per cubic meter" prompt="This is a pre-calculated fluid density you have obtained from another source. Any value you enter here will override the selections above." sqref="D26" xr:uid="{00000000-0002-0000-0100-000003000000}">
      <formula1>0</formula1>
    </dataValidation>
    <dataValidation type="list" allowBlank="1" showErrorMessage="1" promptTitle="Fluid Selection" prompt="If your fluid is not listed here or if you have a fluid density calculated from elsewhere, you may instead enter it in the next section, thereby ignoring this selection menu." sqref="D15" xr:uid="{00000000-0002-0000-0100-000004000000}">
      <formula1>$J$13:$J$87</formula1>
    </dataValidation>
    <dataValidation allowBlank="1" showInputMessage="1" showErrorMessage="1" promptTitle="Fluid Specific Heat Calculation" prompt="Based on variables for specific heat_x000a_." sqref="C52" xr:uid="{00000000-0002-0000-0100-000005000000}"/>
    <dataValidation type="decimal" operator="greaterThan" allowBlank="1" showInputMessage="1" showErrorMessage="1" errorTitle="Invalid Entry" error="Please enter a value greater than 0." promptTitle="Enter Thermal Expansion Coeff." prompt="This is a pre-calculated fluid thermal expansion coefficient you have obtained from another source. Any value you enter here will override the selection above." sqref="D92" xr:uid="{00000000-0002-0000-0100-000006000000}">
      <formula1>0</formula1>
    </dataValidation>
  </dataValidations>
  <hyperlinks>
    <hyperlink ref="F65504:G65504" r:id="rId1" location="p2001147c9963_32002" display="View Table 3.3.3" xr:uid="{00000000-0004-0000-0100-000000000000}"/>
    <hyperlink ref="F65487:G65487" r:id="rId2" location="p2001147c9963_31001" display="View Table 3.3.1" xr:uid="{00000000-0004-0000-0100-000001000000}"/>
    <hyperlink ref="F65506:G65506" r:id="rId3" location="p2001147c9963_32002" display="View Table 3.3.3" xr:uid="{00000000-0004-0000-0100-000002000000}"/>
    <hyperlink ref="F65489:G65489" r:id="rId4" location="p2001147c9963_31001" display="View Table 3.3.1" xr:uid="{00000000-0004-0000-0100-000003000000}"/>
    <hyperlink ref="J2" r:id="rId5" location="p200139d89822_98001" display="Table 2-32 in Perry's Chemical Engineers' Handbook, 8th Ed." xr:uid="{53D32525-0E1B-4313-B268-758838557741}"/>
    <hyperlink ref="L4:N4" r:id="rId6" location="ch02table139" display="Liquid Viscosity:  Table 2-139" xr:uid="{014BDFFA-B147-49B9-8024-A75983D8DAF9}"/>
    <hyperlink ref="L5:N5" r:id="rId7" location="ch02table32" display="Liquid Density:  Table 2-32" xr:uid="{27B13560-4540-488D-9854-88E4E9BD16B1}"/>
    <hyperlink ref="L6:N6" r:id="rId8" location="ch02table72" display="Liquid Sp. Heat:  Table 2-72" xr:uid="{24F91E15-9240-4D12-8182-B5860DD70733}"/>
    <hyperlink ref="P4:R4" r:id="rId9" location="ch02table147" display="Liquid Thermal Conductivity:  Table 2-147" xr:uid="{58C2A297-4E59-4D09-A617-7C4574697D19}"/>
    <hyperlink ref="J4" r:id="rId10" location="ch02table138" display="Air Viscosity:  Table 2-312" xr:uid="{1C26733F-746E-44F0-8E0E-290023B50F4D}"/>
    <hyperlink ref="J5" r:id="rId11" location="ch02table75" display="Air Specific Heat:  Table 2-156" xr:uid="{7FC2796F-D8B6-4EF0-966C-AEA25187B255}"/>
    <hyperlink ref="J6" r:id="rId12" location="ch02table145" xr:uid="{B83B1DA8-4C35-4BB9-BE7F-80449FF75C7E}"/>
    <hyperlink ref="C108" r:id="rId13" location="p200139d89822_98001" display="Table 2-32 in Perry's Chemical Engineers' Handbook, 8th Ed." xr:uid="{C378FFB2-3348-401E-8EFD-714B55AEB476}"/>
    <hyperlink ref="C108:G108" r:id="rId14" location="c9780071834087ch02" display="Perry's Chemical Engineers' Handbook, 9th Ed., Ch. 2, Physical and Chemical Data" xr:uid="{F5BC33D1-C123-43FF-ABC9-15F1D2855180}"/>
  </hyperlinks>
  <pageMargins left="0.75" right="0.75" top="1" bottom="1" header="0.5" footer="0.5"/>
  <pageSetup orientation="portrait" r:id="rId1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75"/>
  <sheetViews>
    <sheetView showGridLines="0" workbookViewId="0"/>
  </sheetViews>
  <sheetFormatPr defaultRowHeight="12.75" x14ac:dyDescent="0.2"/>
  <cols>
    <col min="1" max="1" width="8.85546875" customWidth="1"/>
    <col min="2" max="2" width="8" customWidth="1"/>
    <col min="3" max="3" width="22.85546875" customWidth="1"/>
    <col min="4" max="4" width="23.140625" customWidth="1"/>
    <col min="5" max="5" width="10.140625" customWidth="1"/>
    <col min="6" max="6" width="15.42578125" customWidth="1"/>
    <col min="7" max="7" width="2" customWidth="1"/>
    <col min="8" max="8" width="19" customWidth="1"/>
    <col min="9" max="9" width="19.7109375" customWidth="1"/>
    <col min="10" max="10" width="18.7109375" customWidth="1"/>
    <col min="11" max="11" width="17.140625" customWidth="1"/>
    <col min="12" max="12" width="11.7109375" customWidth="1"/>
  </cols>
  <sheetData>
    <row r="1" spans="1:12" ht="13.5" thickBot="1" x14ac:dyDescent="0.25"/>
    <row r="2" spans="1:12" ht="24.75" customHeight="1" x14ac:dyDescent="0.25">
      <c r="B2" s="102" t="s">
        <v>103</v>
      </c>
      <c r="C2" s="89"/>
      <c r="D2" s="26"/>
      <c r="E2" s="26"/>
      <c r="F2" s="27"/>
    </row>
    <row r="3" spans="1:12" ht="18" customHeight="1" x14ac:dyDescent="0.2">
      <c r="B3" s="264" t="s">
        <v>535</v>
      </c>
      <c r="C3" s="265"/>
      <c r="D3" s="265"/>
      <c r="E3" s="265"/>
      <c r="F3" s="266"/>
    </row>
    <row r="4" spans="1:12" ht="9.75" customHeight="1" thickBot="1" x14ac:dyDescent="0.25">
      <c r="B4" s="247"/>
      <c r="C4" s="248"/>
      <c r="D4" s="248"/>
      <c r="E4" s="248"/>
      <c r="F4" s="249"/>
    </row>
    <row r="5" spans="1:12" ht="18" customHeight="1" thickBot="1" x14ac:dyDescent="0.25"/>
    <row r="6" spans="1:12" x14ac:dyDescent="0.2">
      <c r="B6" s="267" t="s">
        <v>5</v>
      </c>
      <c r="C6" s="267"/>
      <c r="D6" s="267"/>
      <c r="H6" s="226" t="s">
        <v>0</v>
      </c>
      <c r="I6" s="227"/>
      <c r="J6" s="227"/>
      <c r="K6" s="227"/>
      <c r="L6" s="228"/>
    </row>
    <row r="7" spans="1:12" x14ac:dyDescent="0.2">
      <c r="H7" s="40"/>
      <c r="I7" s="41"/>
      <c r="J7" s="41"/>
      <c r="K7" s="41"/>
      <c r="L7" s="42"/>
    </row>
    <row r="8" spans="1:12" ht="15.75" customHeight="1" thickBot="1" x14ac:dyDescent="0.25">
      <c r="H8" s="57" t="s">
        <v>104</v>
      </c>
      <c r="I8" s="50"/>
      <c r="J8" s="50"/>
      <c r="K8" s="50"/>
      <c r="L8" s="51"/>
    </row>
    <row r="9" spans="1:12" ht="17.25" customHeight="1" x14ac:dyDescent="0.2">
      <c r="A9" s="232" t="s">
        <v>102</v>
      </c>
      <c r="C9" s="230" t="s">
        <v>24</v>
      </c>
      <c r="D9" s="259"/>
      <c r="E9" s="231"/>
      <c r="H9" s="40" t="s">
        <v>105</v>
      </c>
      <c r="I9" s="41"/>
      <c r="J9" s="41"/>
      <c r="K9" s="41"/>
      <c r="L9" s="42"/>
    </row>
    <row r="10" spans="1:12" ht="12.75" customHeight="1" x14ac:dyDescent="0.2">
      <c r="A10" s="232"/>
      <c r="C10" s="6"/>
      <c r="D10" s="18"/>
      <c r="E10" s="7"/>
      <c r="H10" s="40"/>
      <c r="I10" s="41"/>
      <c r="J10" s="41"/>
      <c r="K10" s="41"/>
      <c r="L10" s="42"/>
    </row>
    <row r="11" spans="1:12" ht="18.75" customHeight="1" x14ac:dyDescent="0.25">
      <c r="A11" s="232"/>
      <c r="C11" s="6" t="s">
        <v>89</v>
      </c>
      <c r="D11" s="96">
        <v>0.5</v>
      </c>
      <c r="E11" s="59" t="s">
        <v>93</v>
      </c>
      <c r="H11" s="257" t="s">
        <v>548</v>
      </c>
      <c r="I11" s="258"/>
      <c r="J11" s="258"/>
      <c r="K11" s="258"/>
      <c r="L11" s="42"/>
    </row>
    <row r="12" spans="1:12" ht="13.5" thickBot="1" x14ac:dyDescent="0.25">
      <c r="A12" s="232"/>
      <c r="C12" s="8"/>
      <c r="D12" s="54"/>
      <c r="E12" s="99"/>
      <c r="H12" s="57"/>
      <c r="I12" s="50"/>
      <c r="J12" s="50"/>
      <c r="K12" s="50"/>
      <c r="L12" s="51"/>
    </row>
    <row r="13" spans="1:12" ht="20.25" customHeight="1" x14ac:dyDescent="0.2">
      <c r="A13" s="232"/>
      <c r="C13" s="32" t="s">
        <v>90</v>
      </c>
      <c r="D13" s="33"/>
      <c r="E13" s="34"/>
      <c r="H13" s="57"/>
      <c r="I13" s="50"/>
      <c r="J13" s="50"/>
      <c r="K13" s="50"/>
      <c r="L13" s="51"/>
    </row>
    <row r="14" spans="1:12" x14ac:dyDescent="0.2">
      <c r="A14" s="232"/>
      <c r="C14" s="6"/>
      <c r="D14" s="18"/>
      <c r="E14" s="59"/>
      <c r="H14" s="57"/>
      <c r="I14" s="50"/>
      <c r="J14" s="50"/>
      <c r="K14" s="50"/>
      <c r="L14" s="51"/>
    </row>
    <row r="15" spans="1:12" ht="15.75" customHeight="1" x14ac:dyDescent="0.25">
      <c r="A15" s="232"/>
      <c r="C15" s="6" t="s">
        <v>91</v>
      </c>
      <c r="D15" s="98">
        <f>ABS(SurfTemp-FluidTemp)</f>
        <v>40</v>
      </c>
      <c r="E15" s="59" t="s">
        <v>92</v>
      </c>
      <c r="H15" s="57"/>
      <c r="I15" s="50"/>
      <c r="J15" s="50"/>
      <c r="K15" s="50"/>
      <c r="L15" s="51"/>
    </row>
    <row r="16" spans="1:12" x14ac:dyDescent="0.2">
      <c r="A16" s="232"/>
      <c r="C16" s="6"/>
      <c r="D16" s="18"/>
      <c r="E16" s="59"/>
      <c r="H16" s="57"/>
      <c r="I16" s="50"/>
      <c r="J16" s="50"/>
      <c r="K16" s="50"/>
      <c r="L16" s="51"/>
    </row>
    <row r="17" spans="1:13" x14ac:dyDescent="0.2">
      <c r="A17" s="232"/>
      <c r="C17" s="6"/>
      <c r="D17" s="18"/>
      <c r="E17" s="59"/>
      <c r="H17" s="57"/>
      <c r="I17" s="50"/>
      <c r="J17" s="50"/>
      <c r="K17" s="50"/>
      <c r="L17" s="51"/>
    </row>
    <row r="18" spans="1:13" ht="15" x14ac:dyDescent="0.25">
      <c r="A18" s="232"/>
      <c r="C18" s="6" t="s">
        <v>94</v>
      </c>
      <c r="D18" s="97">
        <f>Viscosity*SpecHeat/ThermCond</f>
        <v>0.71010849242738405</v>
      </c>
      <c r="E18" s="59"/>
      <c r="H18" s="57"/>
      <c r="I18" s="50"/>
      <c r="J18" s="50"/>
      <c r="K18" s="50"/>
      <c r="L18" s="51"/>
    </row>
    <row r="19" spans="1:13" x14ac:dyDescent="0.2">
      <c r="A19" s="232"/>
      <c r="C19" s="74"/>
      <c r="D19" s="75"/>
      <c r="E19" s="59"/>
      <c r="H19" s="57"/>
      <c r="I19" s="50"/>
      <c r="J19" s="50"/>
      <c r="K19" s="50"/>
      <c r="L19" s="51"/>
    </row>
    <row r="20" spans="1:13" x14ac:dyDescent="0.2">
      <c r="A20" s="232"/>
      <c r="C20" s="32"/>
      <c r="D20" s="33"/>
      <c r="E20" s="7"/>
      <c r="H20" s="57"/>
      <c r="I20" s="50"/>
      <c r="J20" s="50"/>
      <c r="K20" s="50"/>
      <c r="L20" s="51"/>
      <c r="M20" s="53"/>
    </row>
    <row r="21" spans="1:13" ht="18.75" customHeight="1" x14ac:dyDescent="0.25">
      <c r="A21" s="232"/>
      <c r="C21" s="6" t="s">
        <v>95</v>
      </c>
      <c r="D21" s="100">
        <f>(D11^3)*(Density^2)*9.81*D15*ThExpCoeff/(Viscosity^2)</f>
        <v>407215608.85485518</v>
      </c>
      <c r="E21" s="34"/>
      <c r="H21" s="57"/>
      <c r="I21" s="50"/>
      <c r="J21" s="50"/>
      <c r="K21" s="50"/>
      <c r="L21" s="51"/>
      <c r="M21" s="53"/>
    </row>
    <row r="22" spans="1:13" ht="14.25" customHeight="1" x14ac:dyDescent="0.2">
      <c r="A22" s="232"/>
      <c r="C22" s="6"/>
      <c r="D22" s="23"/>
      <c r="E22" s="7"/>
      <c r="H22" s="57"/>
      <c r="I22" s="50"/>
      <c r="J22" s="50"/>
      <c r="K22" s="50"/>
      <c r="L22" s="51"/>
      <c r="M22" s="53"/>
    </row>
    <row r="23" spans="1:13" x14ac:dyDescent="0.2">
      <c r="A23" s="232"/>
      <c r="C23" s="6"/>
      <c r="D23" s="23"/>
      <c r="E23" s="7"/>
      <c r="H23" s="57"/>
      <c r="I23" s="50"/>
      <c r="J23" s="50"/>
      <c r="K23" s="50"/>
      <c r="L23" s="51"/>
      <c r="M23" s="53"/>
    </row>
    <row r="24" spans="1:13" ht="15" x14ac:dyDescent="0.25">
      <c r="A24" s="232"/>
      <c r="C24" s="6" t="s">
        <v>96</v>
      </c>
      <c r="D24" s="101">
        <f>D18*D21</f>
        <v>289167262.09682053</v>
      </c>
      <c r="E24" s="7"/>
      <c r="H24" s="57"/>
      <c r="I24" s="50"/>
      <c r="J24" s="50"/>
      <c r="K24" s="50"/>
      <c r="L24" s="51"/>
      <c r="M24" s="53"/>
    </row>
    <row r="25" spans="1:13" x14ac:dyDescent="0.2">
      <c r="A25" s="232"/>
      <c r="C25" s="6"/>
      <c r="D25" s="98"/>
      <c r="E25" s="7"/>
      <c r="H25" s="57"/>
      <c r="I25" s="50"/>
      <c r="J25" s="50"/>
      <c r="K25" s="50"/>
      <c r="L25" s="51"/>
      <c r="M25" s="53"/>
    </row>
    <row r="26" spans="1:13" ht="10.5" customHeight="1" x14ac:dyDescent="0.2">
      <c r="A26" s="232"/>
      <c r="C26" s="6"/>
      <c r="D26" s="18"/>
      <c r="E26" s="7"/>
      <c r="H26" s="57"/>
      <c r="I26" s="50"/>
      <c r="J26" s="50"/>
      <c r="K26" s="50"/>
      <c r="L26" s="51"/>
      <c r="M26" s="53"/>
    </row>
    <row r="27" spans="1:13" ht="5.25" customHeight="1" thickBot="1" x14ac:dyDescent="0.25">
      <c r="A27" s="232"/>
      <c r="C27" s="8"/>
      <c r="D27" s="86"/>
      <c r="E27" s="24"/>
      <c r="H27" s="57"/>
      <c r="I27" s="50"/>
      <c r="J27" s="50"/>
      <c r="K27" s="50"/>
      <c r="L27" s="51"/>
      <c r="M27" s="53"/>
    </row>
    <row r="28" spans="1:13" x14ac:dyDescent="0.2">
      <c r="H28" s="57"/>
      <c r="I28" s="50"/>
      <c r="J28" s="50"/>
      <c r="K28" s="50"/>
      <c r="L28" s="51"/>
      <c r="M28" s="53"/>
    </row>
    <row r="29" spans="1:13" ht="6.75" customHeight="1" x14ac:dyDescent="0.2">
      <c r="E29" s="36"/>
      <c r="H29" s="57"/>
      <c r="I29" s="50"/>
      <c r="J29" s="50"/>
      <c r="K29" s="50"/>
      <c r="L29" s="51"/>
      <c r="M29" s="53"/>
    </row>
    <row r="30" spans="1:13" ht="15.75" thickBot="1" x14ac:dyDescent="0.3">
      <c r="C30" s="107" t="s">
        <v>120</v>
      </c>
      <c r="H30" s="82"/>
      <c r="I30" s="68"/>
      <c r="J30" s="68"/>
      <c r="K30" s="68"/>
      <c r="L30" s="69"/>
      <c r="M30" s="53"/>
    </row>
    <row r="31" spans="1:13" ht="20.25" customHeight="1" x14ac:dyDescent="0.2">
      <c r="C31" s="106" t="s">
        <v>119</v>
      </c>
      <c r="J31" s="53"/>
      <c r="M31" s="53"/>
    </row>
    <row r="33" spans="1:12" ht="13.5" thickBot="1" x14ac:dyDescent="0.25">
      <c r="A33" s="263" t="s">
        <v>101</v>
      </c>
    </row>
    <row r="34" spans="1:12" ht="21.75" customHeight="1" x14ac:dyDescent="0.2">
      <c r="A34" s="263"/>
      <c r="C34" s="230" t="s">
        <v>97</v>
      </c>
      <c r="D34" s="259"/>
      <c r="E34" s="231"/>
    </row>
    <row r="35" spans="1:12" x14ac:dyDescent="0.2">
      <c r="A35" s="263"/>
      <c r="C35" s="260"/>
      <c r="D35" s="261"/>
      <c r="E35" s="262"/>
    </row>
    <row r="36" spans="1:12" ht="15.75" x14ac:dyDescent="0.25">
      <c r="A36" s="263"/>
      <c r="C36" s="6" t="s">
        <v>98</v>
      </c>
      <c r="D36" s="70">
        <f>(0.825+(0.387*(D24^(1/6)))/(1+((0.492/D18)^(9/16)))^(8/27))^2</f>
        <v>84.045916318443446</v>
      </c>
      <c r="E36" s="7"/>
    </row>
    <row r="37" spans="1:12" x14ac:dyDescent="0.2">
      <c r="A37" s="263"/>
      <c r="C37" s="6"/>
      <c r="D37" s="70"/>
      <c r="E37" s="7"/>
    </row>
    <row r="38" spans="1:12" ht="15.75" x14ac:dyDescent="0.25">
      <c r="A38" s="263"/>
      <c r="C38" s="6" t="s">
        <v>99</v>
      </c>
      <c r="D38" s="55">
        <f>D36*ThermCond/D11</f>
        <v>4.7658631320846085</v>
      </c>
      <c r="E38" s="7" t="s">
        <v>100</v>
      </c>
    </row>
    <row r="39" spans="1:12" ht="13.5" thickBot="1" x14ac:dyDescent="0.25">
      <c r="A39" s="263"/>
      <c r="C39" s="8"/>
      <c r="D39" s="56"/>
      <c r="E39" s="24"/>
    </row>
    <row r="40" spans="1:12" ht="8.25" customHeight="1" x14ac:dyDescent="0.2">
      <c r="A40" s="263"/>
    </row>
    <row r="41" spans="1:12" ht="6.75" customHeight="1" x14ac:dyDescent="0.2">
      <c r="A41" s="263"/>
    </row>
    <row r="42" spans="1:12" ht="4.5" customHeight="1" x14ac:dyDescent="0.2">
      <c r="A42" s="263"/>
    </row>
    <row r="43" spans="1:12" ht="3.75" customHeight="1" x14ac:dyDescent="0.2">
      <c r="A43" s="263"/>
    </row>
    <row r="44" spans="1:12" x14ac:dyDescent="0.2">
      <c r="A44" s="263"/>
    </row>
    <row r="45" spans="1:12" x14ac:dyDescent="0.2">
      <c r="A45" s="263"/>
    </row>
    <row r="46" spans="1:12" ht="14.25" x14ac:dyDescent="0.2">
      <c r="H46" s="37"/>
      <c r="I46" s="37"/>
      <c r="J46" s="37"/>
      <c r="K46" s="37"/>
      <c r="L46" s="37"/>
    </row>
    <row r="47" spans="1:12" x14ac:dyDescent="0.2">
      <c r="C47" s="46"/>
      <c r="D47" s="46"/>
      <c r="E47" s="46"/>
    </row>
    <row r="48" spans="1:12" ht="14.25" x14ac:dyDescent="0.2">
      <c r="C48" s="106" t="s">
        <v>527</v>
      </c>
    </row>
    <row r="50" spans="3:5" ht="12.75" customHeight="1" x14ac:dyDescent="0.2"/>
    <row r="55" spans="3:5" x14ac:dyDescent="0.2">
      <c r="C55" s="46"/>
      <c r="D55" s="46"/>
      <c r="E55" s="46"/>
    </row>
    <row r="59" spans="3:5" x14ac:dyDescent="0.2">
      <c r="C59" s="46"/>
      <c r="D59" s="46"/>
      <c r="E59" s="46"/>
    </row>
    <row r="63" spans="3:5" x14ac:dyDescent="0.2">
      <c r="C63" s="46"/>
      <c r="D63" s="46"/>
      <c r="E63" s="46"/>
    </row>
    <row r="67" spans="3:8" ht="19.5" customHeight="1" x14ac:dyDescent="0.2">
      <c r="C67" s="46"/>
      <c r="D67" s="46"/>
      <c r="E67" s="46"/>
      <c r="H67" s="30"/>
    </row>
    <row r="68" spans="3:8" ht="19.5" customHeight="1" x14ac:dyDescent="0.2"/>
    <row r="69" spans="3:8" x14ac:dyDescent="0.2">
      <c r="H69" s="3"/>
    </row>
    <row r="71" spans="3:8" ht="21.75" customHeight="1" x14ac:dyDescent="0.2">
      <c r="C71" s="46"/>
      <c r="D71" s="46"/>
      <c r="E71" s="46"/>
    </row>
    <row r="74" spans="3:8" ht="16.5" customHeight="1" x14ac:dyDescent="0.2"/>
    <row r="75" spans="3:8" x14ac:dyDescent="0.2">
      <c r="C75" s="46"/>
      <c r="D75" s="46"/>
      <c r="E75" s="46"/>
    </row>
  </sheetData>
  <sheetProtection sheet="1" objects="1" scenarios="1" formatCells="0"/>
  <mergeCells count="10">
    <mergeCell ref="B3:F3"/>
    <mergeCell ref="B4:F4"/>
    <mergeCell ref="B6:D6"/>
    <mergeCell ref="H11:K11"/>
    <mergeCell ref="H6:L6"/>
    <mergeCell ref="C9:E9"/>
    <mergeCell ref="C35:E35"/>
    <mergeCell ref="A9:A27"/>
    <mergeCell ref="C34:E34"/>
    <mergeCell ref="A33:A45"/>
  </mergeCells>
  <phoneticPr fontId="20" type="noConversion"/>
  <dataValidations count="1">
    <dataValidation type="decimal" operator="greaterThanOrEqual" allowBlank="1" showInputMessage="1" showErrorMessage="1" errorTitle="Invalid Entry" error="Please enter a value greater than zero._x000a_" sqref="D11" xr:uid="{00000000-0002-0000-0200-000000000000}">
      <formula1>0</formula1>
    </dataValidation>
  </dataValidations>
  <hyperlinks>
    <hyperlink ref="F65536:G65536" r:id="rId1" location="p2001147c9963_32002" display="View Table 3.3.3" xr:uid="{00000000-0004-0000-0200-000000000000}"/>
    <hyperlink ref="F65519:G65519" r:id="rId2" location="p2001147c9963_31001" display="View Table 3.3.1" xr:uid="{00000000-0004-0000-0200-000001000000}"/>
    <hyperlink ref="C97" r:id="rId3" location="p200139d89822_98001" display="Table 2-32 in Perry's Chemical Engineers' Handbook, 8th Ed." xr:uid="{00000000-0004-0000-0200-000002000000}"/>
    <hyperlink ref="C107" r:id="rId4" location="p200139d89822_427001" display="Table 2-313 in Perry's Chemical Engineers' Handbook, 8th Ed." xr:uid="{00000000-0004-0000-0200-000003000000}"/>
    <hyperlink ref="I71:J71" r:id="rId5" location="p2001147c9963_48002" display="Table 3.3.9" xr:uid="{00000000-0004-0000-0200-000004000000}"/>
    <hyperlink ref="C97:D97" r:id="rId6" location="p2001147c9963_32002" display="Table 3.3.3" xr:uid="{00000000-0004-0000-0200-000005000000}"/>
    <hyperlink ref="A113" r:id="rId7" location="p2000a1f599621_22002" display="Table 21.3" xr:uid="{00000000-0004-0000-0200-000006000000}"/>
    <hyperlink ref="A100" r:id="rId8" location="p2001147c9963_48002" display="Table 3.3.9" xr:uid="{00000000-0004-0000-0200-000007000000}"/>
    <hyperlink ref="I72:J72" r:id="rId9" location="p2001147c9963_48002" display="Table 3.3.9" xr:uid="{00000000-0004-0000-0200-000008000000}"/>
    <hyperlink ref="A112" r:id="rId10" location="p2000a1f599621_22002" display="Table 21.3" xr:uid="{00000000-0004-0000-0200-000009000000}"/>
    <hyperlink ref="A99" r:id="rId11" location="p2001147c9963_48002" display="Table 3.3.9" xr:uid="{00000000-0004-0000-0200-00000A000000}"/>
    <hyperlink ref="C115" r:id="rId12" location="p200139d89822_427001" display="Table 2-313 in Perry's Chemical Engineers' Handbook, 8th Ed." xr:uid="{00000000-0004-0000-0200-00000B000000}"/>
    <hyperlink ref="C123" r:id="rId13" location="p200139d89822_427001" display="Table 2-313 in Perry's Chemical Engineers' Handbook, 8th Ed." xr:uid="{00000000-0004-0000-0200-00000C000000}"/>
    <hyperlink ref="C131" r:id="rId14" location="p200139d89822_427001" display="Table 2-313 in Perry's Chemical Engineers' Handbook, 8th Ed." xr:uid="{00000000-0004-0000-0200-00000D000000}"/>
    <hyperlink ref="I11:K11" r:id="rId15" location="p200139d899705_8001" display="Perry's Chemical Engineers' Handbook, 8th Ed. - Sect. 5.3.2 Natural Convection" xr:uid="{3C9F5FDF-505A-4E9D-9B7B-612F2A298641}"/>
    <hyperlink ref="H11:K11" r:id="rId16" location="c9780071834087ch05lev2sec07" display="Perry's Chemical Engineer's Handbook, 9th Ed. - Sect 5.3.2 Natural Convection" xr:uid="{2F0C104A-EF88-4C5D-BB85-9A804D2E1FDB}"/>
  </hyperlinks>
  <pageMargins left="0.75" right="0.75" top="1" bottom="1" header="0.5" footer="0.5"/>
  <pageSetup orientation="portrait" horizontalDpi="0" verticalDpi="0" r:id="rId17"/>
  <headerFooter alignWithMargins="0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100"/>
  <sheetViews>
    <sheetView showGridLines="0" workbookViewId="0"/>
  </sheetViews>
  <sheetFormatPr defaultRowHeight="12.75" x14ac:dyDescent="0.2"/>
  <cols>
    <col min="1" max="1" width="8.85546875" customWidth="1"/>
    <col min="2" max="2" width="7.140625" customWidth="1"/>
    <col min="3" max="3" width="23.5703125" customWidth="1"/>
    <col min="4" max="4" width="23.140625" customWidth="1"/>
    <col min="5" max="5" width="14.85546875" customWidth="1"/>
    <col min="6" max="6" width="13.7109375" customWidth="1"/>
    <col min="7" max="7" width="15.42578125" customWidth="1"/>
    <col min="8" max="8" width="19" customWidth="1"/>
    <col min="9" max="9" width="16.42578125" customWidth="1"/>
    <col min="10" max="10" width="15.28515625" customWidth="1"/>
    <col min="11" max="11" width="19" customWidth="1"/>
  </cols>
  <sheetData>
    <row r="1" spans="1:11" ht="13.5" thickBot="1" x14ac:dyDescent="0.25"/>
    <row r="2" spans="1:11" ht="27" customHeight="1" x14ac:dyDescent="0.25">
      <c r="B2" s="243" t="s">
        <v>88</v>
      </c>
      <c r="C2" s="244"/>
      <c r="D2" s="244"/>
      <c r="E2" s="244"/>
      <c r="F2" s="245"/>
    </row>
    <row r="3" spans="1:11" ht="23.25" customHeight="1" x14ac:dyDescent="0.2">
      <c r="B3" s="264" t="s">
        <v>106</v>
      </c>
      <c r="C3" s="265"/>
      <c r="D3" s="265"/>
      <c r="E3" s="265"/>
      <c r="F3" s="266"/>
    </row>
    <row r="4" spans="1:11" ht="15.75" thickBot="1" x14ac:dyDescent="0.25">
      <c r="B4" s="247"/>
      <c r="C4" s="248"/>
      <c r="D4" s="248"/>
      <c r="E4" s="248"/>
      <c r="F4" s="249"/>
    </row>
    <row r="6" spans="1:11" ht="13.5" thickBot="1" x14ac:dyDescent="0.25"/>
    <row r="7" spans="1:11" ht="14.25" x14ac:dyDescent="0.2">
      <c r="B7" s="268" t="s">
        <v>5</v>
      </c>
      <c r="C7" s="268"/>
      <c r="D7" s="268"/>
      <c r="G7" s="226" t="s">
        <v>0</v>
      </c>
      <c r="H7" s="227"/>
      <c r="I7" s="227"/>
      <c r="J7" s="227"/>
      <c r="K7" s="228"/>
    </row>
    <row r="8" spans="1:11" ht="13.5" thickBot="1" x14ac:dyDescent="0.25">
      <c r="G8" s="40"/>
      <c r="H8" s="41"/>
      <c r="I8" s="41"/>
      <c r="J8" s="41"/>
      <c r="K8" s="42"/>
    </row>
    <row r="9" spans="1:11" x14ac:dyDescent="0.2">
      <c r="C9" s="230" t="s">
        <v>24</v>
      </c>
      <c r="D9" s="259"/>
      <c r="E9" s="231"/>
      <c r="G9" s="57" t="s">
        <v>131</v>
      </c>
      <c r="H9" s="50"/>
      <c r="I9" s="50"/>
      <c r="J9" s="50"/>
      <c r="K9" s="51"/>
    </row>
    <row r="10" spans="1:11" ht="12.75" customHeight="1" x14ac:dyDescent="0.2">
      <c r="A10" s="269" t="s">
        <v>102</v>
      </c>
      <c r="C10" s="6"/>
      <c r="D10" s="18"/>
      <c r="E10" s="7"/>
      <c r="G10" s="40" t="s">
        <v>130</v>
      </c>
      <c r="H10" s="41"/>
      <c r="I10" s="41"/>
      <c r="J10" s="41"/>
      <c r="K10" s="42"/>
    </row>
    <row r="11" spans="1:11" ht="13.5" customHeight="1" x14ac:dyDescent="0.25">
      <c r="A11" s="269"/>
      <c r="C11" s="6" t="s">
        <v>107</v>
      </c>
      <c r="D11" s="96">
        <v>0.05</v>
      </c>
      <c r="E11" s="59" t="s">
        <v>109</v>
      </c>
      <c r="G11" s="40"/>
      <c r="H11" s="41"/>
      <c r="I11" s="41"/>
      <c r="J11" s="41"/>
      <c r="K11" s="42"/>
    </row>
    <row r="12" spans="1:11" ht="17.25" customHeight="1" x14ac:dyDescent="0.2">
      <c r="A12" s="269"/>
      <c r="C12" s="6"/>
      <c r="D12" s="18"/>
      <c r="E12" s="59"/>
      <c r="G12" s="257" t="s">
        <v>548</v>
      </c>
      <c r="H12" s="258"/>
      <c r="I12" s="258"/>
      <c r="J12" s="258"/>
      <c r="K12" s="42"/>
    </row>
    <row r="13" spans="1:11" ht="17.25" customHeight="1" x14ac:dyDescent="0.25">
      <c r="A13" s="269"/>
      <c r="C13" s="6" t="s">
        <v>108</v>
      </c>
      <c r="D13" s="96">
        <v>1.2</v>
      </c>
      <c r="E13" s="59" t="s">
        <v>93</v>
      </c>
      <c r="G13" s="57"/>
      <c r="H13" s="50"/>
      <c r="I13" s="50"/>
      <c r="J13" s="50"/>
      <c r="K13" s="51"/>
    </row>
    <row r="14" spans="1:11" ht="13.5" thickBot="1" x14ac:dyDescent="0.25">
      <c r="A14" s="269"/>
      <c r="C14" s="8"/>
      <c r="D14" s="54"/>
      <c r="E14" s="99"/>
      <c r="G14" s="57"/>
      <c r="H14" s="50"/>
      <c r="I14" s="50"/>
      <c r="J14" s="50"/>
      <c r="K14" s="51"/>
    </row>
    <row r="15" spans="1:11" ht="16.5" customHeight="1" x14ac:dyDescent="0.2">
      <c r="A15" s="269"/>
      <c r="C15" s="79" t="s">
        <v>90</v>
      </c>
      <c r="D15" s="80"/>
      <c r="E15" s="81"/>
      <c r="G15" s="57"/>
      <c r="H15" s="50"/>
      <c r="I15" s="50"/>
      <c r="J15" s="50"/>
      <c r="K15" s="51"/>
    </row>
    <row r="16" spans="1:11" x14ac:dyDescent="0.2">
      <c r="A16" s="269"/>
      <c r="C16" s="6"/>
      <c r="D16" s="18"/>
      <c r="E16" s="59"/>
      <c r="G16" s="57"/>
      <c r="H16" s="50"/>
      <c r="I16" s="50"/>
      <c r="J16" s="50"/>
      <c r="K16" s="51"/>
    </row>
    <row r="17" spans="1:11" ht="15.75" x14ac:dyDescent="0.25">
      <c r="A17" s="269"/>
      <c r="C17" s="6" t="s">
        <v>91</v>
      </c>
      <c r="D17" s="98">
        <f>ABS(SurfTemp-FluidTemp)</f>
        <v>40</v>
      </c>
      <c r="E17" s="59" t="s">
        <v>92</v>
      </c>
      <c r="G17" s="57"/>
      <c r="H17" s="50"/>
      <c r="I17" s="50"/>
      <c r="J17" s="50"/>
      <c r="K17" s="51"/>
    </row>
    <row r="18" spans="1:11" x14ac:dyDescent="0.2">
      <c r="A18" s="269"/>
      <c r="C18" s="6"/>
      <c r="D18" s="18"/>
      <c r="E18" s="59"/>
      <c r="G18" s="57"/>
      <c r="H18" s="50"/>
      <c r="I18" s="50"/>
      <c r="J18" s="50"/>
      <c r="K18" s="51"/>
    </row>
    <row r="19" spans="1:11" x14ac:dyDescent="0.2">
      <c r="A19" s="269"/>
      <c r="C19" s="6"/>
      <c r="D19" s="18"/>
      <c r="E19" s="59"/>
      <c r="G19" s="57"/>
      <c r="H19" s="50"/>
      <c r="I19" s="50"/>
      <c r="J19" s="50"/>
      <c r="K19" s="51"/>
    </row>
    <row r="20" spans="1:11" ht="15" x14ac:dyDescent="0.25">
      <c r="A20" s="269"/>
      <c r="B20" s="53"/>
      <c r="C20" s="6" t="s">
        <v>118</v>
      </c>
      <c r="D20" s="97">
        <f>D11/D13</f>
        <v>4.1666666666666671E-2</v>
      </c>
      <c r="E20" s="59"/>
      <c r="G20" s="57"/>
      <c r="H20" s="50"/>
      <c r="I20" s="50"/>
      <c r="J20" s="50"/>
      <c r="K20" s="51"/>
    </row>
    <row r="21" spans="1:11" ht="17.25" customHeight="1" x14ac:dyDescent="0.2">
      <c r="A21" s="269"/>
      <c r="B21" s="53"/>
      <c r="C21" s="74"/>
      <c r="D21" s="75"/>
      <c r="E21" s="59"/>
      <c r="G21" s="57"/>
      <c r="H21" s="50"/>
      <c r="I21" s="50"/>
      <c r="J21" s="50"/>
      <c r="K21" s="51"/>
    </row>
    <row r="22" spans="1:11" ht="15.75" customHeight="1" x14ac:dyDescent="0.2">
      <c r="A22" s="269"/>
      <c r="B22" s="53"/>
      <c r="C22" s="32"/>
      <c r="D22" s="33"/>
      <c r="E22" s="7"/>
      <c r="G22" s="57"/>
      <c r="H22" s="50"/>
      <c r="I22" s="50"/>
      <c r="J22" s="50"/>
      <c r="K22" s="51"/>
    </row>
    <row r="23" spans="1:11" ht="12.75" customHeight="1" x14ac:dyDescent="0.25">
      <c r="A23" s="269"/>
      <c r="B23" s="53"/>
      <c r="C23" s="6" t="s">
        <v>94</v>
      </c>
      <c r="D23" s="97">
        <f>Viscosity*SpecHeat/ThermCond</f>
        <v>0.71010849242738405</v>
      </c>
      <c r="E23" s="34"/>
      <c r="G23" s="57"/>
      <c r="H23" s="50"/>
      <c r="I23" s="50"/>
      <c r="J23" s="50"/>
      <c r="K23" s="51"/>
    </row>
    <row r="24" spans="1:11" ht="15.75" customHeight="1" x14ac:dyDescent="0.2">
      <c r="A24" s="269"/>
      <c r="B24" s="53"/>
      <c r="C24" s="32"/>
      <c r="D24" s="33"/>
      <c r="E24" s="7"/>
      <c r="G24" s="57" t="s">
        <v>122</v>
      </c>
      <c r="H24" s="50"/>
      <c r="I24" s="50"/>
      <c r="J24" s="50"/>
      <c r="K24" s="51"/>
    </row>
    <row r="25" spans="1:11" x14ac:dyDescent="0.2">
      <c r="A25" s="269"/>
      <c r="B25" s="53"/>
      <c r="C25" s="32"/>
      <c r="D25" s="33"/>
      <c r="E25" s="7"/>
      <c r="G25" s="57" t="s">
        <v>123</v>
      </c>
      <c r="H25" s="50"/>
      <c r="I25" s="50"/>
      <c r="J25" s="50"/>
      <c r="K25" s="51"/>
    </row>
    <row r="26" spans="1:11" ht="13.5" customHeight="1" x14ac:dyDescent="0.25">
      <c r="A26" s="269"/>
      <c r="B26" s="53"/>
      <c r="C26" s="6" t="s">
        <v>95</v>
      </c>
      <c r="D26" s="100">
        <f>(D20^3)*(Density^2)*9.81*D17*ThExpCoeff/(Viscosity^2)</f>
        <v>235657.18105026349</v>
      </c>
      <c r="E26" s="7"/>
      <c r="G26" s="57"/>
      <c r="H26" s="50"/>
      <c r="I26" s="50"/>
      <c r="J26" s="50"/>
      <c r="K26" s="51"/>
    </row>
    <row r="27" spans="1:11" ht="18" customHeight="1" x14ac:dyDescent="0.25">
      <c r="A27" s="269"/>
      <c r="B27" s="53"/>
      <c r="C27" s="6"/>
      <c r="D27" s="23"/>
      <c r="E27" s="7"/>
      <c r="G27" s="57"/>
      <c r="H27" s="108" t="s">
        <v>124</v>
      </c>
      <c r="I27" s="50"/>
      <c r="J27" s="50"/>
      <c r="K27" s="51"/>
    </row>
    <row r="28" spans="1:11" ht="18" customHeight="1" x14ac:dyDescent="0.25">
      <c r="A28" s="269"/>
      <c r="B28" s="53"/>
      <c r="C28" s="6" t="s">
        <v>96</v>
      </c>
      <c r="D28" s="101">
        <f>D23*D26</f>
        <v>167342.1655652897</v>
      </c>
      <c r="E28" s="7"/>
      <c r="G28" s="57"/>
      <c r="H28" s="50"/>
      <c r="I28" s="50"/>
      <c r="J28" s="50"/>
      <c r="K28" s="51"/>
    </row>
    <row r="29" spans="1:11" ht="18" customHeight="1" thickBot="1" x14ac:dyDescent="0.3">
      <c r="A29" s="269"/>
      <c r="B29" s="53"/>
      <c r="C29" s="8"/>
      <c r="D29" s="86"/>
      <c r="E29" s="24"/>
      <c r="G29" s="57"/>
      <c r="H29" s="108" t="s">
        <v>125</v>
      </c>
      <c r="I29" s="50"/>
      <c r="J29" s="50"/>
      <c r="K29" s="51"/>
    </row>
    <row r="30" spans="1:11" ht="18" customHeight="1" x14ac:dyDescent="0.2">
      <c r="G30" s="57"/>
      <c r="H30" s="50"/>
      <c r="I30" s="50"/>
      <c r="J30" s="50"/>
      <c r="K30" s="51"/>
    </row>
    <row r="31" spans="1:11" ht="18" customHeight="1" x14ac:dyDescent="0.25">
      <c r="C31" s="107" t="s">
        <v>120</v>
      </c>
      <c r="G31" s="57" t="s">
        <v>126</v>
      </c>
      <c r="H31" s="50"/>
      <c r="I31" s="50"/>
      <c r="J31" s="50"/>
      <c r="K31" s="51"/>
    </row>
    <row r="32" spans="1:11" ht="18" customHeight="1" x14ac:dyDescent="0.2">
      <c r="C32" s="106" t="s">
        <v>119</v>
      </c>
      <c r="G32" s="57" t="s">
        <v>127</v>
      </c>
      <c r="H32" s="50"/>
      <c r="I32" s="50"/>
      <c r="J32" s="50"/>
      <c r="K32" s="51" t="s">
        <v>121</v>
      </c>
    </row>
    <row r="33" spans="1:12" ht="18" customHeight="1" thickBot="1" x14ac:dyDescent="0.25">
      <c r="A33" s="269" t="s">
        <v>116</v>
      </c>
      <c r="G33" s="57"/>
      <c r="H33" s="50"/>
      <c r="I33" s="50"/>
      <c r="J33" s="50"/>
      <c r="K33" s="51"/>
    </row>
    <row r="34" spans="1:12" ht="18" customHeight="1" x14ac:dyDescent="0.25">
      <c r="A34" s="269"/>
      <c r="C34" s="230" t="s">
        <v>97</v>
      </c>
      <c r="D34" s="259"/>
      <c r="E34" s="231"/>
      <c r="G34" s="57"/>
      <c r="H34" s="108" t="s">
        <v>128</v>
      </c>
      <c r="I34" s="50"/>
      <c r="J34" s="50"/>
      <c r="K34" s="51"/>
    </row>
    <row r="35" spans="1:12" ht="18" customHeight="1" thickBot="1" x14ac:dyDescent="0.25">
      <c r="A35" s="269"/>
      <c r="C35" s="260"/>
      <c r="D35" s="261"/>
      <c r="E35" s="262"/>
      <c r="G35" s="82"/>
      <c r="H35" s="68"/>
      <c r="I35" s="68"/>
      <c r="J35" s="68"/>
      <c r="K35" s="69"/>
    </row>
    <row r="36" spans="1:12" ht="18" customHeight="1" x14ac:dyDescent="0.25">
      <c r="A36" s="269"/>
      <c r="C36" s="103" t="s">
        <v>111</v>
      </c>
      <c r="D36" s="104"/>
      <c r="E36" s="105"/>
    </row>
    <row r="37" spans="1:12" ht="18" customHeight="1" x14ac:dyDescent="0.25">
      <c r="A37" s="269"/>
      <c r="C37" s="103" t="s">
        <v>110</v>
      </c>
      <c r="D37" s="104"/>
      <c r="E37" s="105"/>
    </row>
    <row r="38" spans="1:12" ht="18" customHeight="1" x14ac:dyDescent="0.2">
      <c r="A38" s="269"/>
      <c r="C38" s="6"/>
      <c r="D38" s="70"/>
      <c r="E38" s="7"/>
    </row>
    <row r="39" spans="1:12" ht="13.5" customHeight="1" x14ac:dyDescent="0.25">
      <c r="A39" s="269"/>
      <c r="C39" s="103" t="s">
        <v>112</v>
      </c>
      <c r="D39" s="70"/>
      <c r="E39" s="7"/>
    </row>
    <row r="40" spans="1:12" ht="18" customHeight="1" x14ac:dyDescent="0.2">
      <c r="A40" s="269"/>
      <c r="C40" s="6"/>
      <c r="D40" s="70"/>
      <c r="E40" s="7"/>
    </row>
    <row r="41" spans="1:12" ht="15" customHeight="1" x14ac:dyDescent="0.25">
      <c r="A41" s="269"/>
      <c r="C41" s="6" t="s">
        <v>98</v>
      </c>
      <c r="D41" s="70">
        <f>0.54*(D28^0.25)</f>
        <v>10.921822295755673</v>
      </c>
      <c r="E41" s="7"/>
    </row>
    <row r="42" spans="1:12" ht="9" customHeight="1" x14ac:dyDescent="0.2">
      <c r="A42" s="269"/>
      <c r="C42" s="6"/>
      <c r="D42" s="70"/>
      <c r="E42" s="7"/>
    </row>
    <row r="43" spans="1:12" ht="16.5" customHeight="1" x14ac:dyDescent="0.25">
      <c r="A43" s="269"/>
      <c r="C43" s="6" t="s">
        <v>99</v>
      </c>
      <c r="D43" s="55">
        <f>D41*ThermCond/D20</f>
        <v>7.4319247137197237</v>
      </c>
      <c r="E43" s="7" t="s">
        <v>100</v>
      </c>
    </row>
    <row r="44" spans="1:12" ht="24.75" customHeight="1" x14ac:dyDescent="0.2">
      <c r="A44" s="269"/>
      <c r="C44" s="6"/>
      <c r="D44" s="55"/>
      <c r="E44" s="7"/>
      <c r="J44" s="2"/>
    </row>
    <row r="45" spans="1:12" ht="17.25" x14ac:dyDescent="0.25">
      <c r="A45" s="269"/>
      <c r="C45" s="103" t="s">
        <v>113</v>
      </c>
      <c r="D45" s="70"/>
      <c r="E45" s="7"/>
      <c r="K45" s="37"/>
      <c r="L45" s="37"/>
    </row>
    <row r="46" spans="1:12" x14ac:dyDescent="0.2">
      <c r="A46" s="269"/>
      <c r="C46" s="6"/>
      <c r="D46" s="70"/>
      <c r="E46" s="7"/>
    </row>
    <row r="47" spans="1:12" ht="15.75" customHeight="1" x14ac:dyDescent="0.25">
      <c r="A47" s="269"/>
      <c r="C47" s="6" t="s">
        <v>98</v>
      </c>
      <c r="D47" s="70">
        <f>0.15*(D28^(1/3))</f>
        <v>8.2659553305168458</v>
      </c>
      <c r="E47" s="7"/>
    </row>
    <row r="48" spans="1:12" ht="10.5" customHeight="1" x14ac:dyDescent="0.2">
      <c r="A48" s="269"/>
      <c r="C48" s="6"/>
      <c r="D48" s="70"/>
      <c r="E48" s="7"/>
    </row>
    <row r="49" spans="1:12" ht="16.5" customHeight="1" x14ac:dyDescent="0.25">
      <c r="A49" s="269"/>
      <c r="C49" s="6" t="s">
        <v>99</v>
      </c>
      <c r="D49" s="55">
        <f>D47*ThermCond/D20</f>
        <v>5.6246985200669757</v>
      </c>
      <c r="E49" s="7" t="s">
        <v>100</v>
      </c>
      <c r="J49" s="60"/>
      <c r="K49" s="60"/>
      <c r="L49" s="60"/>
    </row>
    <row r="50" spans="1:12" ht="17.25" customHeight="1" x14ac:dyDescent="0.2">
      <c r="A50" s="269"/>
      <c r="C50" s="6"/>
      <c r="D50" s="18"/>
      <c r="E50" s="7"/>
    </row>
    <row r="51" spans="1:12" ht="17.25" customHeight="1" x14ac:dyDescent="0.25">
      <c r="A51" s="269"/>
      <c r="C51" s="103" t="s">
        <v>114</v>
      </c>
      <c r="D51" s="104"/>
      <c r="E51" s="105"/>
      <c r="J51" s="61"/>
      <c r="K51" s="61"/>
      <c r="L51" s="61"/>
    </row>
    <row r="52" spans="1:12" ht="15" x14ac:dyDescent="0.25">
      <c r="A52" s="269"/>
      <c r="C52" s="103" t="s">
        <v>115</v>
      </c>
      <c r="D52" s="104"/>
      <c r="E52" s="105"/>
      <c r="L52" s="61"/>
    </row>
    <row r="53" spans="1:12" ht="16.5" customHeight="1" x14ac:dyDescent="0.25">
      <c r="A53" s="269"/>
      <c r="C53" s="103" t="s">
        <v>117</v>
      </c>
      <c r="D53" s="18"/>
      <c r="E53" s="7"/>
      <c r="J53" s="61"/>
      <c r="K53" s="61"/>
      <c r="L53" s="61"/>
    </row>
    <row r="54" spans="1:12" ht="12.75" customHeight="1" x14ac:dyDescent="0.2">
      <c r="A54" s="269"/>
      <c r="C54" s="6"/>
      <c r="D54" s="70"/>
      <c r="E54" s="7"/>
      <c r="J54" s="39"/>
      <c r="K54" s="39"/>
      <c r="L54" s="39"/>
    </row>
    <row r="55" spans="1:12" ht="15.75" x14ac:dyDescent="0.25">
      <c r="A55" s="269"/>
      <c r="C55" s="6" t="s">
        <v>98</v>
      </c>
      <c r="D55" s="70">
        <f>0.27*(D28^0.25)</f>
        <v>5.4609111478778365</v>
      </c>
      <c r="E55" s="7"/>
      <c r="J55" s="61"/>
      <c r="K55" s="61"/>
      <c r="L55" s="61"/>
    </row>
    <row r="56" spans="1:12" ht="9.75" customHeight="1" x14ac:dyDescent="0.2">
      <c r="A56" s="269"/>
      <c r="C56" s="6"/>
      <c r="D56" s="70"/>
      <c r="E56" s="7"/>
      <c r="J56" s="61"/>
      <c r="K56" s="61"/>
      <c r="L56" s="61"/>
    </row>
    <row r="57" spans="1:12" ht="15.75" x14ac:dyDescent="0.25">
      <c r="A57" s="269"/>
      <c r="C57" s="6" t="s">
        <v>99</v>
      </c>
      <c r="D57" s="55">
        <f>D55*ThermCond/D23</f>
        <v>0.2180395904573611</v>
      </c>
      <c r="E57" s="7" t="s">
        <v>100</v>
      </c>
      <c r="J57" s="39"/>
      <c r="K57" s="61"/>
      <c r="L57" s="61"/>
    </row>
    <row r="58" spans="1:12" x14ac:dyDescent="0.2">
      <c r="A58" s="269"/>
      <c r="C58" s="6"/>
      <c r="D58" s="18"/>
      <c r="E58" s="7"/>
    </row>
    <row r="59" spans="1:12" ht="13.5" thickBot="1" x14ac:dyDescent="0.25">
      <c r="A59" s="269"/>
      <c r="C59" s="8"/>
      <c r="D59" s="54"/>
      <c r="E59" s="24"/>
    </row>
    <row r="61" spans="1:12" ht="17.25" customHeight="1" x14ac:dyDescent="0.2"/>
    <row r="62" spans="1:12" ht="14.25" x14ac:dyDescent="0.2">
      <c r="C62" s="106" t="s">
        <v>527</v>
      </c>
    </row>
    <row r="64" spans="1:12" ht="14.25" x14ac:dyDescent="0.2">
      <c r="H64" s="30"/>
      <c r="I64" s="30"/>
      <c r="J64" s="30"/>
    </row>
    <row r="66" spans="8:11" ht="18.75" customHeight="1" x14ac:dyDescent="0.2">
      <c r="H66" s="3"/>
      <c r="I66" s="3"/>
    </row>
    <row r="67" spans="8:11" ht="14.25" x14ac:dyDescent="0.2">
      <c r="K67" s="30"/>
    </row>
    <row r="73" spans="8:11" x14ac:dyDescent="0.2">
      <c r="K73" s="5"/>
    </row>
    <row r="74" spans="8:11" ht="14.25" x14ac:dyDescent="0.2">
      <c r="J74" s="58"/>
      <c r="K74" s="5"/>
    </row>
    <row r="75" spans="8:11" x14ac:dyDescent="0.2">
      <c r="H75" s="5"/>
      <c r="I75" s="5"/>
    </row>
    <row r="76" spans="8:11" x14ac:dyDescent="0.2">
      <c r="H76" s="5"/>
      <c r="I76" s="5"/>
      <c r="J76" s="5"/>
      <c r="K76" s="5"/>
    </row>
    <row r="85" ht="12.75" customHeight="1" x14ac:dyDescent="0.2"/>
    <row r="100" ht="12.75" customHeight="1" x14ac:dyDescent="0.2"/>
  </sheetData>
  <sheetProtection sheet="1" objects="1" scenarios="1" formatCells="0"/>
  <mergeCells count="11">
    <mergeCell ref="A10:A29"/>
    <mergeCell ref="C34:E34"/>
    <mergeCell ref="C35:E35"/>
    <mergeCell ref="A33:A59"/>
    <mergeCell ref="G7:K7"/>
    <mergeCell ref="G12:J12"/>
    <mergeCell ref="B2:F2"/>
    <mergeCell ref="B3:F3"/>
    <mergeCell ref="B4:F4"/>
    <mergeCell ref="B7:D7"/>
    <mergeCell ref="C9:E9"/>
  </mergeCells>
  <phoneticPr fontId="20" type="noConversion"/>
  <dataValidations count="1">
    <dataValidation type="decimal" operator="greaterThanOrEqual" allowBlank="1" showInputMessage="1" showErrorMessage="1" errorTitle="Invalid Entry" error="Please enter a value greater than zero._x000a_" sqref="D11 D13" xr:uid="{00000000-0002-0000-0300-000000000000}">
      <formula1>0</formula1>
    </dataValidation>
  </dataValidations>
  <hyperlinks>
    <hyperlink ref="K74" r:id="rId1" location="p2001147c9963_31001" display="Table 3.3.1" xr:uid="{00000000-0004-0000-0300-000000000000}"/>
    <hyperlink ref="D74:I74" r:id="rId2" display="Mark's Standard Handbook for Mechanical Engineers, 11th Ed." xr:uid="{00000000-0004-0000-0300-000001000000}"/>
    <hyperlink ref="K76" r:id="rId3" location="p2001147c9963_31001" display="Table 3.3.1" xr:uid="{00000000-0004-0000-0300-000002000000}"/>
    <hyperlink ref="D91:G91" r:id="rId4" display="Mark's Standard Handbook for Mechanical Engineers, 11th Ed." xr:uid="{00000000-0004-0000-0300-000003000000}"/>
    <hyperlink ref="D107:G107" r:id="rId5" display="Mark's Standard Handbook for Mechanical Engineers, 11th Ed." xr:uid="{00000000-0004-0000-0300-000004000000}"/>
    <hyperlink ref="D123:G123" r:id="rId6" display="Mark's Standard Handbook for Mechanical Engineers, 11th Ed." xr:uid="{00000000-0004-0000-0300-000005000000}"/>
    <hyperlink ref="H11:O11" r:id="rId7" location="p200139d899705_8001" display="Perry's Chemical Engineers' Handbook, 8th Ed. - Sect. 5.3.2 Natural Convection" xr:uid="{00000000-0004-0000-0300-000006000000}"/>
    <hyperlink ref="H12:O12" r:id="rId8" location="p200139d899705_8001" display="Perry's Chemical Engineers' Handbook, 8th Ed. - Sect. 5.3.2 Natural Convection" xr:uid="{00000000-0004-0000-0300-000007000000}"/>
    <hyperlink ref="H12:J12" r:id="rId9" location="p200139d899705_8001" display="Perry's Chemical Engineers' Handbook, 8th Ed. - Sect. 5.3.2 Natural Convection" xr:uid="{1F3D02F4-AA77-4DDC-9BE9-0338B6D9BB14}"/>
    <hyperlink ref="G12:J12" r:id="rId10" location="c9780071834087ch05lev2sec07" display="Perry's Chemical Engineer's Handbook, 9th Ed. - Sect 5.3.2 Natural Convection" xr:uid="{0A16BDF2-D909-47FD-AD4A-62F6135AAC5F}"/>
  </hyperlinks>
  <pageMargins left="0.75" right="0.75" top="1" bottom="1" header="0.5" footer="0.5"/>
  <pageSetup orientation="portrait" horizontalDpi="300" verticalDpi="300" r:id="rId11"/>
  <headerFooter alignWithMargins="0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127"/>
  <sheetViews>
    <sheetView showGridLines="0" workbookViewId="0"/>
  </sheetViews>
  <sheetFormatPr defaultRowHeight="12.75" x14ac:dyDescent="0.2"/>
  <cols>
    <col min="1" max="1" width="8.85546875" customWidth="1"/>
    <col min="3" max="3" width="23.5703125" customWidth="1"/>
    <col min="4" max="4" width="23.140625" customWidth="1"/>
    <col min="5" max="5" width="14.85546875" customWidth="1"/>
    <col min="6" max="6" width="6.28515625" customWidth="1"/>
    <col min="7" max="7" width="20.28515625" customWidth="1"/>
    <col min="8" max="8" width="14.85546875" customWidth="1"/>
    <col min="9" max="9" width="14.28515625" customWidth="1"/>
    <col min="10" max="10" width="18.5703125" customWidth="1"/>
    <col min="11" max="11" width="18.28515625" customWidth="1"/>
  </cols>
  <sheetData>
    <row r="1" spans="1:11" ht="13.5" thickBot="1" x14ac:dyDescent="0.25"/>
    <row r="2" spans="1:11" ht="30" customHeight="1" x14ac:dyDescent="0.25">
      <c r="B2" s="102" t="s">
        <v>103</v>
      </c>
      <c r="C2" s="89"/>
      <c r="D2" s="26"/>
      <c r="E2" s="26"/>
      <c r="F2" s="27"/>
    </row>
    <row r="3" spans="1:11" ht="18.75" customHeight="1" x14ac:dyDescent="0.2">
      <c r="B3" s="264" t="s">
        <v>129</v>
      </c>
      <c r="C3" s="265"/>
      <c r="D3" s="265"/>
      <c r="E3" s="265"/>
      <c r="F3" s="266"/>
    </row>
    <row r="4" spans="1:11" ht="15.75" thickBot="1" x14ac:dyDescent="0.25">
      <c r="B4" s="247"/>
      <c r="C4" s="248"/>
      <c r="D4" s="248"/>
      <c r="E4" s="248"/>
      <c r="F4" s="249"/>
    </row>
    <row r="5" spans="1:11" ht="6.75" customHeight="1" x14ac:dyDescent="0.2"/>
    <row r="6" spans="1:11" ht="6.75" customHeight="1" x14ac:dyDescent="0.2">
      <c r="B6" s="270"/>
      <c r="C6" s="270"/>
      <c r="D6" s="270"/>
      <c r="E6" s="270"/>
      <c r="F6" s="270"/>
    </row>
    <row r="7" spans="1:11" ht="6.75" customHeight="1" x14ac:dyDescent="0.2"/>
    <row r="8" spans="1:11" ht="14.25" x14ac:dyDescent="0.2">
      <c r="B8" s="268" t="s">
        <v>5</v>
      </c>
      <c r="C8" s="268"/>
      <c r="D8" s="268"/>
    </row>
    <row r="9" spans="1:11" ht="8.25" customHeight="1" x14ac:dyDescent="0.2"/>
    <row r="10" spans="1:11" ht="12.75" customHeight="1" thickBot="1" x14ac:dyDescent="0.25"/>
    <row r="11" spans="1:11" ht="13.5" thickBot="1" x14ac:dyDescent="0.25">
      <c r="A11" s="269" t="s">
        <v>102</v>
      </c>
      <c r="G11" s="226" t="s">
        <v>0</v>
      </c>
      <c r="H11" s="227"/>
      <c r="I11" s="227"/>
      <c r="J11" s="227"/>
      <c r="K11" s="228"/>
    </row>
    <row r="12" spans="1:11" x14ac:dyDescent="0.2">
      <c r="A12" s="269"/>
      <c r="C12" s="230" t="s">
        <v>24</v>
      </c>
      <c r="D12" s="259"/>
      <c r="E12" s="231"/>
      <c r="G12" s="40"/>
      <c r="H12" s="41"/>
      <c r="I12" s="41"/>
      <c r="J12" s="41"/>
      <c r="K12" s="42"/>
    </row>
    <row r="13" spans="1:11" x14ac:dyDescent="0.2">
      <c r="A13" s="269"/>
      <c r="C13" s="6"/>
      <c r="D13" s="18"/>
      <c r="E13" s="7"/>
      <c r="G13" s="57" t="s">
        <v>104</v>
      </c>
      <c r="H13" s="50"/>
      <c r="I13" s="50"/>
      <c r="J13" s="50"/>
      <c r="K13" s="51"/>
    </row>
    <row r="14" spans="1:11" ht="15.75" x14ac:dyDescent="0.25">
      <c r="A14" s="269"/>
      <c r="C14" s="6" t="s">
        <v>539</v>
      </c>
      <c r="D14" s="96">
        <v>0.7</v>
      </c>
      <c r="E14" s="59" t="s">
        <v>93</v>
      </c>
      <c r="G14" s="40" t="s">
        <v>105</v>
      </c>
      <c r="H14" s="41"/>
      <c r="I14" s="41"/>
      <c r="J14" s="41"/>
      <c r="K14" s="42"/>
    </row>
    <row r="15" spans="1:11" ht="13.5" thickBot="1" x14ac:dyDescent="0.25">
      <c r="A15" s="269"/>
      <c r="C15" s="8"/>
      <c r="D15" s="54"/>
      <c r="E15" s="99"/>
      <c r="G15" s="40"/>
      <c r="H15" s="41"/>
      <c r="I15" s="41"/>
      <c r="J15" s="41"/>
      <c r="K15" s="42"/>
    </row>
    <row r="16" spans="1:11" ht="20.25" customHeight="1" x14ac:dyDescent="0.2">
      <c r="A16" s="269"/>
      <c r="C16" s="79" t="s">
        <v>90</v>
      </c>
      <c r="D16" s="80"/>
      <c r="E16" s="81"/>
      <c r="G16" s="257" t="s">
        <v>548</v>
      </c>
      <c r="H16" s="258"/>
      <c r="I16" s="258"/>
      <c r="J16" s="258"/>
      <c r="K16" s="42"/>
    </row>
    <row r="17" spans="1:11" x14ac:dyDescent="0.2">
      <c r="A17" s="269"/>
      <c r="C17" s="6"/>
      <c r="D17" s="18"/>
      <c r="E17" s="59"/>
      <c r="G17" s="57"/>
      <c r="H17" s="50"/>
      <c r="I17" s="50"/>
      <c r="J17" s="50"/>
      <c r="K17" s="51"/>
    </row>
    <row r="18" spans="1:11" ht="15.75" x14ac:dyDescent="0.25">
      <c r="A18" s="269"/>
      <c r="C18" s="6" t="s">
        <v>91</v>
      </c>
      <c r="D18" s="98">
        <f>ABS(SurfTemp-FluidTemp)</f>
        <v>40</v>
      </c>
      <c r="E18" s="59" t="s">
        <v>92</v>
      </c>
      <c r="G18" s="57"/>
      <c r="H18" s="50"/>
      <c r="I18" s="50"/>
      <c r="J18" s="50"/>
      <c r="K18" s="51"/>
    </row>
    <row r="19" spans="1:11" x14ac:dyDescent="0.2">
      <c r="A19" s="269"/>
      <c r="C19" s="6"/>
      <c r="D19" s="18"/>
      <c r="E19" s="59"/>
      <c r="G19" s="57"/>
      <c r="H19" s="50"/>
      <c r="I19" s="50"/>
      <c r="J19" s="50"/>
      <c r="K19" s="51"/>
    </row>
    <row r="20" spans="1:11" ht="18" customHeight="1" x14ac:dyDescent="0.2">
      <c r="A20" s="269"/>
      <c r="C20" s="6"/>
      <c r="D20" s="18"/>
      <c r="E20" s="59"/>
      <c r="G20" s="57"/>
      <c r="H20" s="50"/>
      <c r="I20" s="50"/>
      <c r="J20" s="50"/>
      <c r="K20" s="51"/>
    </row>
    <row r="21" spans="1:11" ht="18" customHeight="1" x14ac:dyDescent="0.25">
      <c r="A21" s="269"/>
      <c r="C21" s="6" t="s">
        <v>94</v>
      </c>
      <c r="D21" s="97">
        <f>Viscosity*SpecHeat/ThermCond</f>
        <v>0.71010849242738405</v>
      </c>
      <c r="E21" s="59"/>
      <c r="G21" s="57"/>
      <c r="H21" s="50"/>
      <c r="I21" s="50"/>
      <c r="J21" s="50"/>
      <c r="K21" s="51"/>
    </row>
    <row r="22" spans="1:11" ht="12.75" customHeight="1" x14ac:dyDescent="0.2">
      <c r="A22" s="269"/>
      <c r="C22" s="74"/>
      <c r="D22" s="75"/>
      <c r="E22" s="59"/>
      <c r="G22" s="57"/>
      <c r="H22" s="50"/>
      <c r="I22" s="50"/>
      <c r="J22" s="50"/>
      <c r="K22" s="51"/>
    </row>
    <row r="23" spans="1:11" x14ac:dyDescent="0.2">
      <c r="A23" s="269"/>
      <c r="C23" s="32"/>
      <c r="D23" s="33"/>
      <c r="E23" s="7"/>
      <c r="G23" s="57"/>
      <c r="H23" s="50"/>
      <c r="I23" s="50"/>
      <c r="J23" s="50"/>
      <c r="K23" s="51"/>
    </row>
    <row r="24" spans="1:11" ht="15" x14ac:dyDescent="0.25">
      <c r="A24" s="269"/>
      <c r="C24" s="6" t="s">
        <v>95</v>
      </c>
      <c r="D24" s="100">
        <f>(D14^3)*(Density^2)*9.81*D18*ThExpCoeff/(Viscosity^2)</f>
        <v>1117399630.6977224</v>
      </c>
      <c r="E24" s="34"/>
      <c r="G24" s="57"/>
      <c r="H24" s="50"/>
      <c r="I24" s="50"/>
      <c r="J24" s="50"/>
      <c r="K24" s="51"/>
    </row>
    <row r="25" spans="1:11" x14ac:dyDescent="0.2">
      <c r="A25" s="269"/>
      <c r="C25" s="6"/>
      <c r="D25" s="23"/>
      <c r="E25" s="7"/>
      <c r="G25" s="57"/>
      <c r="H25" s="50"/>
      <c r="I25" s="50"/>
      <c r="J25" s="50"/>
      <c r="K25" s="51"/>
    </row>
    <row r="26" spans="1:11" ht="13.5" customHeight="1" x14ac:dyDescent="0.2">
      <c r="A26" s="269"/>
      <c r="B26" s="53"/>
      <c r="C26" s="6"/>
      <c r="D26" s="23"/>
      <c r="E26" s="7"/>
      <c r="G26" s="57"/>
      <c r="H26" s="50"/>
      <c r="I26" s="50"/>
      <c r="J26" s="50"/>
      <c r="K26" s="51"/>
    </row>
    <row r="27" spans="1:11" ht="15" x14ac:dyDescent="0.25">
      <c r="A27" s="269"/>
      <c r="B27" s="53"/>
      <c r="C27" s="6" t="s">
        <v>96</v>
      </c>
      <c r="D27" s="101">
        <f>D21*D24</f>
        <v>793474967.1936754</v>
      </c>
      <c r="E27" s="7"/>
      <c r="G27" s="57"/>
      <c r="H27" s="50"/>
      <c r="I27" s="50"/>
      <c r="J27" s="50"/>
      <c r="K27" s="51"/>
    </row>
    <row r="28" spans="1:11" ht="13.5" thickBot="1" x14ac:dyDescent="0.25">
      <c r="A28" s="269"/>
      <c r="B28" s="53"/>
      <c r="C28" s="8"/>
      <c r="D28" s="109"/>
      <c r="E28" s="24"/>
      <c r="G28" s="57"/>
      <c r="H28" s="50"/>
      <c r="I28" s="50"/>
      <c r="J28" s="50"/>
      <c r="K28" s="51"/>
    </row>
    <row r="29" spans="1:11" x14ac:dyDescent="0.2">
      <c r="A29" s="269"/>
      <c r="B29" s="53"/>
      <c r="G29" s="57"/>
      <c r="H29" s="50"/>
      <c r="I29" s="50"/>
      <c r="J29" s="50"/>
      <c r="K29" s="51"/>
    </row>
    <row r="30" spans="1:11" ht="20.25" customHeight="1" x14ac:dyDescent="0.25">
      <c r="B30" s="53"/>
      <c r="C30" s="107" t="s">
        <v>120</v>
      </c>
      <c r="G30" s="57"/>
      <c r="H30" s="50"/>
      <c r="I30" s="50"/>
      <c r="J30" s="50"/>
      <c r="K30" s="51"/>
    </row>
    <row r="31" spans="1:11" ht="23.25" customHeight="1" x14ac:dyDescent="0.2">
      <c r="B31" s="53"/>
      <c r="C31" s="106" t="s">
        <v>119</v>
      </c>
      <c r="G31" s="57"/>
      <c r="H31" s="50"/>
      <c r="I31" s="50"/>
      <c r="J31" s="50"/>
      <c r="K31" s="51"/>
    </row>
    <row r="32" spans="1:11" ht="11.25" customHeight="1" x14ac:dyDescent="0.2">
      <c r="B32" s="53"/>
      <c r="E32" s="35"/>
      <c r="G32" s="57"/>
      <c r="H32" s="50"/>
      <c r="I32" s="50"/>
      <c r="J32" s="50"/>
      <c r="K32" s="51"/>
    </row>
    <row r="33" spans="1:11" ht="12.75" customHeight="1" x14ac:dyDescent="0.2">
      <c r="A33" s="263" t="s">
        <v>101</v>
      </c>
      <c r="B33" s="53"/>
      <c r="G33" s="57"/>
      <c r="H33" s="50"/>
      <c r="I33" s="50"/>
      <c r="J33" s="50"/>
      <c r="K33" s="51"/>
    </row>
    <row r="34" spans="1:11" ht="13.5" thickBot="1" x14ac:dyDescent="0.25">
      <c r="A34" s="263"/>
      <c r="B34" s="53"/>
      <c r="G34" s="57"/>
      <c r="H34" s="50"/>
      <c r="I34" s="50"/>
      <c r="J34" s="50"/>
      <c r="K34" s="51"/>
    </row>
    <row r="35" spans="1:11" ht="20.25" customHeight="1" thickBot="1" x14ac:dyDescent="0.25">
      <c r="A35" s="263"/>
      <c r="B35" s="53"/>
      <c r="C35" s="230" t="s">
        <v>97</v>
      </c>
      <c r="D35" s="259"/>
      <c r="E35" s="231"/>
      <c r="G35" s="82"/>
      <c r="H35" s="68"/>
      <c r="I35" s="68"/>
      <c r="J35" s="68"/>
      <c r="K35" s="69"/>
    </row>
    <row r="36" spans="1:11" x14ac:dyDescent="0.2">
      <c r="A36" s="263"/>
      <c r="B36" s="53"/>
      <c r="C36" s="260"/>
      <c r="D36" s="261"/>
      <c r="E36" s="262"/>
    </row>
    <row r="37" spans="1:11" ht="15.75" x14ac:dyDescent="0.25">
      <c r="A37" s="263"/>
      <c r="B37" s="53"/>
      <c r="C37" s="6" t="s">
        <v>98</v>
      </c>
      <c r="D37" s="70">
        <f>(0.6+((0.387*(D27^(1/6))))/(1+((0.558/D21)^(9/16)))^(8/27))^2</f>
        <v>107.68003101042885</v>
      </c>
      <c r="E37" s="7"/>
    </row>
    <row r="38" spans="1:11" x14ac:dyDescent="0.2">
      <c r="A38" s="263"/>
      <c r="B38" s="53"/>
      <c r="C38" s="6"/>
      <c r="D38" s="70"/>
      <c r="E38" s="7"/>
    </row>
    <row r="39" spans="1:11" ht="15.75" x14ac:dyDescent="0.25">
      <c r="A39" s="263"/>
      <c r="B39" s="53"/>
      <c r="C39" s="6" t="s">
        <v>99</v>
      </c>
      <c r="D39" s="55">
        <f>D37*ThermCond/D14</f>
        <v>4.3614619274633819</v>
      </c>
      <c r="E39" s="7" t="s">
        <v>100</v>
      </c>
    </row>
    <row r="40" spans="1:11" ht="13.5" thickBot="1" x14ac:dyDescent="0.25">
      <c r="A40" s="263"/>
      <c r="B40" s="53"/>
      <c r="C40" s="8"/>
      <c r="D40" s="56"/>
      <c r="E40" s="24"/>
    </row>
    <row r="41" spans="1:11" x14ac:dyDescent="0.2">
      <c r="A41" s="263"/>
      <c r="B41" s="53"/>
    </row>
    <row r="42" spans="1:11" ht="15.75" x14ac:dyDescent="0.25">
      <c r="A42" s="263"/>
      <c r="B42" s="53"/>
      <c r="C42" s="207" t="str">
        <f>IF(D27&gt;1000000000000,"Use caution in interpreting results - Ra &gt; 10E12","")</f>
        <v/>
      </c>
    </row>
    <row r="43" spans="1:11" x14ac:dyDescent="0.2">
      <c r="A43" s="263"/>
      <c r="B43" s="53"/>
    </row>
    <row r="44" spans="1:11" x14ac:dyDescent="0.2">
      <c r="A44" s="263"/>
    </row>
    <row r="45" spans="1:11" x14ac:dyDescent="0.2">
      <c r="A45" s="263"/>
      <c r="D45" s="201"/>
    </row>
    <row r="46" spans="1:11" ht="18" customHeight="1" x14ac:dyDescent="0.2">
      <c r="E46" s="36"/>
    </row>
    <row r="47" spans="1:11" ht="18" customHeight="1" x14ac:dyDescent="0.2">
      <c r="E47" s="35"/>
    </row>
    <row r="48" spans="1:11" ht="18" customHeight="1" x14ac:dyDescent="0.2">
      <c r="C48" s="106" t="s">
        <v>527</v>
      </c>
      <c r="E48" s="35"/>
    </row>
    <row r="49" spans="5:12" ht="18" customHeight="1" x14ac:dyDescent="0.2"/>
    <row r="50" spans="5:12" ht="18" customHeight="1" x14ac:dyDescent="0.2"/>
    <row r="51" spans="5:12" ht="18" customHeight="1" x14ac:dyDescent="0.2">
      <c r="E51" s="36"/>
    </row>
    <row r="52" spans="5:12" ht="18" customHeight="1" x14ac:dyDescent="0.2">
      <c r="E52" s="36"/>
    </row>
    <row r="53" spans="5:12" ht="18" customHeight="1" x14ac:dyDescent="0.2">
      <c r="E53" s="35"/>
    </row>
    <row r="54" spans="5:12" ht="18" customHeight="1" x14ac:dyDescent="0.2">
      <c r="E54" s="35"/>
    </row>
    <row r="55" spans="5:12" ht="18" customHeight="1" x14ac:dyDescent="0.2"/>
    <row r="56" spans="5:12" ht="18" customHeight="1" x14ac:dyDescent="0.2"/>
    <row r="57" spans="5:12" ht="18" customHeight="1" x14ac:dyDescent="0.2"/>
    <row r="58" spans="5:12" ht="18" customHeight="1" x14ac:dyDescent="0.2"/>
    <row r="59" spans="5:12" ht="18" customHeight="1" x14ac:dyDescent="0.2">
      <c r="L59" s="37"/>
    </row>
    <row r="60" spans="5:12" ht="18" customHeight="1" x14ac:dyDescent="0.2">
      <c r="K60" s="37"/>
    </row>
    <row r="61" spans="5:12" ht="18" customHeight="1" x14ac:dyDescent="0.2">
      <c r="E61" s="36"/>
    </row>
    <row r="62" spans="5:12" x14ac:dyDescent="0.2">
      <c r="E62" s="35"/>
    </row>
    <row r="63" spans="5:12" ht="12.75" customHeight="1" x14ac:dyDescent="0.2">
      <c r="E63" s="35"/>
      <c r="L63" s="60"/>
    </row>
    <row r="65" spans="5:12" x14ac:dyDescent="0.2">
      <c r="J65" s="60"/>
      <c r="K65" s="39"/>
      <c r="L65" s="60"/>
    </row>
    <row r="66" spans="5:12" x14ac:dyDescent="0.2">
      <c r="E66" s="36"/>
      <c r="H66" s="5"/>
      <c r="I66" s="5"/>
      <c r="J66" s="5"/>
      <c r="K66" s="5"/>
      <c r="L66" s="38"/>
    </row>
    <row r="67" spans="5:12" x14ac:dyDescent="0.2">
      <c r="E67" s="36"/>
      <c r="H67" s="5"/>
      <c r="I67" s="5"/>
      <c r="J67" s="5"/>
      <c r="K67" s="5"/>
      <c r="L67" s="5"/>
    </row>
    <row r="68" spans="5:12" x14ac:dyDescent="0.2">
      <c r="E68" s="35"/>
    </row>
    <row r="69" spans="5:12" x14ac:dyDescent="0.2">
      <c r="E69" s="35"/>
      <c r="H69" s="5"/>
      <c r="I69" s="5"/>
      <c r="J69" s="5"/>
      <c r="K69" s="5"/>
      <c r="L69" s="5"/>
    </row>
    <row r="70" spans="5:12" x14ac:dyDescent="0.2">
      <c r="L70" s="5"/>
    </row>
    <row r="71" spans="5:12" x14ac:dyDescent="0.2">
      <c r="H71" s="5"/>
      <c r="I71" s="5"/>
      <c r="J71" s="5"/>
      <c r="K71" s="5"/>
      <c r="L71" s="5"/>
    </row>
    <row r="72" spans="5:12" ht="14.25" x14ac:dyDescent="0.2">
      <c r="H72" s="2"/>
      <c r="I72" s="2"/>
      <c r="J72" s="2"/>
      <c r="K72" s="38"/>
      <c r="L72" s="58"/>
    </row>
    <row r="73" spans="5:12" x14ac:dyDescent="0.2">
      <c r="H73" s="5"/>
      <c r="I73" s="5"/>
      <c r="J73" s="5"/>
      <c r="K73" s="5"/>
      <c r="L73" s="5"/>
    </row>
    <row r="74" spans="5:12" ht="27.75" customHeight="1" x14ac:dyDescent="0.2">
      <c r="K74" s="5"/>
      <c r="L74" s="5"/>
    </row>
    <row r="75" spans="5:12" ht="12.75" customHeight="1" x14ac:dyDescent="0.2">
      <c r="E75" s="36"/>
      <c r="H75" s="5"/>
      <c r="I75" s="5"/>
      <c r="J75" s="5"/>
      <c r="K75" s="5"/>
      <c r="L75" s="5"/>
    </row>
    <row r="76" spans="5:12" ht="14.25" customHeight="1" x14ac:dyDescent="0.2">
      <c r="E76" s="35"/>
      <c r="H76" s="58"/>
      <c r="I76" s="58"/>
      <c r="J76" s="58"/>
      <c r="K76" s="5"/>
      <c r="L76" s="5"/>
    </row>
    <row r="77" spans="5:12" x14ac:dyDescent="0.2">
      <c r="E77" s="35"/>
      <c r="H77" s="5"/>
      <c r="I77" s="5"/>
      <c r="J77" s="5"/>
      <c r="K77" s="5"/>
      <c r="L77" s="5"/>
    </row>
    <row r="78" spans="5:12" x14ac:dyDescent="0.2">
      <c r="H78" s="5"/>
      <c r="I78" s="5"/>
      <c r="J78" s="5"/>
      <c r="K78" s="5"/>
      <c r="L78" s="5"/>
    </row>
    <row r="79" spans="5:12" x14ac:dyDescent="0.2">
      <c r="H79" s="5"/>
      <c r="I79" s="5"/>
      <c r="J79" s="5"/>
      <c r="K79" s="5"/>
      <c r="L79" s="5"/>
    </row>
    <row r="80" spans="5:12" x14ac:dyDescent="0.2">
      <c r="E80" s="36"/>
    </row>
    <row r="81" spans="5:5" x14ac:dyDescent="0.2">
      <c r="E81" s="36"/>
    </row>
    <row r="82" spans="5:5" x14ac:dyDescent="0.2">
      <c r="E82" s="35"/>
    </row>
    <row r="83" spans="5:5" ht="21" customHeight="1" x14ac:dyDescent="0.2">
      <c r="E83" s="35"/>
    </row>
    <row r="89" spans="5:5" x14ac:dyDescent="0.2">
      <c r="E89" s="36"/>
    </row>
    <row r="90" spans="5:5" x14ac:dyDescent="0.2">
      <c r="E90" s="35"/>
    </row>
    <row r="91" spans="5:5" x14ac:dyDescent="0.2">
      <c r="E91" s="35"/>
    </row>
    <row r="94" spans="5:5" x14ac:dyDescent="0.2">
      <c r="E94" s="36"/>
    </row>
    <row r="95" spans="5:5" x14ac:dyDescent="0.2">
      <c r="E95" s="36"/>
    </row>
    <row r="96" spans="5:5" x14ac:dyDescent="0.2">
      <c r="E96" s="35"/>
    </row>
    <row r="97" spans="3:5" x14ac:dyDescent="0.2">
      <c r="E97" s="35"/>
    </row>
    <row r="111" spans="3:5" ht="13.5" thickBot="1" x14ac:dyDescent="0.25"/>
    <row r="112" spans="3:5" x14ac:dyDescent="0.2">
      <c r="C112" s="230" t="s">
        <v>21</v>
      </c>
      <c r="D112" s="231"/>
    </row>
    <row r="113" spans="3:4" ht="13.5" thickBot="1" x14ac:dyDescent="0.25">
      <c r="C113" s="8" t="s">
        <v>25</v>
      </c>
      <c r="D113" s="78" t="e">
        <f>((-2)*LOG((0.27*#REF!/#REF!)+((7/D$38))^0.9))^(-2)</f>
        <v>#REF!</v>
      </c>
    </row>
    <row r="114" spans="3:4" ht="13.5" thickBot="1" x14ac:dyDescent="0.25"/>
    <row r="115" spans="3:4" x14ac:dyDescent="0.2">
      <c r="C115" s="230" t="s">
        <v>22</v>
      </c>
      <c r="D115" s="231"/>
    </row>
    <row r="116" spans="3:4" x14ac:dyDescent="0.2">
      <c r="C116" s="6" t="s">
        <v>26</v>
      </c>
      <c r="D116" s="76" t="e">
        <f>((-2)*(LOG((#REF!/(#REF!*3.7))+(2.51/(D$38*(D113^0.5))))))^(-2)</f>
        <v>#REF!</v>
      </c>
    </row>
    <row r="117" spans="3:4" x14ac:dyDescent="0.2">
      <c r="C117" s="6" t="s">
        <v>27</v>
      </c>
      <c r="D117" s="76" t="e">
        <f>((-2)*(LOG((#REF!/(#REF!*3.7))+(2.51/(D$38*(D116^0.5))))))^(-2)</f>
        <v>#REF!</v>
      </c>
    </row>
    <row r="118" spans="3:4" x14ac:dyDescent="0.2">
      <c r="C118" s="6" t="s">
        <v>28</v>
      </c>
      <c r="D118" s="76" t="e">
        <f>((-2)*(LOG((#REF!/(#REF!*3.7))+(2.51/(D$38*(D117^0.5))))))^(-2)</f>
        <v>#REF!</v>
      </c>
    </row>
    <row r="119" spans="3:4" x14ac:dyDescent="0.2">
      <c r="C119" s="6" t="s">
        <v>29</v>
      </c>
      <c r="D119" s="76" t="e">
        <f>((-2)*(LOG((#REF!/(#REF!*3.7))+(2.51/(D$38*(D118^0.5))))))^(-2)</f>
        <v>#REF!</v>
      </c>
    </row>
    <row r="120" spans="3:4" x14ac:dyDescent="0.2">
      <c r="C120" s="6" t="s">
        <v>30</v>
      </c>
      <c r="D120" s="76" t="e">
        <f>((-2)*(LOG((#REF!/(#REF!*3.7))+(2.51/(D$38*(D119^0.5))))))^(-2)</f>
        <v>#REF!</v>
      </c>
    </row>
    <row r="121" spans="3:4" x14ac:dyDescent="0.2">
      <c r="C121" s="6" t="s">
        <v>31</v>
      </c>
      <c r="D121" s="76" t="e">
        <f>((-2)*(LOG((#REF!/(#REF!*3.7))+(2.51/(D$38*(D120^0.5))))))^(-2)</f>
        <v>#REF!</v>
      </c>
    </row>
    <row r="122" spans="3:4" x14ac:dyDescent="0.2">
      <c r="C122" s="6" t="s">
        <v>32</v>
      </c>
      <c r="D122" s="76" t="e">
        <f>((-2)*(LOG((#REF!/(#REF!*3.7))+(2.51/(D$38*(D121^0.5))))))^(-2)</f>
        <v>#REF!</v>
      </c>
    </row>
    <row r="123" spans="3:4" x14ac:dyDescent="0.2">
      <c r="C123" s="6" t="s">
        <v>33</v>
      </c>
      <c r="D123" s="76" t="e">
        <f>((-2)*(LOG((#REF!/(#REF!*3.7))+(2.51/(D$38*(D122^0.5))))))^(-2)</f>
        <v>#REF!</v>
      </c>
    </row>
    <row r="124" spans="3:4" x14ac:dyDescent="0.2">
      <c r="C124" s="6" t="s">
        <v>34</v>
      </c>
      <c r="D124" s="76" t="e">
        <f>((-2)*(LOG((#REF!/(#REF!*3.7))+(2.51/(D$38*(D123^0.5))))))^(-2)</f>
        <v>#REF!</v>
      </c>
    </row>
    <row r="125" spans="3:4" x14ac:dyDescent="0.2">
      <c r="C125" s="6" t="s">
        <v>35</v>
      </c>
      <c r="D125" s="76" t="e">
        <f>((-2)*(LOG((#REF!/(#REF!*3.7))+(2.51/(D$38*(D124^0.5))))))^(-2)</f>
        <v>#REF!</v>
      </c>
    </row>
    <row r="126" spans="3:4" x14ac:dyDescent="0.2">
      <c r="C126" s="6" t="s">
        <v>36</v>
      </c>
      <c r="D126" s="76" t="e">
        <f>((-2)*(LOG((#REF!/(#REF!*3.7))+(2.51/(D$38*(D125^0.5))))))^(-2)</f>
        <v>#REF!</v>
      </c>
    </row>
    <row r="127" spans="3:4" ht="13.5" thickBot="1" x14ac:dyDescent="0.25">
      <c r="C127" s="8" t="s">
        <v>37</v>
      </c>
      <c r="D127" s="77" t="e">
        <f>((-2)*(LOG((#REF!/(#REF!*3.7))+(2.51/(D$38*(D126^0.5))))))^(-2)</f>
        <v>#REF!</v>
      </c>
    </row>
  </sheetData>
  <sheetProtection sheet="1" objects="1" scenarios="1" formatCells="0"/>
  <mergeCells count="13">
    <mergeCell ref="G11:K11"/>
    <mergeCell ref="G16:J16"/>
    <mergeCell ref="C12:E12"/>
    <mergeCell ref="A11:A29"/>
    <mergeCell ref="A33:A45"/>
    <mergeCell ref="C35:E35"/>
    <mergeCell ref="C36:E36"/>
    <mergeCell ref="C115:D115"/>
    <mergeCell ref="B3:F3"/>
    <mergeCell ref="B4:F4"/>
    <mergeCell ref="B8:D8"/>
    <mergeCell ref="B6:F6"/>
    <mergeCell ref="C112:D112"/>
  </mergeCells>
  <phoneticPr fontId="20" type="noConversion"/>
  <dataValidations xWindow="198" yWindow="515" count="1">
    <dataValidation type="decimal" operator="greaterThanOrEqual" allowBlank="1" showInputMessage="1" showErrorMessage="1" errorTitle="Invalid Entry" error="Please enter a value greater than zero._x000a_" sqref="D14" xr:uid="{00000000-0002-0000-0400-000000000000}">
      <formula1>0</formula1>
    </dataValidation>
  </dataValidations>
  <hyperlinks>
    <hyperlink ref="H72:I72" r:id="rId1" display="Mark's Standard Handbook for Mechanical Engineers, 11th Ed." xr:uid="{00000000-0004-0000-0400-000000000000}"/>
    <hyperlink ref="H72:K72" r:id="rId2" location="p2001147c9973_47001" display="Mark's Standard Handbook for Mechanical Engineers, 11th Ed. - Flow in Pipes" xr:uid="{00000000-0004-0000-0400-000001000000}"/>
    <hyperlink ref="H76:J76" r:id="rId3" display="Perry's Chemical EngineeringHandbook" xr:uid="{00000000-0004-0000-0400-000002000000}"/>
    <hyperlink ref="D64:L64" r:id="rId4" location="p200139d899706_9001" display="Perry's Chemical Engineers' Handbook, 8th Ed. - Incompressible Flow in Pipes and Channels" xr:uid="{00000000-0004-0000-0400-000003000000}"/>
    <hyperlink ref="F76:J76" r:id="rId5" display="Perry's Chemical EngineeringHandbook" xr:uid="{00000000-0004-0000-0400-000004000000}"/>
    <hyperlink ref="H16:J16" r:id="rId6" location="p200139d899705_8001" display="Perry's Chemical Engineers' Handbook, 8th Ed. - Sect. 5.3.2 Natural Convection" xr:uid="{2ABEA5C7-328A-4ED1-86E7-3325EDBFC392}"/>
    <hyperlink ref="G16:J16" r:id="rId7" location="c9780071834087ch05lev2sec07" display="Perry's Chemical Engineer's Handbook, 9th Ed. - Sect 5.3.2 Natural Convection" xr:uid="{BD2CBD5F-A59D-4992-BE12-7441548DF361}"/>
  </hyperlinks>
  <pageMargins left="0.75" right="0.75" top="1" bottom="1" header="0.5" footer="0.5"/>
  <pageSetup orientation="portrait" horizontalDpi="0" verticalDpi="0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1. Contents</vt:lpstr>
      <vt:lpstr>2. Fluid Properties</vt:lpstr>
      <vt:lpstr>3. Vertical Plane or Cylinder</vt:lpstr>
      <vt:lpstr>4. Horiz Plane</vt:lpstr>
      <vt:lpstr>5. Horiz Cylinder</vt:lpstr>
      <vt:lpstr>Density</vt:lpstr>
      <vt:lpstr>FilmTemp</vt:lpstr>
      <vt:lpstr>FluidTemp</vt:lpstr>
      <vt:lpstr>SpecHeat</vt:lpstr>
      <vt:lpstr>SurfTemp</vt:lpstr>
      <vt:lpstr>ThermCond</vt:lpstr>
      <vt:lpstr>ThExpCoeff</vt:lpstr>
      <vt:lpstr>Viscosity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</dc:creator>
  <cp:lastModifiedBy>Harlan Bengtson</cp:lastModifiedBy>
  <cp:lastPrinted>2013-11-19T03:16:35Z</cp:lastPrinted>
  <dcterms:created xsi:type="dcterms:W3CDTF">2013-05-14T19:24:48Z</dcterms:created>
  <dcterms:modified xsi:type="dcterms:W3CDTF">2019-06-19T18:35:09Z</dcterms:modified>
</cp:coreProperties>
</file>