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928ed5740df2fdd/Documents/AccessEngineering-old/Heat Exchanger Calculations/Final Files/"/>
    </mc:Choice>
  </mc:AlternateContent>
  <xr:revisionPtr revIDLastSave="58" documentId="8_{BF30C33F-E1F2-4D97-8F09-6FEBF10D01FB}" xr6:coauthVersionLast="40" xr6:coauthVersionMax="40" xr10:uidLastSave="{66B348DB-034B-41A7-B882-50C384A95373}"/>
  <bookViews>
    <workbookView xWindow="0" yWindow="0" windowWidth="20490" windowHeight="7485" tabRatio="879" xr2:uid="{00000000-000D-0000-FFFF-FFFF00000000}"/>
  </bookViews>
  <sheets>
    <sheet name="1. Contents" sheetId="13" r:id="rId1"/>
    <sheet name="2. Overview" sheetId="17" r:id="rId2"/>
    <sheet name="3. Tubeside Liquid Properties" sheetId="8" r:id="rId3"/>
    <sheet name="4. Annulus Liquid Properties" sheetId="12" r:id="rId4"/>
    <sheet name="5. Liquid Prop. at Surf. Temp." sheetId="16" r:id="rId5"/>
    <sheet name="6. Tubeside HT Coeff" sheetId="15" r:id="rId6"/>
    <sheet name="7. Annulus side HT Coeff" sheetId="14" r:id="rId7"/>
    <sheet name="8. Heat Exchanger Configuration" sheetId="9" r:id="rId8"/>
  </sheets>
  <definedNames>
    <definedName name="_xlnm._FilterDatabase" localSheetId="2" hidden="1">'3. Tubeside Liquid Properties'!#REF!</definedName>
    <definedName name="AnnulusLiquid">'4. Annulus Liquid Properties'!$D$13</definedName>
    <definedName name="BasisArea">'8. Heat Exchanger Configuration'!$A$140:$A$141</definedName>
    <definedName name="BulkMeanTempOne">'3. Tubeside Liquid Properties'!$D$18</definedName>
    <definedName name="BulkMeanTempTwo">'4. Annulus Liquid Properties'!$D$18</definedName>
    <definedName name="DensityOne">'3. Tubeside Liquid Properties'!$D$20</definedName>
    <definedName name="DensityTwo">'4. Annulus Liquid Properties'!$D$30</definedName>
    <definedName name="FlowRateAnnulus">'7. Annulus side HT Coeff'!$D$35</definedName>
    <definedName name="FlowRateTube">'6. Tubeside HT Coeff'!$D$20</definedName>
    <definedName name="hAnn">'7. Annulus side HT Coeff'!$D$66</definedName>
    <definedName name="hTube">'6. Tubeside HT Coeff'!$D$59</definedName>
    <definedName name="IDInner">'6. Tubeside HT Coeff'!$D$18</definedName>
    <definedName name="IDOuter">'7. Annulus side HT Coeff'!$D$20</definedName>
    <definedName name="ODInner">'7. Annulus side HT Coeff'!$D$18</definedName>
    <definedName name="SpecificHeatOne">'3. Tubeside Liquid Properties'!$D$63</definedName>
    <definedName name="SpecificHeatTwo">'4. Annulus Liquid Properties'!$D$63</definedName>
    <definedName name="SurfaceThCondAnnulus">'5. Liquid Prop. at Surf. Temp.'!$D$103</definedName>
    <definedName name="SurfaceThCondTubeside">'5. Liquid Prop. at Surf. Temp.'!$D$89</definedName>
    <definedName name="SurfSpHtAnnulus">'5. Liquid Prop. at Surf. Temp.'!$D$74</definedName>
    <definedName name="SurfSpHtTubeside">'5. Liquid Prop. at Surf. Temp.'!$D$60</definedName>
    <definedName name="SurfViscAnnulus">'5. Liquid Prop. at Surf. Temp.'!$D$46</definedName>
    <definedName name="SurfViscTubeside">'5. Liquid Prop. at Surf. Temp.'!$D$25</definedName>
    <definedName name="TempAlertOne">'3. Tubeside Liquid Properties'!$E$18</definedName>
    <definedName name="TempBMOne">'6. Tubeside HT Coeff'!$D$30</definedName>
    <definedName name="TempBMTwo">'7. Annulus side HT Coeff'!$D$32</definedName>
    <definedName name="ThermCondOne">'3. Tubeside Liquid Properties'!$D$78</definedName>
    <definedName name="ThermCondTwo">'4. Annulus Liquid Properties'!$D$78</definedName>
    <definedName name="TinOne">'6. Tubeside HT Coeff'!$D$14</definedName>
    <definedName name="TinTwo">'7. Annulus side HT Coeff'!$D$14</definedName>
    <definedName name="ToutOne">'6. Tubeside HT Coeff'!$D$16</definedName>
    <definedName name="ToutTwo">'7. Annulus side HT Coeff'!$D$16</definedName>
    <definedName name="TSurfAnnulus">'7. Annulus side HT Coeff'!$D$33</definedName>
    <definedName name="TSurfTube">'6. Tubeside HT Coeff'!$D$22</definedName>
    <definedName name="TubeLength">'6. Tubeside HT Coeff'!#REF!</definedName>
    <definedName name="TubesideLiquid">'3. Tubeside Liquid Properties'!$D$13</definedName>
    <definedName name="VelocityAnnulus">'7. Annulus side HT Coeff'!$D$39</definedName>
    <definedName name="ViscosityOne">'3. Tubeside Liquid Properties'!$D$47</definedName>
    <definedName name="ViscosityTwo">'4. Annulus Liquid Properties'!$D$47</definedName>
    <definedName name="WallThermalCond">'7. Annulus side HT Coeff'!$D$24</definedName>
    <definedName name="WallThickness">'7. Annulus side HT Coeff'!$D$22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9" l="1"/>
  <c r="F17" i="9" l="1"/>
  <c r="D23" i="9"/>
  <c r="D86" i="9" l="1"/>
  <c r="D84" i="9"/>
  <c r="C23" i="9"/>
  <c r="D33" i="14"/>
  <c r="D37" i="14" l="1"/>
  <c r="D32" i="15"/>
  <c r="D16" i="8" l="1"/>
  <c r="D17" i="8"/>
  <c r="AL10" i="8"/>
  <c r="AM10" i="8"/>
  <c r="AN10" i="8"/>
  <c r="AO10" i="8"/>
  <c r="AP10" i="8"/>
  <c r="AQ10" i="8"/>
  <c r="AR10" i="8"/>
  <c r="AS10" i="8"/>
  <c r="D17" i="12" l="1"/>
  <c r="D16" i="12"/>
  <c r="D48" i="9" l="1"/>
  <c r="G15" i="9"/>
  <c r="D32" i="14" l="1"/>
  <c r="H8" i="15"/>
  <c r="I8" i="14"/>
  <c r="M12" i="14"/>
  <c r="O8" i="14"/>
  <c r="K5" i="14"/>
  <c r="D30" i="15"/>
  <c r="D18" i="8" s="1"/>
  <c r="AT10" i="8" l="1"/>
  <c r="K15" i="14"/>
  <c r="K16" i="14"/>
  <c r="L19" i="14" s="1"/>
  <c r="O8" i="15"/>
  <c r="K15" i="15" s="1"/>
  <c r="M12" i="15"/>
  <c r="J5" i="15"/>
  <c r="D18" i="12"/>
  <c r="D12" i="16"/>
  <c r="F103" i="16"/>
  <c r="F74" i="16"/>
  <c r="D31" i="16"/>
  <c r="Z13" i="16" s="1"/>
  <c r="D10" i="16"/>
  <c r="F46" i="16" s="1"/>
  <c r="B20" i="14"/>
  <c r="B20" i="15"/>
  <c r="AC89" i="16"/>
  <c r="AB89" i="16"/>
  <c r="W89" i="16"/>
  <c r="O89" i="16"/>
  <c r="AA88" i="16"/>
  <c r="AA87" i="16"/>
  <c r="AA86" i="16"/>
  <c r="AA85" i="16"/>
  <c r="AA84" i="16"/>
  <c r="AA83" i="16"/>
  <c r="AA82" i="16"/>
  <c r="AA81" i="16"/>
  <c r="AA80" i="16"/>
  <c r="AA79" i="16"/>
  <c r="AA78" i="16"/>
  <c r="O78" i="16"/>
  <c r="AB77" i="16"/>
  <c r="AA77" i="16"/>
  <c r="AA76" i="16"/>
  <c r="AA75" i="16"/>
  <c r="AA73" i="16"/>
  <c r="AA72" i="16"/>
  <c r="O72" i="16"/>
  <c r="AA71" i="16"/>
  <c r="AA70" i="16"/>
  <c r="AA69" i="16"/>
  <c r="AA68" i="16"/>
  <c r="AA67" i="16"/>
  <c r="AB66" i="16"/>
  <c r="AA66" i="16"/>
  <c r="AA65" i="16"/>
  <c r="AA64" i="16"/>
  <c r="AA63" i="16"/>
  <c r="AA62" i="16"/>
  <c r="AA61" i="16"/>
  <c r="F89" i="16"/>
  <c r="AA60" i="16"/>
  <c r="O60" i="16"/>
  <c r="AA59" i="16"/>
  <c r="O59" i="16"/>
  <c r="AA58" i="16"/>
  <c r="AA57" i="16"/>
  <c r="O57" i="16"/>
  <c r="AA56" i="16"/>
  <c r="O56" i="16"/>
  <c r="AA55" i="16"/>
  <c r="AA54" i="16"/>
  <c r="AA53" i="16"/>
  <c r="O53" i="16"/>
  <c r="AA52" i="16"/>
  <c r="AA51" i="16"/>
  <c r="AA50" i="16"/>
  <c r="AA49" i="16"/>
  <c r="O49" i="16"/>
  <c r="AA48" i="16"/>
  <c r="AA47" i="16"/>
  <c r="AA46" i="16"/>
  <c r="AB45" i="16"/>
  <c r="AA45" i="16"/>
  <c r="AA44" i="16"/>
  <c r="F60" i="16"/>
  <c r="AA43" i="16"/>
  <c r="AA42" i="16"/>
  <c r="AA41" i="16"/>
  <c r="AA40" i="16"/>
  <c r="AA39" i="16"/>
  <c r="O39" i="16"/>
  <c r="AA38" i="16"/>
  <c r="AA37" i="16"/>
  <c r="AA36" i="16"/>
  <c r="AA35" i="16"/>
  <c r="W35" i="16"/>
  <c r="AA34" i="16"/>
  <c r="AA33" i="16"/>
  <c r="AA32" i="16"/>
  <c r="AA31" i="16"/>
  <c r="AA30" i="16"/>
  <c r="AA29" i="16"/>
  <c r="AA28" i="16"/>
  <c r="AA27" i="16"/>
  <c r="AA26" i="16"/>
  <c r="AA25" i="16"/>
  <c r="AA24" i="16"/>
  <c r="O24" i="16"/>
  <c r="AA23" i="16"/>
  <c r="AA22" i="16"/>
  <c r="O22" i="16"/>
  <c r="AA21" i="16"/>
  <c r="O21" i="16"/>
  <c r="AA20" i="16"/>
  <c r="O20" i="16"/>
  <c r="AA19" i="16"/>
  <c r="AA18" i="16"/>
  <c r="AA17" i="16"/>
  <c r="AA16" i="16"/>
  <c r="AM10" i="12"/>
  <c r="AL10" i="12"/>
  <c r="AN10" i="12"/>
  <c r="AO10" i="12"/>
  <c r="AP10" i="12"/>
  <c r="AQ10" i="12"/>
  <c r="AR10" i="12"/>
  <c r="AS10" i="12"/>
  <c r="P10" i="12"/>
  <c r="L10" i="12"/>
  <c r="M10" i="12"/>
  <c r="N10" i="12"/>
  <c r="AF10" i="12"/>
  <c r="AG10" i="12"/>
  <c r="AH86" i="12"/>
  <c r="AH10" i="12" s="1"/>
  <c r="AI86" i="12"/>
  <c r="AI10" i="12"/>
  <c r="AG85" i="12"/>
  <c r="AG84" i="12"/>
  <c r="AG83" i="12"/>
  <c r="AG82" i="12"/>
  <c r="AG81" i="12"/>
  <c r="AG80" i="12"/>
  <c r="AG79" i="12"/>
  <c r="AG78" i="12"/>
  <c r="AG77" i="12"/>
  <c r="AG76" i="12"/>
  <c r="AG75" i="12"/>
  <c r="AH74" i="12"/>
  <c r="AG74" i="12"/>
  <c r="AG73" i="12"/>
  <c r="AG72" i="12"/>
  <c r="AG70" i="12"/>
  <c r="AG69" i="12"/>
  <c r="AG68" i="12"/>
  <c r="AG67" i="12"/>
  <c r="AG66" i="12"/>
  <c r="AG65" i="12"/>
  <c r="AG64" i="12"/>
  <c r="AH63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H42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E10" i="12"/>
  <c r="D70" i="12" s="1"/>
  <c r="AE10" i="8"/>
  <c r="D70" i="8" s="1"/>
  <c r="AF10" i="8"/>
  <c r="AH86" i="8"/>
  <c r="AH10" i="8"/>
  <c r="AI86" i="8"/>
  <c r="AI10" i="8"/>
  <c r="AG85" i="8"/>
  <c r="AG84" i="8"/>
  <c r="AG83" i="8"/>
  <c r="AG82" i="8"/>
  <c r="AG81" i="8"/>
  <c r="AG80" i="8"/>
  <c r="AG79" i="8"/>
  <c r="AG78" i="8"/>
  <c r="AG77" i="8"/>
  <c r="AG76" i="8"/>
  <c r="AG75" i="8"/>
  <c r="AH74" i="8"/>
  <c r="AG74" i="8"/>
  <c r="AG73" i="8"/>
  <c r="AG72" i="8"/>
  <c r="AG70" i="8"/>
  <c r="AG69" i="8"/>
  <c r="AG68" i="8"/>
  <c r="AG67" i="8"/>
  <c r="AG66" i="8"/>
  <c r="AG65" i="8"/>
  <c r="AG64" i="8"/>
  <c r="AH63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10" i="8" s="1"/>
  <c r="AG47" i="8"/>
  <c r="AG46" i="8"/>
  <c r="AG45" i="8"/>
  <c r="AG44" i="8"/>
  <c r="AG43" i="8"/>
  <c r="AH42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L10" i="8"/>
  <c r="K10" i="8"/>
  <c r="M10" i="8"/>
  <c r="N10" i="8"/>
  <c r="O86" i="8"/>
  <c r="O10" i="8"/>
  <c r="P10" i="8"/>
  <c r="Q10" i="8"/>
  <c r="D37" i="8" s="1"/>
  <c r="R10" i="8"/>
  <c r="S10" i="8"/>
  <c r="T10" i="8"/>
  <c r="U86" i="8"/>
  <c r="U10" i="8"/>
  <c r="V10" i="8"/>
  <c r="X10" i="8"/>
  <c r="D53" i="8" s="1"/>
  <c r="Y10" i="8"/>
  <c r="Z10" i="8"/>
  <c r="AA10" i="8"/>
  <c r="AB10" i="8"/>
  <c r="AC86" i="8"/>
  <c r="AC10" i="8"/>
  <c r="D14" i="8"/>
  <c r="U17" i="8"/>
  <c r="U18" i="8"/>
  <c r="U19" i="8"/>
  <c r="U21" i="8"/>
  <c r="F30" i="8"/>
  <c r="AC32" i="8"/>
  <c r="U36" i="8"/>
  <c r="U46" i="8"/>
  <c r="F47" i="8"/>
  <c r="U50" i="8"/>
  <c r="U53" i="8"/>
  <c r="U54" i="8"/>
  <c r="U56" i="8"/>
  <c r="U57" i="8"/>
  <c r="U69" i="8"/>
  <c r="U75" i="8"/>
  <c r="K10" i="12"/>
  <c r="D14" i="12" s="1"/>
  <c r="Q10" i="12"/>
  <c r="D37" i="12" s="1"/>
  <c r="R10" i="12"/>
  <c r="S10" i="12"/>
  <c r="T10" i="12"/>
  <c r="U86" i="12"/>
  <c r="U10" i="12" s="1"/>
  <c r="V10" i="12"/>
  <c r="X10" i="12"/>
  <c r="D53" i="12" s="1"/>
  <c r="Y10" i="12"/>
  <c r="Z10" i="12"/>
  <c r="AA10" i="12"/>
  <c r="AB10" i="12"/>
  <c r="U17" i="12"/>
  <c r="U18" i="12"/>
  <c r="U19" i="12"/>
  <c r="U21" i="12"/>
  <c r="F30" i="12"/>
  <c r="AC32" i="12"/>
  <c r="U36" i="12"/>
  <c r="U46" i="12"/>
  <c r="F47" i="12"/>
  <c r="U50" i="12"/>
  <c r="U53" i="12"/>
  <c r="U54" i="12"/>
  <c r="U56" i="12"/>
  <c r="U57" i="12"/>
  <c r="U69" i="12"/>
  <c r="U75" i="12"/>
  <c r="O86" i="12"/>
  <c r="O10" i="12" s="1"/>
  <c r="AC86" i="12"/>
  <c r="AC10" i="12" s="1"/>
  <c r="G34" i="9"/>
  <c r="D50" i="9"/>
  <c r="D52" i="9" s="1"/>
  <c r="Q11" i="8" l="1"/>
  <c r="K11" i="8"/>
  <c r="AE11" i="8"/>
  <c r="C69" i="8" s="1"/>
  <c r="D78" i="8" s="1"/>
  <c r="X11" i="8"/>
  <c r="C52" i="8" s="1"/>
  <c r="D63" i="8" s="1"/>
  <c r="K11" i="12"/>
  <c r="D20" i="12" s="1"/>
  <c r="D30" i="12" s="1"/>
  <c r="Q11" i="12"/>
  <c r="C36" i="12" s="1"/>
  <c r="D47" i="12" s="1"/>
  <c r="AT10" i="12"/>
  <c r="AT12" i="12" s="1"/>
  <c r="AE11" i="12"/>
  <c r="C69" i="12" s="1"/>
  <c r="D78" i="12" s="1"/>
  <c r="X11" i="12"/>
  <c r="C52" i="12" s="1"/>
  <c r="D63" i="12" s="1"/>
  <c r="X4" i="16"/>
  <c r="X6" i="16" s="1"/>
  <c r="E70" i="8"/>
  <c r="O13" i="16"/>
  <c r="AA13" i="16"/>
  <c r="Z10" i="16"/>
  <c r="W10" i="16"/>
  <c r="N10" i="16"/>
  <c r="S10" i="16"/>
  <c r="K10" i="16"/>
  <c r="D11" i="16" s="1"/>
  <c r="M10" i="16"/>
  <c r="V10" i="16"/>
  <c r="Q10" i="16"/>
  <c r="AC10" i="16"/>
  <c r="E18" i="8"/>
  <c r="F13" i="14" s="1"/>
  <c r="P10" i="16"/>
  <c r="L10" i="16"/>
  <c r="R10" i="16"/>
  <c r="D52" i="16" s="1"/>
  <c r="U10" i="16"/>
  <c r="AB10" i="16"/>
  <c r="E53" i="8"/>
  <c r="O10" i="16"/>
  <c r="F25" i="16"/>
  <c r="T10" i="16"/>
  <c r="Y10" i="16"/>
  <c r="D81" i="16" s="1"/>
  <c r="AA10" i="16"/>
  <c r="P13" i="16"/>
  <c r="AB13" i="16"/>
  <c r="T13" i="16"/>
  <c r="K13" i="16"/>
  <c r="D32" i="16" s="1"/>
  <c r="V13" i="16"/>
  <c r="L13" i="16"/>
  <c r="R13" i="16"/>
  <c r="D66" i="16" s="1"/>
  <c r="W13" i="16"/>
  <c r="AC13" i="16"/>
  <c r="N13" i="16"/>
  <c r="S13" i="16"/>
  <c r="Y13" i="16"/>
  <c r="D95" i="16" s="1"/>
  <c r="E18" i="12"/>
  <c r="M13" i="16"/>
  <c r="Q13" i="16"/>
  <c r="U13" i="16"/>
  <c r="C36" i="8"/>
  <c r="D47" i="8" s="1"/>
  <c r="F63" i="8"/>
  <c r="F78" i="8"/>
  <c r="D20" i="8"/>
  <c r="E37" i="8"/>
  <c r="AT12" i="8"/>
  <c r="B22" i="15"/>
  <c r="F63" i="12"/>
  <c r="F78" i="12"/>
  <c r="K16" i="15"/>
  <c r="H18" i="15" s="1"/>
  <c r="Y11" i="16" l="1"/>
  <c r="R11" i="16"/>
  <c r="K11" i="16"/>
  <c r="C16" i="16" s="1"/>
  <c r="D25" i="16" s="1"/>
  <c r="D30" i="8"/>
  <c r="D15" i="9"/>
  <c r="D34" i="15"/>
  <c r="F19" i="15"/>
  <c r="F18" i="15"/>
  <c r="C51" i="16"/>
  <c r="D60" i="16" s="1"/>
  <c r="C80" i="16"/>
  <c r="D89" i="16" s="1"/>
  <c r="D36" i="15"/>
  <c r="D56" i="9"/>
  <c r="D43" i="14"/>
  <c r="D35" i="14"/>
  <c r="D39" i="14" s="1"/>
  <c r="F13" i="15"/>
  <c r="F12" i="14"/>
  <c r="F12" i="15"/>
  <c r="C41" i="15" l="1"/>
  <c r="C39" i="15"/>
  <c r="D157" i="9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58" i="9" s="1"/>
  <c r="D33" i="16"/>
  <c r="B22" i="14"/>
  <c r="D88" i="9"/>
  <c r="D46" i="15"/>
  <c r="D48" i="15" s="1"/>
  <c r="E50" i="15"/>
  <c r="E55" i="15" s="1"/>
  <c r="Y14" i="16" l="1"/>
  <c r="C94" i="16" s="1"/>
  <c r="D103" i="16" s="1"/>
  <c r="K14" i="16"/>
  <c r="C37" i="16" s="1"/>
  <c r="D46" i="16" s="1"/>
  <c r="R14" i="16"/>
  <c r="C65" i="16" s="1"/>
  <c r="D74" i="16" s="1"/>
  <c r="F34" i="14"/>
  <c r="F33" i="14"/>
  <c r="AA4" i="16"/>
  <c r="AA6" i="16" s="1"/>
  <c r="D41" i="14"/>
  <c r="C48" i="14" s="1"/>
  <c r="D92" i="9"/>
  <c r="D57" i="15"/>
  <c r="D59" i="15" s="1"/>
  <c r="G157" i="9" l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D94" i="9" s="1"/>
  <c r="D53" i="14"/>
  <c r="D55" i="14" s="1"/>
  <c r="E57" i="14"/>
  <c r="E62" i="14" s="1"/>
  <c r="C46" i="14"/>
  <c r="D64" i="14" l="1"/>
  <c r="D66" i="14" l="1"/>
  <c r="D17" i="9" s="1"/>
  <c r="G17" i="9" l="1"/>
  <c r="D25" i="9" l="1"/>
  <c r="D30" i="9"/>
  <c r="D100" i="9" l="1"/>
  <c r="D101" i="9" s="1"/>
  <c r="D64" i="9"/>
  <c r="D65" i="9" s="1"/>
  <c r="G32" i="9"/>
</calcChain>
</file>

<file path=xl/sharedStrings.xml><?xml version="1.0" encoding="utf-8"?>
<sst xmlns="http://schemas.openxmlformats.org/spreadsheetml/2006/main" count="2164" uniqueCount="881">
  <si>
    <t>Discussion and References</t>
  </si>
  <si>
    <t>Click on tabs at the bottom of the screen to access the following:</t>
  </si>
  <si>
    <t>Acetic acid</t>
  </si>
  <si>
    <t>Acetic anhydride</t>
  </si>
  <si>
    <t>Acetone</t>
  </si>
  <si>
    <t>Acetonitrile</t>
  </si>
  <si>
    <t>Acrylic acid</t>
  </si>
  <si>
    <t>Benzene</t>
  </si>
  <si>
    <t>Benzoic acid</t>
  </si>
  <si>
    <t>Bromobenzene</t>
  </si>
  <si>
    <t>1,2-Butadiene</t>
  </si>
  <si>
    <t>1,3-Butadiene</t>
  </si>
  <si>
    <t>1-Butanol</t>
  </si>
  <si>
    <t>2-Butanol</t>
  </si>
  <si>
    <t>Butyl acetate</t>
  </si>
  <si>
    <t>Carbon disulfide</t>
  </si>
  <si>
    <t>Carbon tetrachloride</t>
  </si>
  <si>
    <t>Chlorobenzene</t>
  </si>
  <si>
    <t>Chloroform</t>
  </si>
  <si>
    <t>Chloromethane</t>
  </si>
  <si>
    <t>Cumene</t>
  </si>
  <si>
    <t>Cyclohexane</t>
  </si>
  <si>
    <t>Cyclopentane</t>
  </si>
  <si>
    <t>Decane</t>
  </si>
  <si>
    <t>Dibutyl ether</t>
  </si>
  <si>
    <t>Diethanol amine</t>
  </si>
  <si>
    <t>Diethyl ether</t>
  </si>
  <si>
    <t>Dimethyl sulfoxide</t>
  </si>
  <si>
    <t>Diphenyl ether</t>
  </si>
  <si>
    <t>Dodecane</t>
  </si>
  <si>
    <t>Ethanol</t>
  </si>
  <si>
    <t>Ethyl acetate</t>
  </si>
  <si>
    <t>Ethyl benzoate</t>
  </si>
  <si>
    <t>Ethylenediamine</t>
  </si>
  <si>
    <t>Ethylene glycol</t>
  </si>
  <si>
    <t>Fluorobenzene</t>
  </si>
  <si>
    <t>Formamide</t>
  </si>
  <si>
    <t>Heptane</t>
  </si>
  <si>
    <t>Hexadecane</t>
  </si>
  <si>
    <t>Hexane</t>
  </si>
  <si>
    <t>Hydrazine</t>
  </si>
  <si>
    <t>Isopropyl amine</t>
  </si>
  <si>
    <t>Methacrylic acid</t>
  </si>
  <si>
    <t>Methanol</t>
  </si>
  <si>
    <t>Methyl acetate</t>
  </si>
  <si>
    <t>Methylcyclohexane</t>
  </si>
  <si>
    <t>Methylethyl ketone</t>
  </si>
  <si>
    <t>Methylisobutyl ketone</t>
  </si>
  <si>
    <t>Methyl methacrylate</t>
  </si>
  <si>
    <t>Methyl tert-butyl ether</t>
  </si>
  <si>
    <t>Nonane</t>
  </si>
  <si>
    <t>Octane</t>
  </si>
  <si>
    <t>Octanoic acid</t>
  </si>
  <si>
    <t>1-Octanol</t>
  </si>
  <si>
    <t>2-Octanol</t>
  </si>
  <si>
    <t>Pentadecane</t>
  </si>
  <si>
    <t>Pentane</t>
  </si>
  <si>
    <t>Phenol</t>
  </si>
  <si>
    <t>Phthalic anhydride</t>
  </si>
  <si>
    <t>1-Propanol</t>
  </si>
  <si>
    <t>2-Propanol</t>
  </si>
  <si>
    <t>Propionic acid</t>
  </si>
  <si>
    <t>Propylbenzene</t>
  </si>
  <si>
    <t>1,2-Propylene glycol</t>
  </si>
  <si>
    <t>Styrene</t>
  </si>
  <si>
    <t>Tetrahydrofuran</t>
  </si>
  <si>
    <t>Toluene</t>
  </si>
  <si>
    <t>1,1,2-Trichloroethane</t>
  </si>
  <si>
    <t>Triethyl amine</t>
  </si>
  <si>
    <t>Undecane</t>
  </si>
  <si>
    <t>Vinyl chloride</t>
  </si>
  <si>
    <t>Water</t>
  </si>
  <si>
    <t>m-Xylene</t>
  </si>
  <si>
    <t>o-Xylene</t>
  </si>
  <si>
    <t>p-Xylene</t>
  </si>
  <si>
    <t>c1</t>
  </si>
  <si>
    <t>c2</t>
  </si>
  <si>
    <t>c3</t>
  </si>
  <si>
    <t>c4</t>
  </si>
  <si>
    <t>Mol. Weight</t>
  </si>
  <si>
    <t>Variables for Density Calculations:</t>
  </si>
  <si>
    <t>Variables for Viscosity Calculations:</t>
  </si>
  <si>
    <t>c5</t>
  </si>
  <si>
    <t>Calculations:</t>
  </si>
  <si>
    <t>Excel Vlookup results based on selected fluid:</t>
  </si>
  <si>
    <t>Viscosity from above menu selection:</t>
  </si>
  <si>
    <t>Churchill Equation</t>
  </si>
  <si>
    <t>Colebrook Equation</t>
  </si>
  <si>
    <t>Enter the indicated input data:</t>
  </si>
  <si>
    <t>Initial estimate of f</t>
  </si>
  <si>
    <t>1st iteration with Colbrook;</t>
  </si>
  <si>
    <t>2nd iteration with Colbrook;</t>
  </si>
  <si>
    <t>3rd iteration with Colbrook;</t>
  </si>
  <si>
    <t>4th iteration with Colbrook;</t>
  </si>
  <si>
    <t>5th iteration with Colbrook;</t>
  </si>
  <si>
    <t>6th iteration with Colbrook;</t>
  </si>
  <si>
    <t>7th iteration with Colbrook;</t>
  </si>
  <si>
    <t>8th iteration with Colbrook;</t>
  </si>
  <si>
    <t>9th iteration with Colbrook;</t>
  </si>
  <si>
    <t>10th iteration with Colbrook;</t>
  </si>
  <si>
    <t>11th iteration with Colbrook;</t>
  </si>
  <si>
    <t>12th iteration with Colbrook;</t>
  </si>
  <si>
    <r>
      <rPr>
        <b/>
        <sz val="12"/>
        <rFont val="Arial"/>
        <family val="2"/>
      </rPr>
      <t>Tab 1.</t>
    </r>
    <r>
      <rPr>
        <sz val="12"/>
        <rFont val="Arial"/>
        <family val="2"/>
      </rPr>
      <t xml:space="preserve"> Contents  (current tab)</t>
    </r>
  </si>
  <si>
    <t xml:space="preserve"> (Enter Values in</t>
  </si>
  <si>
    <t xml:space="preserve"> yellow cells only)</t>
  </si>
  <si>
    <t>Enter a Liquid Density Obtained Elsewhere</t>
  </si>
  <si>
    <t>Enter a Liquid Viscosity Obtained Elsewhere</t>
  </si>
  <si>
    <t>LIQUID DENSITY</t>
  </si>
  <si>
    <r>
      <t xml:space="preserve">   The Churchill Equation:   </t>
    </r>
    <r>
      <rPr>
        <b/>
        <sz val="10"/>
        <rFont val="Arial"/>
        <family val="2"/>
      </rPr>
      <t xml:space="preserve"> f  =  {-4 log[(0.27</t>
    </r>
    <r>
      <rPr>
        <b/>
        <sz val="10"/>
        <rFont val="Symbol"/>
        <family val="1"/>
        <charset val="2"/>
      </rPr>
      <t>e</t>
    </r>
    <r>
      <rPr>
        <b/>
        <sz val="10"/>
        <rFont val="Arial"/>
        <family val="2"/>
      </rPr>
      <t>/D) + (7/Re)</t>
    </r>
    <r>
      <rPr>
        <b/>
        <vertAlign val="superscript"/>
        <sz val="10"/>
        <rFont val="Arial"/>
        <family val="2"/>
      </rPr>
      <t>0.9</t>
    </r>
    <r>
      <rPr>
        <b/>
        <sz val="10"/>
        <rFont val="Arial"/>
        <family val="2"/>
      </rPr>
      <t>]}</t>
    </r>
    <r>
      <rPr>
        <b/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    [with Fanning Friction Factor]</t>
    </r>
  </si>
  <si>
    <t xml:space="preserve">    (The Colebrook Equation is used to obtain a final value of f through an iterative calculation.)</t>
  </si>
  <si>
    <t>Friction Factor Equations</t>
  </si>
  <si>
    <t xml:space="preserve">  The equation relating frictional</t>
  </si>
  <si>
    <r>
      <t xml:space="preserve">  pressure drop and frictional head loss:     </t>
    </r>
    <r>
      <rPr>
        <b/>
        <sz val="12"/>
        <rFont val="Arial"/>
        <family val="2"/>
      </rPr>
      <t xml:space="preserve"> h</t>
    </r>
    <r>
      <rPr>
        <b/>
        <vertAlign val="subscript"/>
        <sz val="12"/>
        <rFont val="Arial"/>
        <family val="2"/>
      </rPr>
      <t>L</t>
    </r>
    <r>
      <rPr>
        <b/>
        <sz val="12"/>
        <rFont val="Arial"/>
        <family val="2"/>
      </rPr>
      <t xml:space="preserve"> = 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P</t>
    </r>
    <r>
      <rPr>
        <b/>
        <vertAlign val="subscript"/>
        <sz val="12"/>
        <rFont val="Arial"/>
        <family val="2"/>
      </rPr>
      <t>f</t>
    </r>
    <r>
      <rPr>
        <b/>
        <sz val="12"/>
        <rFont val="Arial"/>
        <family val="2"/>
      </rPr>
      <t>g</t>
    </r>
    <r>
      <rPr>
        <b/>
        <vertAlign val="subscript"/>
        <sz val="12"/>
        <rFont val="Arial"/>
        <family val="2"/>
      </rPr>
      <t>c</t>
    </r>
    <r>
      <rPr>
        <b/>
        <sz val="12"/>
        <rFont val="Arial"/>
        <family val="2"/>
      </rPr>
      <t>/</t>
    </r>
    <r>
      <rPr>
        <b/>
        <sz val="12"/>
        <rFont val="Symbol"/>
        <family val="1"/>
        <charset val="2"/>
      </rPr>
      <t>r</t>
    </r>
    <r>
      <rPr>
        <b/>
        <sz val="12"/>
        <rFont val="Arial"/>
        <family val="2"/>
      </rPr>
      <t xml:space="preserve">g </t>
    </r>
  </si>
  <si>
    <r>
      <t xml:space="preserve">    g</t>
    </r>
    <r>
      <rPr>
        <b/>
        <vertAlign val="subscript"/>
        <sz val="11"/>
        <rFont val="Arial"/>
        <family val="2"/>
      </rPr>
      <t>c</t>
    </r>
    <r>
      <rPr>
        <b/>
        <sz val="11"/>
        <rFont val="Arial"/>
        <family val="2"/>
      </rPr>
      <t xml:space="preserve"> = 32.174 lbm-ft/lbf-sec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 =  1 slug-ft/lbf-sec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</t>
    </r>
  </si>
  <si>
    <r>
      <t xml:space="preserve">    Tables of roughness,</t>
    </r>
    <r>
      <rPr>
        <sz val="10"/>
        <rFont val="Symbol"/>
        <family val="1"/>
        <charset val="2"/>
      </rPr>
      <t xml:space="preserve"> e</t>
    </r>
    <r>
      <rPr>
        <sz val="10"/>
        <rFont val="Arial"/>
        <family val="2"/>
      </rPr>
      <t>, for various pipe materials:</t>
    </r>
  </si>
  <si>
    <r>
      <t xml:space="preserve">   The Colebrook Equation:    </t>
    </r>
    <r>
      <rPr>
        <b/>
        <sz val="10"/>
        <rFont val="Arial"/>
        <family val="2"/>
      </rPr>
      <t>f  =  {(-4)log [(</t>
    </r>
    <r>
      <rPr>
        <b/>
        <sz val="10"/>
        <rFont val="Symbol"/>
        <family val="1"/>
        <charset val="2"/>
      </rPr>
      <t>e</t>
    </r>
    <r>
      <rPr>
        <b/>
        <sz val="10"/>
        <rFont val="Arial"/>
        <family val="2"/>
      </rPr>
      <t>/3.7D) + (1.256/(Re*f</t>
    </r>
    <r>
      <rPr>
        <b/>
        <vertAlign val="superscript"/>
        <sz val="10"/>
        <rFont val="Arial"/>
        <family val="2"/>
      </rPr>
      <t>1/2</t>
    </r>
    <r>
      <rPr>
        <b/>
        <sz val="10"/>
        <rFont val="Arial"/>
        <family val="2"/>
      </rPr>
      <t>)]}</t>
    </r>
    <r>
      <rPr>
        <b/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   [Fanning Friction Factor]</t>
    </r>
  </si>
  <si>
    <t>63 to 244</t>
  </si>
  <si>
    <t xml:space="preserve"> 163 to 212</t>
  </si>
  <si>
    <t xml:space="preserve"> 59 to 322</t>
  </si>
  <si>
    <t xml:space="preserve"> -119 to 241</t>
  </si>
  <si>
    <t>268 to 545</t>
  </si>
  <si>
    <t>SPECIFIC HEAT</t>
  </si>
  <si>
    <t>Specific Heat from above menu selection:</t>
  </si>
  <si>
    <t>Enter a Fluid Specific Heat Obtained Elsewhere</t>
  </si>
  <si>
    <t>Variables for Specific Heat Calculations:</t>
  </si>
  <si>
    <t xml:space="preserve"> -33 to 81</t>
  </si>
  <si>
    <t xml:space="preserve"> -213 to 63</t>
  </si>
  <si>
    <t xml:space="preserve"> -76 to 370</t>
  </si>
  <si>
    <t xml:space="preserve"> -162 to 171</t>
  </si>
  <si>
    <t xml:space="preserve"> -128 to 244</t>
  </si>
  <si>
    <t xml:space="preserve"> -9 to 381</t>
  </si>
  <si>
    <t xml:space="preserve"> -195 to 261</t>
  </si>
  <si>
    <t xml:space="preserve"> -175 to 210</t>
  </si>
  <si>
    <t xml:space="preserve"> -126 to 356</t>
  </si>
  <si>
    <t xml:space="preserve"> -195 to 180</t>
  </si>
  <si>
    <t xml:space="preserve"> -9 to 171</t>
  </si>
  <si>
    <t xml:space="preserve"> -139 to 133</t>
  </si>
  <si>
    <t>55 to 215</t>
  </si>
  <si>
    <t xml:space="preserve"> -47 to 179</t>
  </si>
  <si>
    <t>42 to 176</t>
  </si>
  <si>
    <t>252 to 350</t>
  </si>
  <si>
    <t xml:space="preserve"> 68 to 431</t>
  </si>
  <si>
    <t xml:space="preserve"> 77 to 259</t>
  </si>
  <si>
    <t xml:space="preserve"> -170 to 534</t>
  </si>
  <si>
    <t xml:space="preserve"> -9 to 240</t>
  </si>
  <si>
    <t xml:space="preserve"> -49 to 188</t>
  </si>
  <si>
    <t xml:space="preserve"> - 40 to 200</t>
  </si>
  <si>
    <t xml:space="preserve"> -144 to 212</t>
  </si>
  <si>
    <t xml:space="preserve"> -141 to 306</t>
  </si>
  <si>
    <t xml:space="preserve"> 44 to 260</t>
  </si>
  <si>
    <t xml:space="preserve"> -21 to 368</t>
  </si>
  <si>
    <t xml:space="preserve"> -144 to 350</t>
  </si>
  <si>
    <t xml:space="preserve"> 82 to 515</t>
  </si>
  <si>
    <t xml:space="preserve"> -177 to 368</t>
  </si>
  <si>
    <t xml:space="preserve"> 65 to 320</t>
  </si>
  <si>
    <t xml:space="preserve"> 80 to 566</t>
  </si>
  <si>
    <t xml:space="preserve"> 15 to 134</t>
  </si>
  <si>
    <t xml:space="preserve"> -173 to 242</t>
  </si>
  <si>
    <t xml:space="preserve"> -118 to 272</t>
  </si>
  <si>
    <t xml:space="preserve"> -30 to 416</t>
  </si>
  <si>
    <t xml:space="preserve"> 9 to 428</t>
  </si>
  <si>
    <t xml:space="preserve"> 52 to 243</t>
  </si>
  <si>
    <t xml:space="preserve"> - 28 to 116</t>
  </si>
  <si>
    <t xml:space="preserve"> 65 to 428</t>
  </si>
  <si>
    <t xml:space="preserve"> -131 to 476</t>
  </si>
  <si>
    <t xml:space="preserve"> 65 to 548</t>
  </si>
  <si>
    <t xml:space="preserve"> -140 to 368</t>
  </si>
  <si>
    <t xml:space="preserve"> 35 to 716</t>
  </si>
  <si>
    <t xml:space="preserve"> -139 to 116</t>
  </si>
  <si>
    <t xml:space="preserve"> -144 to 260</t>
  </si>
  <si>
    <t xml:space="preserve"> -4 to 212</t>
  </si>
  <si>
    <t xml:space="preserve"> -55 to 213</t>
  </si>
  <si>
    <t xml:space="preserve"> -164 to 131</t>
  </si>
  <si>
    <t xml:space="preserve"> -196 to 116</t>
  </si>
  <si>
    <t xml:space="preserve"> -124 to 212</t>
  </si>
  <si>
    <t xml:space="preserve"> -69 to 513</t>
  </si>
  <si>
    <t xml:space="preserve"> -64 to 125</t>
  </si>
  <si>
    <t xml:space="preserve"> -70 to 368</t>
  </si>
  <si>
    <t xml:space="preserve"> 62 to 463</t>
  </si>
  <si>
    <t xml:space="preserve"> -13 to 292</t>
  </si>
  <si>
    <t xml:space="preserve"> 56 to 620</t>
  </si>
  <si>
    <t xml:space="preserve"> 50 to 519</t>
  </si>
  <si>
    <t xml:space="preserve"> -202 to 242</t>
  </si>
  <si>
    <t xml:space="preserve"> 106 to 305</t>
  </si>
  <si>
    <t xml:space="preserve"> -5 to 286</t>
  </si>
  <si>
    <t xml:space="preserve"> -147 to 319</t>
  </si>
  <si>
    <t xml:space="preserve"> -23 to 293</t>
  </si>
  <si>
    <t xml:space="preserve"> -163 to 151</t>
  </si>
  <si>
    <t xml:space="preserve"> -139 to 440</t>
  </si>
  <si>
    <t xml:space="preserve"> -100 to 192</t>
  </si>
  <si>
    <t xml:space="preserve"> -14 to 320</t>
  </si>
  <si>
    <t xml:space="preserve"> -100 to 260</t>
  </si>
  <si>
    <t xml:space="preserve"> 32 to 500</t>
  </si>
  <si>
    <t>Specific Heat Result:</t>
  </si>
  <si>
    <t>Select a Liquid and Enter Temperatures</t>
  </si>
  <si>
    <t>Limits of Temperature Range</t>
  </si>
  <si>
    <t>Density</t>
  </si>
  <si>
    <t>Viscosity</t>
  </si>
  <si>
    <t>Specific Heat</t>
  </si>
  <si>
    <t>Enter a Liquid Specific Heat Obtained Elsewhere</t>
  </si>
  <si>
    <r>
      <t xml:space="preserve">  Log Mean Temp Diff, 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lm</t>
    </r>
    <r>
      <rPr>
        <sz val="10"/>
        <rFont val="Arial"/>
        <family val="2"/>
      </rPr>
      <t xml:space="preserve"> =</t>
    </r>
  </si>
  <si>
    <t>PIPE CALC'NS</t>
  </si>
  <si>
    <r>
      <t xml:space="preserve">    Number of Passes, </t>
    </r>
    <r>
      <rPr>
        <b/>
        <sz val="12"/>
        <rFont val="Arial"/>
        <family val="2"/>
      </rPr>
      <t>N</t>
    </r>
    <r>
      <rPr>
        <b/>
        <vertAlign val="subscript"/>
        <sz val="12"/>
        <rFont val="Arial"/>
        <family val="2"/>
      </rPr>
      <t>p</t>
    </r>
    <r>
      <rPr>
        <sz val="10"/>
        <rFont val="Arial"/>
        <family val="2"/>
      </rPr>
      <t xml:space="preserve"> =</t>
    </r>
  </si>
  <si>
    <r>
      <t xml:space="preserve">  Number of 180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Bends, </t>
    </r>
    <r>
      <rPr>
        <b/>
        <sz val="12"/>
        <rFont val="Arial"/>
        <family val="2"/>
      </rPr>
      <t>N</t>
    </r>
    <r>
      <rPr>
        <b/>
        <vertAlign val="subscript"/>
        <sz val="12"/>
        <rFont val="Arial"/>
        <family val="2"/>
      </rPr>
      <t>B</t>
    </r>
    <r>
      <rPr>
        <sz val="10"/>
        <rFont val="Arial"/>
        <family val="2"/>
      </rPr>
      <t xml:space="preserve"> =</t>
    </r>
  </si>
  <si>
    <t xml:space="preserve">     Calculated Values:</t>
  </si>
  <si>
    <r>
      <t xml:space="preserve">  Cross-Sect. Area, </t>
    </r>
    <r>
      <rPr>
        <b/>
        <sz val="12"/>
        <rFont val="Arial"/>
        <family val="2"/>
      </rPr>
      <t>A</t>
    </r>
    <r>
      <rPr>
        <sz val="10"/>
        <rFont val="Arial"/>
        <family val="2"/>
      </rPr>
      <t xml:space="preserve"> =</t>
    </r>
  </si>
  <si>
    <r>
      <t xml:space="preserve">  Ave. Velocity, </t>
    </r>
    <r>
      <rPr>
        <b/>
        <sz val="12"/>
        <rFont val="Arial"/>
        <family val="2"/>
      </rPr>
      <t>V</t>
    </r>
    <r>
      <rPr>
        <sz val="10"/>
        <rFont val="Arial"/>
        <family val="2"/>
      </rPr>
      <t xml:space="preserve"> =</t>
    </r>
  </si>
  <si>
    <r>
      <t xml:space="preserve">      Heat Transfer Rate, </t>
    </r>
    <r>
      <rPr>
        <b/>
        <sz val="12"/>
        <rFont val="Arial"/>
        <family val="2"/>
      </rPr>
      <t>q</t>
    </r>
    <r>
      <rPr>
        <sz val="10"/>
        <rFont val="Arial"/>
        <family val="2"/>
      </rPr>
      <t xml:space="preserve"> =</t>
    </r>
  </si>
  <si>
    <t>and setting the Density, Viscosity, and Specific Heat</t>
  </si>
  <si>
    <t>The Process</t>
  </si>
  <si>
    <t>Friction Factor Calculation</t>
  </si>
  <si>
    <t xml:space="preserve">  Reynolds Number, Re =</t>
  </si>
  <si>
    <t xml:space="preserve"> behind the scenes (at the bottom of</t>
  </si>
  <si>
    <t xml:space="preserve"> this worksheet) with the Colebrook</t>
  </si>
  <si>
    <t xml:space="preserve"> equation using an iterative calculation.</t>
  </si>
  <si>
    <r>
      <t xml:space="preserve">  Pressure Drop, 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P</t>
    </r>
    <r>
      <rPr>
        <b/>
        <vertAlign val="subscript"/>
        <sz val="12"/>
        <rFont val="Arial"/>
        <family val="2"/>
      </rPr>
      <t>f</t>
    </r>
    <r>
      <rPr>
        <sz val="10"/>
        <rFont val="Arial"/>
        <family val="2"/>
      </rPr>
      <t xml:space="preserve"> =</t>
    </r>
  </si>
  <si>
    <t xml:space="preserve">  Fanning Friction Factor =</t>
  </si>
  <si>
    <t>Workbook Contents</t>
  </si>
  <si>
    <t xml:space="preserve">                    specific heat for tubeside liquid</t>
  </si>
  <si>
    <t xml:space="preserve">                    specific heat for shellside liquid</t>
  </si>
  <si>
    <t>PRESSURE DROP FOR TUBESIDE LIQUID</t>
  </si>
  <si>
    <t xml:space="preserve">             Preliminary Calculations</t>
  </si>
  <si>
    <t>Pressure Drop Calculation for Tubeside Liquid</t>
  </si>
  <si>
    <t xml:space="preserve">  Minor Loss Coefficient</t>
  </si>
  <si>
    <r>
      <t xml:space="preserve">           </t>
    </r>
    <r>
      <rPr>
        <sz val="10"/>
        <rFont val="Arial"/>
        <family val="2"/>
      </rPr>
      <t xml:space="preserve"> for 180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Bends,</t>
    </r>
    <r>
      <rPr>
        <b/>
        <sz val="12"/>
        <rFont val="Arial"/>
        <family val="2"/>
      </rPr>
      <t xml:space="preserve">  K =</t>
    </r>
  </si>
  <si>
    <t xml:space="preserve">   Enter Values:</t>
  </si>
  <si>
    <r>
      <t>(</t>
    </r>
    <r>
      <rPr>
        <sz val="11"/>
        <rFont val="Arial"/>
        <family val="2"/>
      </rPr>
      <t>tubeside liquid - straight pipe &amp; minor losses for bends)</t>
    </r>
  </si>
  <si>
    <r>
      <t xml:space="preserve"> Hydraulic Diameter, </t>
    </r>
    <r>
      <rPr>
        <b/>
        <sz val="12"/>
        <rFont val="Arial"/>
        <family val="2"/>
      </rPr>
      <t>D</t>
    </r>
    <r>
      <rPr>
        <b/>
        <vertAlign val="subscript"/>
        <sz val="12"/>
        <rFont val="Arial"/>
        <family val="2"/>
      </rPr>
      <t>h</t>
    </r>
    <r>
      <rPr>
        <sz val="10"/>
        <rFont val="Arial"/>
        <family val="2"/>
      </rPr>
      <t xml:space="preserve"> =</t>
    </r>
  </si>
  <si>
    <t>T in K</t>
  </si>
  <si>
    <t xml:space="preserve">   t for Heptane:</t>
  </si>
  <si>
    <t>Liquid Density:  Table 2-32</t>
  </si>
  <si>
    <t>The source for the data in the tables below used to calculate fluid density, viscosity, and specific heat are the tables itemized below from:</t>
  </si>
  <si>
    <t xml:space="preserve">  Information about thermal design of heat exchangers, as well as useful equations, tables, and figures:</t>
  </si>
  <si>
    <t>References and Equations for Frictional Pressure Drop Calculation</t>
  </si>
  <si>
    <t xml:space="preserve">    (The Churchill Equation is used to obtain an initial value of f to use in an iterative calculation.)</t>
  </si>
  <si>
    <t>Friction Factor Calculation For Tubeside Liquid:</t>
  </si>
  <si>
    <t>Friction Factor Calculation For Shellside Liquid:</t>
  </si>
  <si>
    <t>Iterative Calculations for friction factor determination:</t>
  </si>
  <si>
    <t>LIQUID VISCOSITY</t>
  </si>
  <si>
    <t>The source for the data in the tables below used to calculate liquid density, viscosity, and specific heat are the tables itemized below from:</t>
  </si>
  <si>
    <t>The Fanning friction factor is calculated</t>
  </si>
  <si>
    <t xml:space="preserve"> The Fanning friction factor is calculated</t>
  </si>
  <si>
    <t xml:space="preserve">  For example calculations with a double pipe heat exchanger see:</t>
  </si>
  <si>
    <t xml:space="preserve">  For a table with typical combinations of inner and outer pipe diameters see:</t>
  </si>
  <si>
    <t>Pressure Drop Calculations</t>
  </si>
  <si>
    <t xml:space="preserve">  for low viscosity fluids and less for highly viscous fluids, from:</t>
  </si>
  <si>
    <t xml:space="preserve">  Suggested velocity range is 1 to 2 m/s (3.3 to 6.6 ft/sec),</t>
  </si>
  <si>
    <t xml:space="preserve">  See the link (above right), to Table 5-1 for typical standard</t>
  </si>
  <si>
    <t>Selection of Liquid flowing through Annulus</t>
  </si>
  <si>
    <t>(Enter Values in yellow cells only)</t>
  </si>
  <si>
    <t>Liquid Density Result:</t>
  </si>
  <si>
    <t>Liquid Viscosity Result:</t>
  </si>
  <si>
    <t>Thermal Conductivity from above menu selection:</t>
  </si>
  <si>
    <r>
      <t>Temperature Range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</si>
  <si>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t>OR</t>
  </si>
  <si>
    <t>Enter a Thermal Conductivity Obtained Elsewhere</t>
  </si>
  <si>
    <t>Variables for Thermal Conductivity Calculations:</t>
  </si>
  <si>
    <t>Thermal Conductivity</t>
  </si>
  <si>
    <t>THERMal COND.</t>
  </si>
  <si>
    <t>Thermal Cond. Result:</t>
  </si>
  <si>
    <t xml:space="preserve">Click to Select Tubeside Liquid </t>
  </si>
  <si>
    <t xml:space="preserve">Click to Select Annulus Liquid  </t>
  </si>
  <si>
    <t xml:space="preserve">  (This is the specific heat value that will be used in all of the other worksheets for the annulus liquid.)</t>
  </si>
  <si>
    <t xml:space="preserve">  (This is the viscosity value that will be used in all of the other worksheets for the annulus liquid.)</t>
  </si>
  <si>
    <t xml:space="preserve">  (This is the density value that will be used in all of the other worksheets for the annulus liquid.)</t>
  </si>
  <si>
    <t xml:space="preserve">  (This is the density value that will be used in all of the other worksheets for the tubeside liquid.)</t>
  </si>
  <si>
    <t xml:space="preserve">  (This is the viscosity value that will be used in all of the other worksheets for the tubeside liquid.)</t>
  </si>
  <si>
    <t xml:space="preserve">  (This is the thermal conductivity that will be used in all of the other worksheets for the tubeside liquid.)</t>
  </si>
  <si>
    <t xml:space="preserve"> </t>
  </si>
  <si>
    <t>Other Liquid</t>
  </si>
  <si>
    <t xml:space="preserve">   Choose "Other Liquid" (alphabetical</t>
  </si>
  <si>
    <t xml:space="preserve">   in the dropbox list above) if you want to</t>
  </si>
  <si>
    <t xml:space="preserve">   to enter liquid properties obtained</t>
  </si>
  <si>
    <t xml:space="preserve">   elsewhere.</t>
  </si>
  <si>
    <t>Note that all of these properties are at either 1 atm or the vapor pressure, whichever is higher.</t>
  </si>
  <si>
    <t>If the working liquid temperature is above the atmospheric boiling point, then the pressure must be above its vapor pressure.</t>
  </si>
  <si>
    <t xml:space="preserve">   NOTE:  If the liquid working Temp.</t>
  </si>
  <si>
    <t xml:space="preserve">  is above its boiling pt at atmosph.</t>
  </si>
  <si>
    <t xml:space="preserve">  pressure, then the pressure must</t>
  </si>
  <si>
    <t xml:space="preserve">  be above its vapor pressure.</t>
  </si>
  <si>
    <t>liquid property values in cells C28, C45, C61 &amp; C76, and those values will be used.</t>
  </si>
  <si>
    <t>specific heat and thermal conductivity will be calculated and used, or else (ii) enter</t>
  </si>
  <si>
    <t>PRELIMINARY CALCULATIONS</t>
  </si>
  <si>
    <t>Preliminary Calculations:</t>
  </si>
  <si>
    <t xml:space="preserve">  If you get a #DIV/0!</t>
  </si>
  <si>
    <t xml:space="preserve">  message for Re and</t>
  </si>
  <si>
    <t xml:space="preserve">  Pr, check to be sure</t>
  </si>
  <si>
    <t xml:space="preserve">  you've selected a liquid</t>
  </si>
  <si>
    <r>
      <t xml:space="preserve">       Reynolds Number, </t>
    </r>
    <r>
      <rPr>
        <b/>
        <sz val="11"/>
        <rFont val="Arial"/>
        <family val="2"/>
      </rPr>
      <t>Re</t>
    </r>
    <r>
      <rPr>
        <sz val="10"/>
        <rFont val="Arial"/>
        <family val="2"/>
      </rPr>
      <t xml:space="preserve"> =</t>
    </r>
  </si>
  <si>
    <t xml:space="preserve">  or entered liquid</t>
  </si>
  <si>
    <t xml:space="preserve">  property values in the</t>
  </si>
  <si>
    <r>
      <t xml:space="preserve">           Prandtl Number, </t>
    </r>
    <r>
      <rPr>
        <b/>
        <sz val="11"/>
        <rFont val="Arial"/>
        <family val="2"/>
      </rPr>
      <t>Pr</t>
    </r>
    <r>
      <rPr>
        <sz val="10"/>
        <rFont val="Arial"/>
        <family val="2"/>
      </rPr>
      <t xml:space="preserve"> =</t>
    </r>
  </si>
  <si>
    <t xml:space="preserve">  worksheet</t>
  </si>
  <si>
    <r>
      <rPr>
        <b/>
        <sz val="12"/>
        <rFont val="Arial"/>
        <family val="2"/>
      </rPr>
      <t>The Gnielinski correlation</t>
    </r>
    <r>
      <rPr>
        <b/>
        <sz val="10"/>
        <rFont val="Arial"/>
        <family val="2"/>
      </rPr>
      <t xml:space="preserve"> - for 0.5 &lt; Pr &lt; 10</t>
    </r>
    <r>
      <rPr>
        <b/>
        <vertAlign val="superscript"/>
        <sz val="10"/>
        <rFont val="Arial"/>
        <family val="2"/>
      </rPr>
      <t>5</t>
    </r>
    <r>
      <rPr>
        <b/>
        <sz val="10"/>
        <rFont val="Arial"/>
        <family val="2"/>
      </rPr>
      <t>;  L/D &gt; 10;</t>
    </r>
  </si>
  <si>
    <r>
      <t>and 2300 &lt; Re &lt; 10</t>
    </r>
    <r>
      <rPr>
        <b/>
        <vertAlign val="super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</t>
    </r>
  </si>
  <si>
    <r>
      <t xml:space="preserve">       </t>
    </r>
    <r>
      <rPr>
        <b/>
        <sz val="11"/>
        <rFont val="Arial"/>
        <family val="2"/>
      </rPr>
      <t>Pr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at surf. Temp.,</t>
    </r>
    <r>
      <rPr>
        <b/>
        <sz val="10"/>
        <rFont val="Arial"/>
        <family val="2"/>
      </rPr>
      <t xml:space="preserve">  </t>
    </r>
    <r>
      <rPr>
        <b/>
        <sz val="11"/>
        <rFont val="Arial"/>
        <family val="2"/>
      </rPr>
      <t>Pr</t>
    </r>
    <r>
      <rPr>
        <b/>
        <vertAlign val="subscript"/>
        <sz val="11"/>
        <rFont val="Arial"/>
        <family val="2"/>
      </rPr>
      <t>s</t>
    </r>
    <r>
      <rPr>
        <b/>
        <sz val="10"/>
        <rFont val="Arial"/>
        <family val="2"/>
      </rPr>
      <t xml:space="preserve">  =</t>
    </r>
  </si>
  <si>
    <r>
      <rPr>
        <sz val="10"/>
        <rFont val="Arial"/>
        <family val="2"/>
      </rPr>
      <t xml:space="preserve"> Variable Property Factor,</t>
    </r>
    <r>
      <rPr>
        <b/>
        <sz val="10"/>
        <rFont val="Arial"/>
        <family val="2"/>
      </rPr>
      <t xml:space="preserve">  </t>
    </r>
    <r>
      <rPr>
        <b/>
        <sz val="11"/>
        <rFont val="Arial"/>
        <family val="2"/>
      </rPr>
      <t>K</t>
    </r>
    <r>
      <rPr>
        <b/>
        <sz val="10"/>
        <rFont val="Arial"/>
        <family val="2"/>
      </rPr>
      <t xml:space="preserve">  =</t>
    </r>
  </si>
  <si>
    <r>
      <rPr>
        <sz val="10"/>
        <rFont val="Arial"/>
        <family val="2"/>
      </rPr>
      <t xml:space="preserve">  Fanning Friction Factor,</t>
    </r>
    <r>
      <rPr>
        <b/>
        <sz val="10"/>
        <rFont val="Arial"/>
        <family val="2"/>
      </rPr>
      <t xml:space="preserve">  </t>
    </r>
    <r>
      <rPr>
        <b/>
        <sz val="11"/>
        <rFont val="Arial"/>
        <family val="2"/>
      </rPr>
      <t>f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(for smooth pipe wall)</t>
    </r>
    <r>
      <rPr>
        <b/>
        <sz val="10"/>
        <rFont val="Arial"/>
        <family val="2"/>
      </rPr>
      <t xml:space="preserve"> =</t>
    </r>
  </si>
  <si>
    <r>
      <rPr>
        <sz val="10"/>
        <rFont val="Arial"/>
        <family val="2"/>
      </rPr>
      <t xml:space="preserve">  Fanning Friction Factor,</t>
    </r>
    <r>
      <rPr>
        <b/>
        <sz val="10"/>
        <rFont val="Arial"/>
        <family val="2"/>
      </rPr>
      <t xml:space="preserve">  </t>
    </r>
    <r>
      <rPr>
        <b/>
        <sz val="11"/>
        <rFont val="Arial"/>
        <family val="2"/>
      </rPr>
      <t>f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(for rough pipe wall)</t>
    </r>
    <r>
      <rPr>
        <b/>
        <sz val="10"/>
        <rFont val="Arial"/>
        <family val="2"/>
      </rPr>
      <t xml:space="preserve"> =</t>
    </r>
  </si>
  <si>
    <r>
      <t xml:space="preserve">  (From a Moody Diagram - </t>
    </r>
    <r>
      <rPr>
        <b/>
        <sz val="11"/>
        <rFont val="Arial"/>
        <family val="2"/>
      </rPr>
      <t>Leave Blank if pipe wall is smooth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</si>
  <si>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 xml:space="preserve">  Fanning Friction Factor,</t>
    </r>
    <r>
      <rPr>
        <b/>
        <sz val="10"/>
        <rFont val="Arial"/>
        <family val="2"/>
      </rPr>
      <t xml:space="preserve">  </t>
    </r>
    <r>
      <rPr>
        <b/>
        <sz val="11"/>
        <rFont val="Arial"/>
        <family val="2"/>
      </rPr>
      <t>f</t>
    </r>
    <r>
      <rPr>
        <b/>
        <sz val="10"/>
        <rFont val="Arial"/>
        <family val="2"/>
      </rPr>
      <t xml:space="preserve"> , </t>
    </r>
    <r>
      <rPr>
        <sz val="10"/>
        <rFont val="Arial"/>
        <family val="2"/>
      </rPr>
      <t>for calculation =</t>
    </r>
  </si>
  <si>
    <r>
      <t xml:space="preserve">        Nusselt Number, </t>
    </r>
    <r>
      <rPr>
        <b/>
        <sz val="11"/>
        <rFont val="Arial"/>
        <family val="2"/>
      </rPr>
      <t>Nu</t>
    </r>
    <r>
      <rPr>
        <sz val="10"/>
        <rFont val="Arial"/>
        <family val="2"/>
      </rPr>
      <t xml:space="preserve"> =</t>
    </r>
  </si>
  <si>
    <t>The source for the data in the tables below used to calculate fluid density, viscosity, specific heat, and thermal conductivity are the tables itemized below from:</t>
  </si>
  <si>
    <t>Parameters for Heptane Specific Heat Calculation:</t>
  </si>
  <si>
    <t>t for heptane</t>
  </si>
  <si>
    <t xml:space="preserve">  The selected liquid comes from the </t>
  </si>
  <si>
    <t xml:space="preserve">   The surface temperature comes </t>
  </si>
  <si>
    <t>Range, ºC</t>
  </si>
  <si>
    <t xml:space="preserve"> -36 to 114</t>
  </si>
  <si>
    <t xml:space="preserve"> -36 to 27</t>
  </si>
  <si>
    <t xml:space="preserve"> -37 to 209</t>
  </si>
  <si>
    <t xml:space="preserve"> -136 to 11</t>
  </si>
  <si>
    <t xml:space="preserve"> -136 to 17</t>
  </si>
  <si>
    <t xml:space="preserve"> -60 to 228</t>
  </si>
  <si>
    <t xml:space="preserve"> -60 to 188</t>
  </si>
  <si>
    <t xml:space="preserve"> -60 to 727</t>
  </si>
  <si>
    <t xml:space="preserve"> -23 to 127</t>
  </si>
  <si>
    <t xml:space="preserve"> -108 to 77</t>
  </si>
  <si>
    <t xml:space="preserve"> -109 to-4</t>
  </si>
  <si>
    <t>.</t>
  </si>
  <si>
    <t xml:space="preserve"> 83 to 119</t>
  </si>
  <si>
    <t xml:space="preserve"> -89 to 118</t>
  </si>
  <si>
    <t xml:space="preserve"> -89 to 119</t>
  </si>
  <si>
    <t xml:space="preserve"> 7 to 195</t>
  </si>
  <si>
    <t xml:space="preserve"> -23 to 194</t>
  </si>
  <si>
    <t xml:space="preserve"> -15 to 727</t>
  </si>
  <si>
    <t xml:space="preserve"> -126 to 97</t>
  </si>
  <si>
    <t xml:space="preserve"> -126 to 127</t>
  </si>
  <si>
    <t xml:space="preserve"> -73 to 727</t>
  </si>
  <si>
    <t xml:space="preserve"> -115 to 100</t>
  </si>
  <si>
    <t xml:space="preserve"> -115 to 99</t>
  </si>
  <si>
    <t xml:space="preserve"> -32 to 180</t>
  </si>
  <si>
    <t xml:space="preserve"> -88 to 180</t>
  </si>
  <si>
    <t xml:space="preserve"> -32 to 727</t>
  </si>
  <si>
    <t xml:space="preserve"> -88 to 82</t>
  </si>
  <si>
    <t xml:space="preserve"> -126 to 82</t>
  </si>
  <si>
    <t xml:space="preserve"> -86 to 727</t>
  </si>
  <si>
    <t xml:space="preserve">   viscosity obtained elsewhere.</t>
  </si>
  <si>
    <t>17 to 118</t>
  </si>
  <si>
    <t xml:space="preserve"> -63 to 140</t>
  </si>
  <si>
    <t xml:space="preserve"> -23 to 77</t>
  </si>
  <si>
    <t xml:space="preserve"> -73 to 140</t>
  </si>
  <si>
    <t xml:space="preserve"> -83 to 56</t>
  </si>
  <si>
    <t xml:space="preserve"> -95 to 56</t>
  </si>
  <si>
    <t xml:space="preserve"> -95 to 70</t>
  </si>
  <si>
    <t xml:space="preserve"> -44 to 163</t>
  </si>
  <si>
    <t xml:space="preserve"> -44 to 82</t>
  </si>
  <si>
    <t xml:space="preserve"> -44 to 76</t>
  </si>
  <si>
    <t>13 to 187</t>
  </si>
  <si>
    <t>13 to 102</t>
  </si>
  <si>
    <t>13 to 211</t>
  </si>
  <si>
    <t xml:space="preserve">   NOTE:  These properties are all at</t>
  </si>
  <si>
    <t>6 to 272</t>
  </si>
  <si>
    <t>6 to 80</t>
  </si>
  <si>
    <t>6 to 140</t>
  </si>
  <si>
    <t xml:space="preserve">   either 1 atm or the vapor pressure</t>
  </si>
  <si>
    <t>123 to 327</t>
  </si>
  <si>
    <t>122 to 177</t>
  </si>
  <si>
    <t>122 to 323</t>
  </si>
  <si>
    <t xml:space="preserve">   whichever is higher.</t>
  </si>
  <si>
    <t xml:space="preserve"> -31 to 156</t>
  </si>
  <si>
    <t xml:space="preserve"> 20 to 222</t>
  </si>
  <si>
    <t xml:space="preserve"> -31 to 219</t>
  </si>
  <si>
    <t xml:space="preserve"> -23 to 126</t>
  </si>
  <si>
    <t xml:space="preserve"> 25 to 126</t>
  </si>
  <si>
    <t xml:space="preserve"> -73 to 181</t>
  </si>
  <si>
    <t xml:space="preserve"> -111 to 169</t>
  </si>
  <si>
    <t xml:space="preserve"> -112 to 279</t>
  </si>
  <si>
    <t xml:space="preserve"> -112 to 46</t>
  </si>
  <si>
    <t xml:space="preserve"> -23 to 182</t>
  </si>
  <si>
    <t xml:space="preserve"> -23 to 116</t>
  </si>
  <si>
    <t xml:space="preserve"> -23 to 267</t>
  </si>
  <si>
    <t xml:space="preserve"> -45 to 87</t>
  </si>
  <si>
    <t xml:space="preserve"> -45 to 132</t>
  </si>
  <si>
    <t xml:space="preserve"> - 63 to 80</t>
  </si>
  <si>
    <t xml:space="preserve"> - 40 to 93</t>
  </si>
  <si>
    <t xml:space="preserve"> - 64 to 127</t>
  </si>
  <si>
    <t xml:space="preserve"> -98 to 130</t>
  </si>
  <si>
    <t xml:space="preserve"> -98 to 100</t>
  </si>
  <si>
    <t xml:space="preserve"> -98 to 77</t>
  </si>
  <si>
    <t xml:space="preserve"> -73 to 127</t>
  </si>
  <si>
    <t xml:space="preserve"> -96 to 152</t>
  </si>
  <si>
    <t xml:space="preserve"> -96 to 140</t>
  </si>
  <si>
    <t xml:space="preserve"> 7 to 170</t>
  </si>
  <si>
    <t xml:space="preserve"> 7 to 127</t>
  </si>
  <si>
    <t xml:space="preserve"> 7 to 81</t>
  </si>
  <si>
    <t xml:space="preserve"> -48 to 52</t>
  </si>
  <si>
    <t xml:space="preserve"> -116 to 187</t>
  </si>
  <si>
    <t xml:space="preserve"> -94 to 49</t>
  </si>
  <si>
    <t xml:space="preserve"> -6 to 488</t>
  </si>
  <si>
    <t xml:space="preserve"> -29 to 187</t>
  </si>
  <si>
    <t xml:space="preserve"> -30 to 174</t>
  </si>
  <si>
    <t xml:space="preserve"> -98 to 141</t>
  </si>
  <si>
    <t xml:space="preserve"> -98 to 177</t>
  </si>
  <si>
    <t xml:space="preserve"> -98 to 250</t>
  </si>
  <si>
    <t xml:space="preserve"> 20 to 316</t>
  </si>
  <si>
    <t xml:space="preserve"> 28 to 268</t>
  </si>
  <si>
    <t xml:space="preserve"> 28 to 400</t>
  </si>
  <si>
    <t xml:space="preserve"> 73 to 100</t>
  </si>
  <si>
    <t xml:space="preserve"> -116 to 160</t>
  </si>
  <si>
    <t xml:space="preserve"> 19 to 191</t>
  </si>
  <si>
    <t xml:space="preserve"> 18 to 160</t>
  </si>
  <si>
    <t xml:space="preserve"> 20 to 340</t>
  </si>
  <si>
    <t xml:space="preserve"> 27 to 297</t>
  </si>
  <si>
    <t xml:space="preserve"> 27 to 258</t>
  </si>
  <si>
    <t xml:space="preserve"> -11 to 253</t>
  </si>
  <si>
    <t xml:space="preserve"> -9 to 57</t>
  </si>
  <si>
    <t xml:space="preserve"> -10 to 216</t>
  </si>
  <si>
    <t xml:space="preserve"> -73 to 167</t>
  </si>
  <si>
    <t xml:space="preserve"> -114 to 117</t>
  </si>
  <si>
    <t xml:space="preserve"> -114 to 80</t>
  </si>
  <si>
    <t xml:space="preserve"> -53 to 200</t>
  </si>
  <si>
    <t xml:space="preserve"> -83 to 133</t>
  </si>
  <si>
    <t xml:space="preserve"> -84 to 77</t>
  </si>
  <si>
    <t xml:space="preserve"> -23 to 214</t>
  </si>
  <si>
    <t xml:space="preserve"> -34 to 213</t>
  </si>
  <si>
    <t xml:space="preserve"> -35 to 276</t>
  </si>
  <si>
    <t xml:space="preserve"> -13 to 303</t>
  </si>
  <si>
    <t xml:space="preserve"> -13 to 220</t>
  </si>
  <si>
    <t xml:space="preserve"> -13 to 197</t>
  </si>
  <si>
    <t xml:space="preserve"> 11 to 210</t>
  </si>
  <si>
    <t xml:space="preserve"> 11 to 117</t>
  </si>
  <si>
    <t xml:space="preserve"> - 41 to 180</t>
  </si>
  <si>
    <t xml:space="preserve"> - 33 to 47</t>
  </si>
  <si>
    <t xml:space="preserve"> - 35 to 80</t>
  </si>
  <si>
    <t xml:space="preserve"> 0 to 220</t>
  </si>
  <si>
    <t xml:space="preserve"> 18 to 220</t>
  </si>
  <si>
    <t xml:space="preserve"> 3 to 220</t>
  </si>
  <si>
    <t xml:space="preserve"> -93 to 159</t>
  </si>
  <si>
    <t xml:space="preserve"> -91 to 247</t>
  </si>
  <si>
    <t xml:space="preserve"> -91 to 99</t>
  </si>
  <si>
    <t xml:space="preserve"> 18 to 291</t>
  </si>
  <si>
    <t xml:space="preserve"> 18 to 287</t>
  </si>
  <si>
    <t xml:space="preserve"> -98 to 133</t>
  </si>
  <si>
    <t xml:space="preserve"> -96 to 187</t>
  </si>
  <si>
    <t xml:space="preserve"> -95 to 97</t>
  </si>
  <si>
    <t xml:space="preserve"> 1 to 250</t>
  </si>
  <si>
    <t xml:space="preserve"> 2 to 380</t>
  </si>
  <si>
    <t xml:space="preserve"> 2 to 350</t>
  </si>
  <si>
    <t xml:space="preserve"> -23 to 180</t>
  </si>
  <si>
    <t xml:space="preserve"> -95 to 47</t>
  </si>
  <si>
    <t xml:space="preserve"> -95 to 32</t>
  </si>
  <si>
    <t xml:space="preserve"> 15 to 161</t>
  </si>
  <si>
    <t xml:space="preserve"> 15 to 257</t>
  </si>
  <si>
    <t xml:space="preserve"> -98 to 65</t>
  </si>
  <si>
    <t xml:space="preserve"> -98 to 127</t>
  </si>
  <si>
    <t xml:space="preserve"> -23 to 152</t>
  </si>
  <si>
    <t xml:space="preserve"> -20 to 100</t>
  </si>
  <si>
    <t xml:space="preserve"> -98 to 113</t>
  </si>
  <si>
    <t xml:space="preserve"> -13 to 127</t>
  </si>
  <si>
    <t xml:space="preserve"> -48 to 101</t>
  </si>
  <si>
    <t xml:space="preserve"> 17 to 90</t>
  </si>
  <si>
    <t xml:space="preserve"> -108 to 177</t>
  </si>
  <si>
    <t xml:space="preserve"> -109 to 55</t>
  </si>
  <si>
    <t xml:space="preserve"> -126 to 185</t>
  </si>
  <si>
    <t xml:space="preserve"> -127 to 47</t>
  </si>
  <si>
    <t xml:space="preserve"> 0 to 101</t>
  </si>
  <si>
    <t xml:space="preserve"> -87 to 263</t>
  </si>
  <si>
    <t xml:space="preserve"> -87 to 100</t>
  </si>
  <si>
    <t xml:space="preserve"> -87 to 80</t>
  </si>
  <si>
    <t xml:space="preserve"> -84 - 116</t>
  </si>
  <si>
    <t xml:space="preserve"> -84 to 116</t>
  </si>
  <si>
    <t xml:space="preserve"> -84 to 178</t>
  </si>
  <si>
    <t xml:space="preserve"> -48.to 140</t>
  </si>
  <si>
    <t xml:space="preserve"> -56 to 267</t>
  </si>
  <si>
    <t xml:space="preserve"> -48 to 140</t>
  </si>
  <si>
    <t xml:space="preserve"> -55 to 320</t>
  </si>
  <si>
    <t xml:space="preserve"> -53 to 52</t>
  </si>
  <si>
    <t xml:space="preserve"> -53 to 151</t>
  </si>
  <si>
    <t xml:space="preserve"> -62 to 182</t>
  </si>
  <si>
    <t xml:space="preserve"> -57 to 187</t>
  </si>
  <si>
    <t xml:space="preserve"> -57 to 126</t>
  </si>
  <si>
    <t xml:space="preserve"> 17 to 240</t>
  </si>
  <si>
    <t xml:space="preserve"> 17 to 239</t>
  </si>
  <si>
    <t xml:space="preserve"> -25 to 145</t>
  </si>
  <si>
    <t xml:space="preserve"> -25 to 144</t>
  </si>
  <si>
    <t xml:space="preserve"> 10 to 271</t>
  </si>
  <si>
    <t xml:space="preserve"> -130 to 192</t>
  </si>
  <si>
    <t xml:space="preserve"> -130 to 117</t>
  </si>
  <si>
    <t xml:space="preserve"> -130 to 172</t>
  </si>
  <si>
    <t xml:space="preserve"> 18 to 282</t>
  </si>
  <si>
    <t xml:space="preserve"> 41 to 152</t>
  </si>
  <si>
    <t xml:space="preserve"> 41 to 182</t>
  </si>
  <si>
    <t>131 to 285</t>
  </si>
  <si>
    <t xml:space="preserve"> -21 to 141</t>
  </si>
  <si>
    <t xml:space="preserve"> -21 to 270</t>
  </si>
  <si>
    <t xml:space="preserve"> -73 to 159</t>
  </si>
  <si>
    <t xml:space="preserve"> -99 to 159</t>
  </si>
  <si>
    <t xml:space="preserve"> -100 to 310</t>
  </si>
  <si>
    <t xml:space="preserve"> 13 to 140</t>
  </si>
  <si>
    <t xml:space="preserve"> 13 to 327</t>
  </si>
  <si>
    <t xml:space="preserve"> -30 to 145</t>
  </si>
  <si>
    <t xml:space="preserve"> -31 to 145</t>
  </si>
  <si>
    <t xml:space="preserve"> -108 to 100</t>
  </si>
  <si>
    <t xml:space="preserve"> -108 to 66</t>
  </si>
  <si>
    <t xml:space="preserve"> -95 to 111</t>
  </si>
  <si>
    <t xml:space="preserve"> -95 to 227</t>
  </si>
  <si>
    <t xml:space="preserve"> -95 to 202</t>
  </si>
  <si>
    <t xml:space="preserve"> -23 to 86</t>
  </si>
  <si>
    <t xml:space="preserve"> -73 to 89</t>
  </si>
  <si>
    <t xml:space="preserve"> -115 to 210</t>
  </si>
  <si>
    <t xml:space="preserve"> -25 to 238</t>
  </si>
  <si>
    <t xml:space="preserve"> -26 to 160</t>
  </si>
  <si>
    <t xml:space="preserve"> -26 to 196</t>
  </si>
  <si>
    <t xml:space="preserve"> -143 to 127</t>
  </si>
  <si>
    <t xml:space="preserve"> -154 to 72</t>
  </si>
  <si>
    <t xml:space="preserve"> 0 to 373</t>
  </si>
  <si>
    <t xml:space="preserve"> 0 to 260</t>
  </si>
  <si>
    <t xml:space="preserve"> 0 to 360</t>
  </si>
  <si>
    <t>Calculation of Liquid Properties at Surface Temperatures</t>
  </si>
  <si>
    <t>Tubeside Liquid/Temperature Information</t>
  </si>
  <si>
    <t>Selected Tubeside Liquid</t>
  </si>
  <si>
    <t xml:space="preserve">   Tubeside Liquid Properties worksheet.</t>
  </si>
  <si>
    <t>this worksheet are for the fluid selected in the "Tubeside Liquid Properties"</t>
  </si>
  <si>
    <t>The fluid density, viscosity, specific heat, and thermal conductivity used in</t>
  </si>
  <si>
    <r>
      <t xml:space="preserve">     Ave. Liquid Velocity, </t>
    </r>
    <r>
      <rPr>
        <b/>
        <sz val="11"/>
        <rFont val="Arial"/>
        <family val="2"/>
      </rPr>
      <t>V</t>
    </r>
    <r>
      <rPr>
        <sz val="10"/>
        <rFont val="Arial"/>
        <family val="2"/>
      </rPr>
      <t xml:space="preserve"> =</t>
    </r>
  </si>
  <si>
    <t xml:space="preserve">  (This is the thermal conductivity that will be used in all of the other worksheets for the annulus liquid.)</t>
  </si>
  <si>
    <t xml:space="preserve">  (This is the specific heat that will be used in all of the other worksheets for the tubeside liquid.)</t>
  </si>
  <si>
    <t>this worksheet are for the fluid selected in the "Annulus Liquid Properties"</t>
  </si>
  <si>
    <t xml:space="preserve">   from the 'Tubeside HT Coeff'</t>
  </si>
  <si>
    <t xml:space="preserve">   worksheet.</t>
  </si>
  <si>
    <t xml:space="preserve">  (This is the viscosity value that will be used in the 'Tubeside HT Coeff' worksheet.)</t>
  </si>
  <si>
    <t>Selected Annulus Liquid</t>
  </si>
  <si>
    <t>Tubeside Surface Temperature</t>
  </si>
  <si>
    <t>Annulus Surface Temperature</t>
  </si>
  <si>
    <t>Annulus Liquid/Temperature Information</t>
  </si>
  <si>
    <t xml:space="preserve">   Annulus Liquid Properties worksheet.</t>
  </si>
  <si>
    <t xml:space="preserve">  (This is the viscosity value that will be used in the 'Annulus HT Coeff' worksheet.)</t>
  </si>
  <si>
    <t xml:space="preserve">   the Tubeside Liquid Properties</t>
  </si>
  <si>
    <t xml:space="preserve">   worksheet in order to enter a liquid</t>
  </si>
  <si>
    <t xml:space="preserve">   in the dropdown list near the top of</t>
  </si>
  <si>
    <t xml:space="preserve">   the Annulus Liquid Properties</t>
  </si>
  <si>
    <t>Excel Vlookup results based on selected tubeside liquid</t>
  </si>
  <si>
    <t>Excel Vlookup results based on selected annulus liquid</t>
  </si>
  <si>
    <t xml:space="preserve">     (tubeside liquid)</t>
  </si>
  <si>
    <t>(annulus liquid)</t>
  </si>
  <si>
    <t>VISCOSITY AT SURFACE TEMPERATURE</t>
  </si>
  <si>
    <t xml:space="preserve">   specific heat obtained elsewhere.</t>
  </si>
  <si>
    <t xml:space="preserve">  (This is the specific heat value that will be used in the 'Tubeside HT Coeff' worksheet.)</t>
  </si>
  <si>
    <t xml:space="preserve">  (This is the specific heat value that will be used in the 'Annulus HT Coeff' worksheet.)</t>
  </si>
  <si>
    <t>SPECIFIC HEAT AT SURFACE TEMP.</t>
  </si>
  <si>
    <t>Tubeside Viscosity at Surface Temp.:</t>
  </si>
  <si>
    <t>Annulus Viscosity at Surface Temp.:</t>
  </si>
  <si>
    <t>Tubeside Specific Heat Result:</t>
  </si>
  <si>
    <t>Annulus Specific Heat Result:</t>
  </si>
  <si>
    <t>Tubeside Thermal Conductivity Result:</t>
  </si>
  <si>
    <t xml:space="preserve">  (This is the thermal conductivity value that will be used in the 'Tubeside HT Coeff' worksheet.)</t>
  </si>
  <si>
    <t>Annulus Therm. Cond. for above menu selection:</t>
  </si>
  <si>
    <t>Tubeside Therm. Cond. for above menu selection:</t>
  </si>
  <si>
    <t>Annulus Sp. Heat for above menu selection:</t>
  </si>
  <si>
    <t>Tubeside Sp. Heat for above menu selection:</t>
  </si>
  <si>
    <t>Tubeside viscosity for above menu selection:</t>
  </si>
  <si>
    <t>Annulus viscosity for above menu selection:</t>
  </si>
  <si>
    <t>Annulus Thermal Conductivity Result:</t>
  </si>
  <si>
    <t xml:space="preserve">  (This is the thermal conductivity value that will be used in the 'Annulus HT Coeff' worksheet.)</t>
  </si>
  <si>
    <t>THERMAL CONDUCTIVITY AT SURF. TEMP.</t>
  </si>
  <si>
    <t xml:space="preserve">  "Annulus Liquid Properties"</t>
  </si>
  <si>
    <t xml:space="preserve">  "Tubeside Liquid Properties"</t>
  </si>
  <si>
    <t>Annulus Temp. Out</t>
  </si>
  <si>
    <t>Tubeside Temp. Out</t>
  </si>
  <si>
    <t>Annulus Temp. In</t>
  </si>
  <si>
    <t>Tubeside Temp. in</t>
  </si>
  <si>
    <t>Inlet and Outlet Temperatures</t>
  </si>
  <si>
    <r>
      <t xml:space="preserve">worksheet at the </t>
    </r>
    <r>
      <rPr>
        <b/>
        <sz val="14"/>
        <color indexed="62"/>
        <rFont val="Arial"/>
        <family val="2"/>
      </rPr>
      <t>bulk mean fluid temperature</t>
    </r>
    <r>
      <rPr>
        <b/>
        <sz val="12"/>
        <color indexed="62"/>
        <rFont val="Arial"/>
        <family val="2"/>
      </rPr>
      <t xml:space="preserve"> shown below.</t>
    </r>
  </si>
  <si>
    <r>
      <t xml:space="preserve">       Liquid Flow Rate, </t>
    </r>
    <r>
      <rPr>
        <b/>
        <sz val="12"/>
        <rFont val="Arial"/>
        <family val="2"/>
      </rPr>
      <t>Q</t>
    </r>
    <r>
      <rPr>
        <b/>
        <vertAlign val="subscript"/>
        <sz val="12"/>
        <rFont val="Arial"/>
        <family val="2"/>
      </rPr>
      <t>Ann</t>
    </r>
    <r>
      <rPr>
        <sz val="10"/>
        <rFont val="Arial"/>
        <family val="2"/>
      </rPr>
      <t xml:space="preserve"> =</t>
    </r>
  </si>
  <si>
    <r>
      <t xml:space="preserve">       Liquid Flow Rate, </t>
    </r>
    <r>
      <rPr>
        <b/>
        <sz val="12"/>
        <rFont val="Arial"/>
        <family val="2"/>
      </rPr>
      <t>Q</t>
    </r>
    <r>
      <rPr>
        <b/>
        <vertAlign val="subscript"/>
        <sz val="12"/>
        <rFont val="Arial"/>
        <family val="2"/>
      </rPr>
      <t>tube</t>
    </r>
    <r>
      <rPr>
        <sz val="10"/>
        <rFont val="Arial"/>
        <family val="2"/>
      </rPr>
      <t xml:space="preserve"> =</t>
    </r>
  </si>
  <si>
    <t xml:space="preserve">   The tubeside liquid is being</t>
  </si>
  <si>
    <t xml:space="preserve">    The annulus liquid is being</t>
  </si>
  <si>
    <r>
      <t xml:space="preserve">  Bulk Mean Liquid Temp,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bm1</t>
    </r>
    <r>
      <rPr>
        <sz val="10"/>
        <rFont val="Arial"/>
        <family val="2"/>
      </rPr>
      <t xml:space="preserve">  =</t>
    </r>
  </si>
  <si>
    <r>
      <t xml:space="preserve">  Bulk Mean Liquid Temp,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bm2</t>
    </r>
    <r>
      <rPr>
        <sz val="10"/>
        <rFont val="Arial"/>
        <family val="2"/>
      </rPr>
      <t xml:space="preserve">  =</t>
    </r>
  </si>
  <si>
    <r>
      <t xml:space="preserve">   Tube Wall Thickness, </t>
    </r>
    <r>
      <rPr>
        <b/>
        <sz val="12"/>
        <rFont val="Arial"/>
        <family val="2"/>
      </rPr>
      <t>Th</t>
    </r>
    <r>
      <rPr>
        <sz val="10"/>
        <rFont val="Arial"/>
        <family val="2"/>
      </rPr>
      <t xml:space="preserve"> =</t>
    </r>
  </si>
  <si>
    <t xml:space="preserve">           (inner tube)</t>
  </si>
  <si>
    <r>
      <t xml:space="preserve">  Thermal Cond of Wall, </t>
    </r>
    <r>
      <rPr>
        <b/>
        <sz val="12"/>
        <rFont val="Arial"/>
        <family val="2"/>
      </rPr>
      <t>k</t>
    </r>
    <r>
      <rPr>
        <b/>
        <vertAlign val="subscript"/>
        <sz val="12"/>
        <rFont val="Arial"/>
        <family val="2"/>
      </rPr>
      <t>w</t>
    </r>
    <r>
      <rPr>
        <sz val="10"/>
        <rFont val="Arial"/>
        <family val="2"/>
      </rPr>
      <t xml:space="preserve"> =</t>
    </r>
  </si>
  <si>
    <r>
      <t xml:space="preserve">  Overall Heat Transfer Coeff, </t>
    </r>
    <r>
      <rPr>
        <b/>
        <sz val="12"/>
        <rFont val="Arial"/>
        <family val="2"/>
      </rPr>
      <t>U</t>
    </r>
    <r>
      <rPr>
        <sz val="10"/>
        <rFont val="Arial"/>
        <family val="2"/>
      </rPr>
      <t xml:space="preserve"> =</t>
    </r>
  </si>
  <si>
    <t>PRESSURE DROP FOR ANNULUS LIQUID</t>
  </si>
  <si>
    <t>(Check to be sure that one liquid is being</t>
  </si>
  <si>
    <t xml:space="preserve">     heated and one liquid is being cooled.)</t>
  </si>
  <si>
    <t>If necessary, change tubeside liquid temperatures</t>
  </si>
  <si>
    <t>heated and the other is being cooled.)</t>
  </si>
  <si>
    <t xml:space="preserve">   Enter a value for number of passes and change if</t>
  </si>
  <si>
    <t>decreased.  The spreadsheet will then recalculate.</t>
  </si>
  <si>
    <t>diameter can be decreased.  The spreadsheet will then recalculate.</t>
  </si>
  <si>
    <r>
      <t xml:space="preserve">       Hydraulic Diameter, </t>
    </r>
    <r>
      <rPr>
        <b/>
        <sz val="12"/>
        <rFont val="Arial"/>
        <family val="2"/>
      </rPr>
      <t>D</t>
    </r>
    <r>
      <rPr>
        <b/>
        <vertAlign val="subscript"/>
        <sz val="12"/>
        <rFont val="Arial"/>
        <family val="2"/>
      </rPr>
      <t>h</t>
    </r>
    <r>
      <rPr>
        <sz val="10"/>
        <rFont val="Arial"/>
        <family val="2"/>
      </rPr>
      <t xml:space="preserve"> =</t>
    </r>
  </si>
  <si>
    <t>Equations and References</t>
  </si>
  <si>
    <t xml:space="preserve"> The equations used to calculate the Liquid properties in this worksheet are shown below.</t>
  </si>
  <si>
    <t xml:space="preserve"> The source for these equations and the constants in the Lookup Table used to make</t>
  </si>
  <si>
    <t xml:space="preserve"> the calculations came from:</t>
  </si>
  <si>
    <t xml:space="preserve"> Links to the tables for each liquid property are given at the top of the worksheet.</t>
  </si>
  <si>
    <t>Density of water:</t>
  </si>
  <si>
    <t xml:space="preserve">  T is in K</t>
  </si>
  <si>
    <r>
      <t>t</t>
    </r>
    <r>
      <rPr>
        <sz val="11"/>
        <rFont val="Arial"/>
        <family val="2"/>
      </rPr>
      <t xml:space="preserve">  =  1  -  T/647.096</t>
    </r>
  </si>
  <si>
    <t>Density of liquids other than water:</t>
  </si>
  <si>
    <t>Viscosity of Liquids:</t>
  </si>
  <si>
    <t xml:space="preserve">   T is in K,</t>
  </si>
  <si>
    <t>Specific Heat of Liquids:</t>
  </si>
  <si>
    <r>
      <t xml:space="preserve">  Cp = (C1 - C2T + C3T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- C4T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+ C5T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>)/18.015</t>
    </r>
  </si>
  <si>
    <t xml:space="preserve">   T is in K</t>
  </si>
  <si>
    <t>Thermal Conductivity of liquids</t>
  </si>
  <si>
    <t xml:space="preserve"> T is in K</t>
  </si>
  <si>
    <t xml:space="preserve"> The definitions of the dimensionless numbers and the correlation used for Nusselt number are shown</t>
  </si>
  <si>
    <t xml:space="preserve"> below.  For more discussion of forced convection and correlations for Nusselt No., see:</t>
  </si>
  <si>
    <r>
      <t xml:space="preserve">                        For liquids:   K  =  (Pr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>/Pr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0.11</t>
    </r>
  </si>
  <si>
    <r>
      <t xml:space="preserve">                        with  0.05  &lt;  Pr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>/Pr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 &lt;  20</t>
    </r>
  </si>
  <si>
    <t xml:space="preserve"> Reference:</t>
  </si>
  <si>
    <t xml:space="preserve">For an Example Calculation, see:  </t>
  </si>
  <si>
    <t>Handbook of Chemical Engineering Calculations, 4th Ed, Problem 7.14</t>
  </si>
  <si>
    <t xml:space="preserve">   Forced Convection Correlation used in this worksheet:</t>
  </si>
  <si>
    <r>
      <t xml:space="preserve">     </t>
    </r>
    <r>
      <rPr>
        <b/>
        <sz val="11"/>
        <rFont val="Arial"/>
        <family val="2"/>
      </rPr>
      <t>The Gnielinski correlation</t>
    </r>
    <r>
      <rPr>
        <sz val="10"/>
        <rFont val="Arial"/>
        <family val="2"/>
      </rPr>
      <t xml:space="preserve"> - for 0.5 &lt; Pr &lt; 10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;  2300 &lt; Re &lt; 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;  L/D &gt; 10</t>
    </r>
  </si>
  <si>
    <r>
      <t xml:space="preserve">          [Gnielinski, </t>
    </r>
    <r>
      <rPr>
        <i/>
        <sz val="10"/>
        <rFont val="Arial"/>
        <family val="2"/>
      </rPr>
      <t>Int. Chem Eng</t>
    </r>
    <r>
      <rPr>
        <sz val="10"/>
        <rFont val="Arial"/>
        <family val="2"/>
      </rPr>
      <t xml:space="preserve">.,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>, 359 (1976)]</t>
    </r>
  </si>
  <si>
    <t>The hydraulic diameter is used in place of the diameter.</t>
  </si>
  <si>
    <t xml:space="preserve">    Preliminary Calculations:</t>
  </si>
  <si>
    <r>
      <rPr>
        <b/>
        <sz val="12"/>
        <rFont val="Arial"/>
        <family val="2"/>
      </rPr>
      <t>Tab 3.</t>
    </r>
    <r>
      <rPr>
        <sz val="12"/>
        <rFont val="Arial"/>
        <family val="2"/>
      </rPr>
      <t xml:space="preserve"> Tubeside Liquid Properties - Sets liquid density, viscosity, and</t>
    </r>
  </si>
  <si>
    <r>
      <rPr>
        <b/>
        <sz val="12"/>
        <rFont val="Arial"/>
        <family val="2"/>
      </rPr>
      <t>Tab 4.</t>
    </r>
    <r>
      <rPr>
        <sz val="12"/>
        <rFont val="Arial"/>
        <family val="2"/>
      </rPr>
      <t xml:space="preserve"> Annulus Liquid Properties - Sets liquid density, viscosity, and</t>
    </r>
  </si>
  <si>
    <r>
      <rPr>
        <b/>
        <sz val="12"/>
        <rFont val="Arial"/>
        <family val="2"/>
      </rPr>
      <t xml:space="preserve">Tab 6. </t>
    </r>
    <r>
      <rPr>
        <sz val="12"/>
        <rFont val="Arial"/>
        <family val="2"/>
      </rPr>
      <t>Tubeside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Heat Transfer Coefficient Calculation</t>
    </r>
  </si>
  <si>
    <r>
      <rPr>
        <b/>
        <sz val="12"/>
        <rFont val="Arial"/>
        <family val="2"/>
      </rPr>
      <t xml:space="preserve">Tab 7. </t>
    </r>
    <r>
      <rPr>
        <sz val="12"/>
        <rFont val="Arial"/>
        <family val="2"/>
      </rPr>
      <t>Annulus Side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Heat Transfer Coefficient Calculation</t>
    </r>
  </si>
  <si>
    <r>
      <rPr>
        <b/>
        <sz val="12"/>
        <rFont val="Arial"/>
        <family val="2"/>
      </rPr>
      <t xml:space="preserve">Tab 8. </t>
    </r>
    <r>
      <rPr>
        <sz val="12"/>
        <rFont val="Arial"/>
        <family val="2"/>
      </rPr>
      <t>Heat Exchanger Configuration</t>
    </r>
  </si>
  <si>
    <r>
      <rPr>
        <b/>
        <sz val="12"/>
        <rFont val="Arial"/>
        <family val="2"/>
      </rPr>
      <t>Tab 2.</t>
    </r>
    <r>
      <rPr>
        <sz val="12"/>
        <rFont val="Arial"/>
        <family val="2"/>
      </rPr>
      <t xml:space="preserve"> Overview - Description of the worksheets in this workbook</t>
    </r>
  </si>
  <si>
    <t xml:space="preserve">             and their use for the heat exchanger calculations</t>
  </si>
  <si>
    <t>Overview of the use of this workbook:</t>
  </si>
  <si>
    <t>Use of this workbook for thermal design of a double pipe heat exchanger requires user input on several worksheets.</t>
  </si>
  <si>
    <t>Going through the worksheets in order is a reasonable approach.  Here is a summary of the inputs needed on each</t>
  </si>
  <si>
    <t>worksheet:</t>
  </si>
  <si>
    <t>thermal conductivity of a tubeside liquid that isn't in the list.</t>
  </si>
  <si>
    <t>surface temperatures for use in the Tubeside HT Coeff and Annulus HT Coeff</t>
  </si>
  <si>
    <t>The liquid properties calculated in this worksheet are used for heat transfer coefficient</t>
  </si>
  <si>
    <t>and heat exchanger calculations in the other worksheets.</t>
  </si>
  <si>
    <t>The convection coefficient calculated in this worksheet is used in the Heat Exchanger</t>
  </si>
  <si>
    <t>Configuration worksheet.</t>
  </si>
  <si>
    <t>The total needed tube length is then calculated, and based on an input value for number</t>
  </si>
  <si>
    <t>heated and one liquid is being cooled.</t>
  </si>
  <si>
    <t>a convenient check that temperatures were entered properly and that one liquid is being</t>
  </si>
  <si>
    <r>
      <t xml:space="preserve">      Heat Transfer Coefficient, </t>
    </r>
    <r>
      <rPr>
        <b/>
        <sz val="12"/>
        <rFont val="Arial"/>
        <family val="2"/>
      </rPr>
      <t>h</t>
    </r>
    <r>
      <rPr>
        <sz val="11"/>
        <rFont val="Arial"/>
        <family val="2"/>
      </rPr>
      <t xml:space="preserve"> =</t>
    </r>
  </si>
  <si>
    <r>
      <rPr>
        <b/>
        <sz val="10"/>
        <rFont val="Arial"/>
        <family val="2"/>
      </rPr>
      <t>Tubeside Liquid Properties</t>
    </r>
    <r>
      <rPr>
        <sz val="10"/>
        <rFont val="Arial"/>
        <family val="2"/>
      </rPr>
      <t xml:space="preserve"> -  The user input needed for this worksheet is:  (i) selection of the tubeside liquid from 74</t>
    </r>
  </si>
  <si>
    <t>available in a dropdown menu, OR (ii) entry of the density, viscosity, specific heat and</t>
  </si>
  <si>
    <t>transfer coefficient and heat exchanger calculations in the other worksheets.</t>
  </si>
  <si>
    <t>Coeff" worksheet.  The liquid properties calculated in this worksheet are used for heat</t>
  </si>
  <si>
    <r>
      <rPr>
        <b/>
        <sz val="10"/>
        <rFont val="Arial"/>
        <family val="2"/>
      </rPr>
      <t>Annulus Liquid Properties</t>
    </r>
    <r>
      <rPr>
        <sz val="10"/>
        <rFont val="Arial"/>
        <family val="2"/>
      </rPr>
      <t xml:space="preserve"> -  The user input needed for this worksheet is:  i) selection of the annulus liquid from 74</t>
    </r>
  </si>
  <si>
    <t xml:space="preserve">   (initial assumed value to start the calculation)</t>
  </si>
  <si>
    <t>on this worksheet, or change annulus liquid</t>
  </si>
  <si>
    <t>temperatures on worksheet 7. Annulus side HT Coeff.</t>
  </si>
  <si>
    <t>If necessary, change annulus liquid temperatures</t>
  </si>
  <si>
    <t>on this worksheet, or change tubeside liquid</t>
  </si>
  <si>
    <t>temperatures on worksheet 6. Tubeside HT Coeff.</t>
  </si>
  <si>
    <t>PRELIM. CALC'NS</t>
  </si>
  <si>
    <r>
      <rPr>
        <b/>
        <sz val="10"/>
        <rFont val="Arial"/>
        <family val="2"/>
      </rPr>
      <t>Tubeside HT Coeff</t>
    </r>
    <r>
      <rPr>
        <sz val="10"/>
        <rFont val="Arial"/>
        <family val="2"/>
      </rPr>
      <t xml:space="preserve"> -  User inputs needed for this worksheet are:  i) the inlet and exit temperatures of the liquid,</t>
    </r>
  </si>
  <si>
    <r>
      <rPr>
        <b/>
        <sz val="10"/>
        <rFont val="Arial"/>
        <family val="2"/>
      </rPr>
      <t>Annulus side HT Coeff</t>
    </r>
    <r>
      <rPr>
        <sz val="10"/>
        <rFont val="Arial"/>
        <family val="2"/>
      </rPr>
      <t xml:space="preserve"> -  User inputs needed for this worksheet are:  i) the inlet and exit temperatures of the liquid,</t>
    </r>
  </si>
  <si>
    <r>
      <t xml:space="preserve">     O.D. of Inner Tube, </t>
    </r>
    <r>
      <rPr>
        <b/>
        <sz val="12"/>
        <rFont val="Arial"/>
        <family val="2"/>
      </rPr>
      <t>D</t>
    </r>
    <r>
      <rPr>
        <b/>
        <vertAlign val="subscript"/>
        <sz val="12"/>
        <rFont val="Arial"/>
        <family val="2"/>
      </rPr>
      <t>i</t>
    </r>
    <r>
      <rPr>
        <sz val="10"/>
        <rFont val="Arial"/>
        <family val="2"/>
      </rPr>
      <t xml:space="preserve"> =</t>
    </r>
  </si>
  <si>
    <r>
      <t xml:space="preserve">     I.D. of Outer Tube, </t>
    </r>
    <r>
      <rPr>
        <b/>
        <sz val="12"/>
        <rFont val="Arial"/>
        <family val="2"/>
      </rPr>
      <t>D</t>
    </r>
    <r>
      <rPr>
        <b/>
        <vertAlign val="subscript"/>
        <sz val="12"/>
        <rFont val="Arial"/>
        <family val="2"/>
      </rPr>
      <t>o</t>
    </r>
    <r>
      <rPr>
        <sz val="10"/>
        <rFont val="Arial"/>
        <family val="2"/>
      </rPr>
      <t xml:space="preserve"> =</t>
    </r>
  </si>
  <si>
    <r>
      <t xml:space="preserve">  Tube  Surface Temperature,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sa</t>
    </r>
    <r>
      <rPr>
        <sz val="10"/>
        <rFont val="Arial"/>
        <family val="2"/>
      </rPr>
      <t xml:space="preserve"> =</t>
    </r>
  </si>
  <si>
    <r>
      <t xml:space="preserve">       Tube Diameter (ID), </t>
    </r>
    <r>
      <rPr>
        <b/>
        <sz val="12"/>
        <rFont val="Arial"/>
        <family val="2"/>
      </rPr>
      <t>D</t>
    </r>
    <r>
      <rPr>
        <sz val="10"/>
        <rFont val="Arial"/>
        <family val="2"/>
      </rPr>
      <t xml:space="preserve"> =</t>
    </r>
  </si>
  <si>
    <t>Inside Tube Diameter and Length</t>
  </si>
  <si>
    <r>
      <t xml:space="preserve">  Total Tube Length Needed, </t>
    </r>
    <r>
      <rPr>
        <b/>
        <sz val="12"/>
        <rFont val="Arial"/>
        <family val="2"/>
      </rPr>
      <t>L</t>
    </r>
    <r>
      <rPr>
        <sz val="10"/>
        <rFont val="Arial"/>
        <family val="2"/>
      </rPr>
      <t xml:space="preserve"> =</t>
    </r>
  </si>
  <si>
    <t xml:space="preserve">  combinations of inner and outer tube diameters.</t>
  </si>
  <si>
    <t>Number of Passes &amp; tube Length/Pass</t>
  </si>
  <si>
    <r>
      <t xml:space="preserve">    tube Length per Pass, </t>
    </r>
    <r>
      <rPr>
        <b/>
        <sz val="12"/>
        <rFont val="Arial"/>
        <family val="2"/>
      </rPr>
      <t>L</t>
    </r>
    <r>
      <rPr>
        <b/>
        <vertAlign val="subscript"/>
        <sz val="12"/>
        <rFont val="Arial"/>
        <family val="2"/>
      </rPr>
      <t>p</t>
    </r>
    <r>
      <rPr>
        <sz val="10"/>
        <rFont val="Arial"/>
        <family val="2"/>
      </rPr>
      <t xml:space="preserve"> =</t>
    </r>
  </si>
  <si>
    <r>
      <t xml:space="preserve">            </t>
    </r>
    <r>
      <rPr>
        <sz val="10"/>
        <rFont val="Arial"/>
        <family val="2"/>
      </rPr>
      <t>Tube roughness</t>
    </r>
    <r>
      <rPr>
        <b/>
        <sz val="12"/>
        <rFont val="Arial"/>
        <family val="2"/>
      </rPr>
      <t xml:space="preserve">,  </t>
    </r>
    <r>
      <rPr>
        <b/>
        <sz val="12"/>
        <rFont val="Symbol"/>
        <family val="1"/>
        <charset val="2"/>
      </rPr>
      <t>e</t>
    </r>
    <r>
      <rPr>
        <b/>
        <sz val="12"/>
        <rFont val="Arial"/>
        <family val="2"/>
      </rPr>
      <t xml:space="preserve"> =</t>
    </r>
  </si>
  <si>
    <r>
      <t xml:space="preserve">  Tube Diameter, </t>
    </r>
    <r>
      <rPr>
        <b/>
        <sz val="12"/>
        <rFont val="Arial"/>
        <family val="2"/>
      </rPr>
      <t>D</t>
    </r>
    <r>
      <rPr>
        <sz val="10"/>
        <rFont val="Arial"/>
        <family val="2"/>
      </rPr>
      <t xml:space="preserve"> =</t>
    </r>
  </si>
  <si>
    <t>If the frictional pressure drop is too high, the tube diameter should be increased,</t>
  </si>
  <si>
    <t>and if the pressure drop is lower than necessary, the tube diameter can be</t>
  </si>
  <si>
    <t xml:space="preserve">     (K = 1.5 for threaded tube or 0.2 for flanged tube)</t>
  </si>
  <si>
    <r>
      <t>(</t>
    </r>
    <r>
      <rPr>
        <sz val="11"/>
        <rFont val="Arial"/>
        <family val="2"/>
      </rPr>
      <t>shellside liquid - straight tube &amp; minor losses for bends)</t>
    </r>
  </si>
  <si>
    <t>If the frictional pressure drop is too high, the outer tube diameter should</t>
  </si>
  <si>
    <t>be increased, and if the pressure drop is lower than necessary, the tube</t>
  </si>
  <si>
    <r>
      <t xml:space="preserve">Tab 5. </t>
    </r>
    <r>
      <rPr>
        <sz val="12"/>
        <rFont val="Arial"/>
        <family val="2"/>
      </rPr>
      <t>Liquid Properties at Tube Surface Temperature</t>
    </r>
  </si>
  <si>
    <t xml:space="preserve">   necessary to get a suitable tube length per pass.</t>
  </si>
  <si>
    <r>
      <rPr>
        <b/>
        <sz val="10"/>
        <rFont val="Arial"/>
        <family val="2"/>
      </rPr>
      <t>Heat Exchanger Configuration</t>
    </r>
    <r>
      <rPr>
        <sz val="10"/>
        <rFont val="Arial"/>
        <family val="2"/>
      </rPr>
      <t xml:space="preserve"> -  User inputs needed for this worksheet are:  i) the number of tube passes,  ii) the </t>
    </r>
  </si>
  <si>
    <t xml:space="preserve"> inner tube surface roughness, iii) the annulus surface roughness, and iv) the minor loss</t>
  </si>
  <si>
    <t>Pressure Drop Calculation for Annulus Liquid</t>
  </si>
  <si>
    <t>Calculation of Heat Transfer Area and Tube Dimensions</t>
  </si>
  <si>
    <t>Finally the tubeside pressure drop and the annulus pressure drop are calculated.</t>
  </si>
  <si>
    <t xml:space="preserve">   Thermal Design of Double Pipe Heat Exchanger - S.I. Units</t>
  </si>
  <si>
    <t xml:space="preserve">   Thermal Design of Double Pipe Heat Exchanger - S.I.  Units</t>
  </si>
  <si>
    <t>values for use in the other Worksheets - S.I. Units</t>
  </si>
  <si>
    <t xml:space="preserve"> for use in Heat Transfer Coefficient Worksheets - S.I. Units</t>
  </si>
  <si>
    <t>Selection of Tubeside Liquid and setting the</t>
  </si>
  <si>
    <t>Density, Viscosity, Thermal Conductivity, and Specific</t>
  </si>
  <si>
    <t>Heat values for use in the other Worksheets - S.I. Units</t>
  </si>
  <si>
    <t>Calculation of Tubeside Convection Coefficient - S.I. Units</t>
  </si>
  <si>
    <t>Calculation of Annulus Convection Coefficient - S.I. Units</t>
  </si>
  <si>
    <t xml:space="preserve"> Thermal Design of a Double Pipe Heat Exchanger - S.I. Units</t>
  </si>
  <si>
    <r>
      <t>Tubeside Liquid inlet Temp.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</si>
  <si>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>Tubeside Liquid Exit Temp.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</si>
  <si>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 xml:space="preserve">Bulk Mean Liquid Temp,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bm1</t>
    </r>
    <r>
      <rPr>
        <sz val="10"/>
        <rFont val="Arial"/>
        <family val="2"/>
      </rPr>
      <t xml:space="preserve">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</si>
  <si>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>Tubeside Liquid Density (kg/m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</si>
  <si>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kg/m</t>
    </r>
    <r>
      <rPr>
        <b/>
        <vertAlign val="superscript"/>
        <sz val="11"/>
        <color indexed="9"/>
        <rFont val="Arial"/>
        <family val="2"/>
      </rPr>
      <t>3</t>
    </r>
  </si>
  <si>
    <t>Pa-s</t>
  </si>
  <si>
    <r>
      <t>Tubeside Liq. Viscosity (Pa-s</t>
    </r>
    <r>
      <rPr>
        <sz val="10"/>
        <rFont val="Arial"/>
        <family val="2"/>
      </rPr>
      <t>):</t>
    </r>
  </si>
  <si>
    <r>
      <t>Liquid Sp. Heat (J/kg-K</t>
    </r>
    <r>
      <rPr>
        <sz val="10"/>
        <rFont val="Arial"/>
        <family val="2"/>
      </rPr>
      <t>)</t>
    </r>
  </si>
  <si>
    <t>J/kg-K</t>
  </si>
  <si>
    <t>W/m-K</t>
  </si>
  <si>
    <r>
      <t>Fluid Th. Cond. (W/m-K</t>
    </r>
    <r>
      <rPr>
        <sz val="10"/>
        <rFont val="Arial"/>
        <family val="2"/>
      </rPr>
      <t>)</t>
    </r>
  </si>
  <si>
    <r>
      <t>Annulus Liquid inlet Temp.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</si>
  <si>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>Annulus Liquid exit Temp.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</si>
  <si>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>Annulus Liquid Density (kg/m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</si>
  <si>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 xml:space="preserve">Bulk Mean Liquid Temp,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bm2</t>
    </r>
    <r>
      <rPr>
        <sz val="10"/>
        <rFont val="Arial"/>
        <family val="2"/>
      </rPr>
      <t xml:space="preserve">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</si>
  <si>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t>Annulus Liquid Viscosity (Pa-s):</t>
  </si>
  <si>
    <r>
      <t xml:space="preserve"> Liquid Sp. Heat (J/kg-K</t>
    </r>
    <r>
      <rPr>
        <sz val="10"/>
        <rFont val="Arial"/>
        <family val="2"/>
      </rPr>
      <t>)</t>
    </r>
  </si>
  <si>
    <r>
      <t>Liquid Viscosity at Surf. Temp. (Pa-s</t>
    </r>
    <r>
      <rPr>
        <sz val="10"/>
        <rFont val="Arial"/>
        <family val="2"/>
      </rPr>
      <t>)</t>
    </r>
  </si>
  <si>
    <t>Pa=s</t>
  </si>
  <si>
    <r>
      <t>Liquid Therm. Cond. (W/m-K</t>
    </r>
    <r>
      <rPr>
        <sz val="10"/>
        <rFont val="Arial"/>
        <family val="2"/>
      </rPr>
      <t>)</t>
    </r>
  </si>
  <si>
    <t xml:space="preserve"> -36 to 329</t>
  </si>
  <si>
    <t xml:space="preserve"> -137 to 179</t>
  </si>
  <si>
    <t xml:space="preserve"> -60 to 352</t>
  </si>
  <si>
    <t xml:space="preserve"> -109 to 152</t>
  </si>
  <si>
    <t xml:space="preserve"> -89 to 290</t>
  </si>
  <si>
    <t xml:space="preserve">  -15 to 379</t>
  </si>
  <si>
    <t xml:space="preserve"> -126 to 264</t>
  </si>
  <si>
    <t xml:space="preserve"> -115 to 262</t>
  </si>
  <si>
    <t xml:space="preserve"> -31 to 357</t>
  </si>
  <si>
    <t xml:space="preserve"> -88 to 235</t>
  </si>
  <si>
    <t>17 to 318</t>
  </si>
  <si>
    <t xml:space="preserve"> -73 to 333</t>
  </si>
  <si>
    <t xml:space="preserve"> -95 to 235</t>
  </si>
  <si>
    <t xml:space="preserve"> -44 to 273</t>
  </si>
  <si>
    <t>13 to 342</t>
  </si>
  <si>
    <t>6 to 289</t>
  </si>
  <si>
    <t>122 to 478</t>
  </si>
  <si>
    <t xml:space="preserve"> -31 to 397</t>
  </si>
  <si>
    <t xml:space="preserve"> -73 to 302</t>
  </si>
  <si>
    <t xml:space="preserve"> -23 to 283</t>
  </si>
  <si>
    <t xml:space="preserve"> -45 to 359</t>
  </si>
  <si>
    <t xml:space="preserve"> -63 to 263</t>
  </si>
  <si>
    <t xml:space="preserve"> -98 to 311</t>
  </si>
  <si>
    <t xml:space="preserve"> -96 to 358</t>
  </si>
  <si>
    <t>7 to 281</t>
  </si>
  <si>
    <t xml:space="preserve"> -136 to 507</t>
  </si>
  <si>
    <t xml:space="preserve"> -29 to 344</t>
  </si>
  <si>
    <t>29 to 464</t>
  </si>
  <si>
    <t xml:space="preserve"> -116 to 194</t>
  </si>
  <si>
    <t>19 to 456</t>
  </si>
  <si>
    <t>27 to 494</t>
  </si>
  <si>
    <t xml:space="preserve"> -9 to 385</t>
  </si>
  <si>
    <t xml:space="preserve"> -114 to 241</t>
  </si>
  <si>
    <t xml:space="preserve"> -83 to 250</t>
  </si>
  <si>
    <t xml:space="preserve"> -35 to 425</t>
  </si>
  <si>
    <t xml:space="preserve"> -13 to 447</t>
  </si>
  <si>
    <t>12 to 320</t>
  </si>
  <si>
    <t xml:space="preserve"> -42 to 287</t>
  </si>
  <si>
    <t>3 to 498</t>
  </si>
  <si>
    <t xml:space="preserve"> -90 to 267</t>
  </si>
  <si>
    <t>18 to 450</t>
  </si>
  <si>
    <t xml:space="preserve"> -95 to 199</t>
  </si>
  <si>
    <t xml:space="preserve"> 15 to 389</t>
  </si>
  <si>
    <t xml:space="preserve"> -98 to 240</t>
  </si>
  <si>
    <t xml:space="preserve"> -98 to 234</t>
  </si>
  <si>
    <t xml:space="preserve"> -48 to 293</t>
  </si>
  <si>
    <t xml:space="preserve"> -108 to 224</t>
  </si>
  <si>
    <t xml:space="preserve"> -147 to 299</t>
  </si>
  <si>
    <t xml:space="preserve"> -84 to 301</t>
  </si>
  <si>
    <t xml:space="preserve"> -48 to 344</t>
  </si>
  <si>
    <t xml:space="preserve"> -53 to 321</t>
  </si>
  <si>
    <t xml:space="preserve"> -57 to 296</t>
  </si>
  <si>
    <t xml:space="preserve"> 17 to 421</t>
  </si>
  <si>
    <t xml:space="preserve"> -25 to 357</t>
  </si>
  <si>
    <t xml:space="preserve"> 10 to 436</t>
  </si>
  <si>
    <t xml:space="preserve"> -130 to 197</t>
  </si>
  <si>
    <t xml:space="preserve"> 41 to 421</t>
  </si>
  <si>
    <t>131 to 518</t>
  </si>
  <si>
    <t xml:space="preserve"> -21 to 328</t>
  </si>
  <si>
    <t xml:space="preserve"> -99 to 365</t>
  </si>
  <si>
    <t xml:space="preserve"> 13 to 343</t>
  </si>
  <si>
    <t xml:space="preserve"> -30 to 363</t>
  </si>
  <si>
    <t xml:space="preserve"> -108 to 267</t>
  </si>
  <si>
    <t xml:space="preserve"> -95 to 319</t>
  </si>
  <si>
    <t xml:space="preserve"> -25 to 366</t>
  </si>
  <si>
    <t xml:space="preserve"> -154 to 159</t>
  </si>
  <si>
    <t xml:space="preserve"> 0 to 80</t>
  </si>
  <si>
    <r>
      <t xml:space="preserve">  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</si>
  <si>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 xml:space="preserve">   mm</t>
  </si>
  <si>
    <r>
      <t xml:space="preserve">  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</t>
    </r>
  </si>
  <si>
    <t xml:space="preserve">   m</t>
  </si>
  <si>
    <t xml:space="preserve">  m/s</t>
  </si>
  <si>
    <t xml:space="preserve">  mm</t>
  </si>
  <si>
    <t xml:space="preserve">  W/m-K</t>
  </si>
  <si>
    <r>
      <t xml:space="preserve">  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-</t>
    </r>
    <r>
      <rPr>
        <sz val="10"/>
        <rFont val="Arial"/>
        <family val="2"/>
      </rPr>
      <t>K</t>
    </r>
  </si>
  <si>
    <r>
      <t xml:space="preserve"> 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</si>
  <si>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 xml:space="preserve">    W</t>
  </si>
  <si>
    <r>
      <t xml:space="preserve">   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-K</t>
    </r>
  </si>
  <si>
    <r>
      <t xml:space="preserve">  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</si>
  <si>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 xml:space="preserve">   m/s</t>
  </si>
  <si>
    <t xml:space="preserve">   Pa</t>
  </si>
  <si>
    <t xml:space="preserve">   kPa</t>
  </si>
  <si>
    <t>The inlet and exit bulk temperatures of the tubeside liquid are entered in the "Tubeside HT</t>
  </si>
  <si>
    <t>The inlet and exit bulk temperatures of the annulus liquid are entered in the "Annulus HT</t>
  </si>
  <si>
    <r>
      <t xml:space="preserve">       Inlet Bulk Liquid Temp., </t>
    </r>
    <r>
      <rPr>
        <b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tbin</t>
    </r>
    <r>
      <rPr>
        <sz val="10"/>
        <rFont val="Arial"/>
        <family val="2"/>
      </rPr>
      <t xml:space="preserve"> =</t>
    </r>
  </si>
  <si>
    <r>
      <t xml:space="preserve">      Exit Bulk Liquid Temp., </t>
    </r>
    <r>
      <rPr>
        <b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tbout</t>
    </r>
    <r>
      <rPr>
        <sz val="10"/>
        <rFont val="Arial"/>
        <family val="2"/>
      </rPr>
      <t xml:space="preserve"> =</t>
    </r>
  </si>
  <si>
    <r>
      <t xml:space="preserve">       Inlet Bulk Liquid Temp., </t>
    </r>
    <r>
      <rPr>
        <b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abin</t>
    </r>
    <r>
      <rPr>
        <sz val="10"/>
        <rFont val="Arial"/>
        <family val="2"/>
      </rPr>
      <t xml:space="preserve"> =</t>
    </r>
  </si>
  <si>
    <r>
      <t xml:space="preserve">      Exit Bulk Liquid Temp., </t>
    </r>
    <r>
      <rPr>
        <b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about</t>
    </r>
    <r>
      <rPr>
        <sz val="10"/>
        <rFont val="Arial"/>
        <family val="2"/>
      </rPr>
      <t xml:space="preserve"> =</t>
    </r>
  </si>
  <si>
    <t>HEAT TRANSFER COEFF.</t>
  </si>
  <si>
    <t xml:space="preserve">  The average annulus side surface</t>
  </si>
  <si>
    <t xml:space="preserve">  temperature is taken to be the same as</t>
  </si>
  <si>
    <t xml:space="preserve">  the ave.  tubeside surface temperature.</t>
  </si>
  <si>
    <t>Enter the indicated input information:</t>
  </si>
  <si>
    <t xml:space="preserve">     Required Heat</t>
  </si>
  <si>
    <t>Calculation of Ave. Tubeside Surface Temperature</t>
  </si>
  <si>
    <r>
      <t xml:space="preserve"> Ave. Tubeside Surf. Temp.,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st</t>
    </r>
    <r>
      <rPr>
        <sz val="10"/>
        <rFont val="Arial"/>
        <family val="2"/>
      </rPr>
      <t xml:space="preserve"> =</t>
    </r>
  </si>
  <si>
    <t>from the value assumed in the Tubeside HT Coeff worksheet,</t>
  </si>
  <si>
    <r>
      <t xml:space="preserve">If the value of </t>
    </r>
    <r>
      <rPr>
        <b/>
        <sz val="11"/>
        <color rgb="FF0000FF"/>
        <rFont val="Arial"/>
        <family val="2"/>
      </rPr>
      <t>T</t>
    </r>
    <r>
      <rPr>
        <b/>
        <vertAlign val="subscript"/>
        <sz val="11"/>
        <color rgb="FF0000FF"/>
        <rFont val="Arial"/>
        <family val="2"/>
      </rPr>
      <t>st</t>
    </r>
    <r>
      <rPr>
        <b/>
        <sz val="10"/>
        <color rgb="FF0000FF"/>
        <rFont val="Arial"/>
        <family val="2"/>
      </rPr>
      <t xml:space="preserve"> calculated here is significantly different</t>
    </r>
  </si>
  <si>
    <t>The tube surface temperature will be calculated in the Heat Exchanger Configuration</t>
  </si>
  <si>
    <t xml:space="preserve"> ii) ID of the inner tube,  iii) liquid flow rate through the inner tube,  and iv) the tube</t>
  </si>
  <si>
    <t>ii) the O.D. of the inner tube, iii)  the I.D. of the outer tube,  iv) the inner tube wall</t>
  </si>
  <si>
    <t>thickness,  and v)  the inner tube wall thermal conductivity.  The annulus side surface</t>
  </si>
  <si>
    <t>temperature is taken to be the same as the tubeside surface temperature.</t>
  </si>
  <si>
    <r>
      <t>coefficient for the 180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bends.  The user also selects either the inner area or outer area</t>
    </r>
  </si>
  <si>
    <t>as the basis area for heat transfer calculations from a dropdown menu.</t>
  </si>
  <si>
    <t>This worksheet calculates the heat transfer rate, the overall heat transfer coefficient</t>
  </si>
  <si>
    <t xml:space="preserve">transfer area needed. </t>
  </si>
  <si>
    <t>(using the selected basis area), the log mean temperature difference, and the heat</t>
  </si>
  <si>
    <t>of passes, the length per pass is calculated.  The tube surface temperature is calculated,</t>
  </si>
  <si>
    <t>value in that worksheet should be adjusted.</t>
  </si>
  <si>
    <t>worksheets, based on pipe surface temperatures entered in those worksheets.</t>
  </si>
  <si>
    <t xml:space="preserve"> surface temperature.  The tube surface temperature will be an estimate initially.</t>
  </si>
  <si>
    <t>worksheet, and the value can be adjusted if agreement with the initial estimate is poor.</t>
  </si>
  <si>
    <t>Note that the required heat transfer rate is fixed by inputs i), and iii) above.</t>
  </si>
  <si>
    <t xml:space="preserve">  Inner Area, Ai</t>
  </si>
  <si>
    <t xml:space="preserve">  Outer Area, Ao</t>
  </si>
  <si>
    <t xml:space="preserve">   for Heat Transfer Calculations:</t>
  </si>
  <si>
    <t xml:space="preserve">  Click below to select Basis Area</t>
  </si>
  <si>
    <t xml:space="preserve">  (7 ft is a typical practical max for tube length per pass)</t>
  </si>
  <si>
    <t>thermal conductivity of an annulus liquid that isn't in the list.</t>
  </si>
  <si>
    <r>
      <rPr>
        <b/>
        <sz val="10"/>
        <rFont val="Arial"/>
        <family val="2"/>
      </rPr>
      <t>Liquid Prop. At Surf. Temp</t>
    </r>
    <r>
      <rPr>
        <sz val="10"/>
        <rFont val="Arial"/>
        <family val="2"/>
      </rPr>
      <t xml:space="preserve"> -  This worksheet requires no user inputs.  Liquid properties are calculated at tube</t>
    </r>
  </si>
  <si>
    <t>NOTE:  There is a diagram at the upper right on this worksheet that shows the user</t>
  </si>
  <si>
    <t>entered inlet and exit temperatures for the tubeside and annulus liquids.   It allows</t>
  </si>
  <si>
    <t>and if it differs significantly from the assumed value in the Tubeside HT Coeff worksheet its</t>
  </si>
  <si>
    <r>
      <t xml:space="preserve">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-K/W</t>
    </r>
  </si>
  <si>
    <t>*NOTE:  Enter an estimated tube surface temperature, based on the tubeside and annulus liquid</t>
  </si>
  <si>
    <r>
      <t xml:space="preserve">     Tube Surface Temperature*,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st</t>
    </r>
    <r>
      <rPr>
        <sz val="10"/>
        <rFont val="Arial"/>
        <family val="2"/>
      </rPr>
      <t xml:space="preserve"> =</t>
    </r>
  </si>
  <si>
    <r>
      <t xml:space="preserve">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</si>
  <si>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 xml:space="preserve">  Heat Transfer in Process Engineering, 5.7. Design Procedure for a Double-Tube Heat Exchanger</t>
  </si>
  <si>
    <t xml:space="preserve">  Heat Transfer in Process Engineering, Table 5-1. Standard Combinations for Double-Tube Heat Exchangers</t>
  </si>
  <si>
    <t xml:space="preserve">  Hick's Handbook of Chemical Engineering Calculations, Fourth Ed. - Section 7.27</t>
  </si>
  <si>
    <t xml:space="preserve">  Thermal Science - Essentials of Thermodynamics Fluid Mechanics and Heat Transfer, Ch 20</t>
  </si>
  <si>
    <t xml:space="preserve">  Table 11-3. Typical Overall Heat-Transfer Coefficients in Tubular Heat Exchangers</t>
  </si>
  <si>
    <r>
      <t xml:space="preserve">    Inside Fouling Factor, </t>
    </r>
    <r>
      <rPr>
        <b/>
        <sz val="12"/>
        <rFont val="Arial"/>
        <family val="2"/>
      </rPr>
      <t>R</t>
    </r>
    <r>
      <rPr>
        <b/>
        <vertAlign val="subscript"/>
        <sz val="12"/>
        <rFont val="Arial"/>
        <family val="2"/>
      </rPr>
      <t>di</t>
    </r>
    <r>
      <rPr>
        <sz val="10"/>
        <rFont val="Arial"/>
        <family val="2"/>
      </rPr>
      <t xml:space="preserve"> =</t>
    </r>
  </si>
  <si>
    <r>
      <t xml:space="preserve">  Outside Fouling Factor, </t>
    </r>
    <r>
      <rPr>
        <b/>
        <sz val="12"/>
        <rFont val="Arial"/>
        <family val="2"/>
      </rPr>
      <t>R</t>
    </r>
    <r>
      <rPr>
        <b/>
        <vertAlign val="subscript"/>
        <sz val="12"/>
        <rFont val="Arial"/>
        <family val="2"/>
      </rPr>
      <t>do</t>
    </r>
    <r>
      <rPr>
        <sz val="10"/>
        <rFont val="Arial"/>
        <family val="2"/>
      </rPr>
      <t xml:space="preserve"> =</t>
    </r>
  </si>
  <si>
    <t xml:space="preserve">  (see the link at the right for a table of typical fouling factor values)</t>
  </si>
  <si>
    <r>
      <t xml:space="preserve">  Note that Table 2 gives fouling factors in ft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-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F-hr/Btu.  Multiply by 0.1761 to get m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-K/W.</t>
    </r>
  </si>
  <si>
    <t>For a table with typical values for heat exchanger fouling factors, see:</t>
  </si>
  <si>
    <t xml:space="preserve">  See the link (below right), to Table 5-1 for typical standard</t>
  </si>
  <si>
    <t xml:space="preserve">TOT </t>
  </si>
  <si>
    <t xml:space="preserve">  Heat Transfer in Process Engineering, Sec 5.7. Design Procedure for a Double-Tube Heat Exchanger</t>
  </si>
  <si>
    <t>Copyright © McGraw-Hill Global Education Holdings, LLC.  All rights reserved.</t>
  </si>
  <si>
    <t>THERMAL COND.</t>
  </si>
  <si>
    <r>
      <t xml:space="preserve">  r</t>
    </r>
    <r>
      <rPr>
        <sz val="12"/>
        <rFont val="Arial"/>
        <family val="2"/>
      </rPr>
      <t xml:space="preserve">  =  (MW)(17.863 + 58.606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0.35</t>
    </r>
    <r>
      <rPr>
        <sz val="12"/>
        <rFont val="Arial"/>
        <family val="2"/>
      </rPr>
      <t xml:space="preserve"> - 95.396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2/3</t>
    </r>
    <r>
      <rPr>
        <sz val="12"/>
        <rFont val="Arial"/>
        <family val="2"/>
      </rPr>
      <t xml:space="preserve"> + 213.89</t>
    </r>
    <r>
      <rPr>
        <sz val="12"/>
        <rFont val="Symbol"/>
        <family val="1"/>
        <charset val="2"/>
      </rPr>
      <t>t</t>
    </r>
    <r>
      <rPr>
        <sz val="12"/>
        <rFont val="Arial"/>
        <family val="2"/>
      </rPr>
      <t xml:space="preserve"> - 141.26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4/3</t>
    </r>
    <r>
      <rPr>
        <sz val="12"/>
        <rFont val="Arial"/>
        <family val="2"/>
      </rPr>
      <t>)</t>
    </r>
  </si>
  <si>
    <r>
      <t>r</t>
    </r>
    <r>
      <rPr>
        <sz val="11"/>
        <rFont val="Arial"/>
        <family val="2"/>
      </rPr>
      <t xml:space="preserve"> is in 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</si>
  <si>
    <r>
      <t xml:space="preserve">  r</t>
    </r>
    <r>
      <rPr>
        <sz val="12"/>
        <rFont val="Arial"/>
        <family val="2"/>
      </rPr>
      <t xml:space="preserve">  =  (MW)(C1 + C2T + C3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C4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</si>
  <si>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r>
      <t xml:space="preserve">   m</t>
    </r>
    <r>
      <rPr>
        <sz val="11"/>
        <rFont val="Arial"/>
        <family val="2"/>
      </rPr>
      <t xml:space="preserve">  =  exp[C1 + C2/T + C3(lnT) + C4(T</t>
    </r>
    <r>
      <rPr>
        <vertAlign val="superscript"/>
        <sz val="11"/>
        <rFont val="Arial"/>
        <family val="2"/>
      </rPr>
      <t>C5</t>
    </r>
    <r>
      <rPr>
        <sz val="11"/>
        <rFont val="Arial"/>
        <family val="2"/>
      </rPr>
      <t>)]</t>
    </r>
  </si>
  <si>
    <r>
      <t>m</t>
    </r>
    <r>
      <rPr>
        <sz val="10"/>
        <rFont val="Arial"/>
        <family val="2"/>
      </rPr>
      <t xml:space="preserve"> is in Pa-s </t>
    </r>
  </si>
  <si>
    <r>
      <t xml:space="preserve">    r</t>
    </r>
    <r>
      <rPr>
        <sz val="11"/>
        <rFont val="Arial"/>
        <family val="2"/>
      </rPr>
      <t xml:space="preserve"> is in 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</si>
  <si>
    <t>Cp is in J/kg-K</t>
  </si>
  <si>
    <t>k is in W/m-K</t>
  </si>
  <si>
    <r>
      <t xml:space="preserve">  k = C1T</t>
    </r>
    <r>
      <rPr>
        <vertAlign val="superscript"/>
        <sz val="11"/>
        <rFont val="Arial"/>
        <family val="2"/>
      </rPr>
      <t>C2</t>
    </r>
    <r>
      <rPr>
        <sz val="11"/>
        <rFont val="Arial"/>
        <family val="2"/>
      </rPr>
      <t>/(1 - C3/T + C4/T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</si>
  <si>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  </t>
    </r>
    <r>
      <rPr>
        <b/>
        <u/>
        <sz val="10"/>
        <rFont val="Arial"/>
        <family val="2"/>
      </rPr>
      <t>For tables with standard pipe size information, see:</t>
    </r>
  </si>
  <si>
    <t>Piping Handbook, Seventh Ed., Table E2.1M</t>
  </si>
  <si>
    <t xml:space="preserve">  Handbook of Energy Engineering Calculations, Chapter 11, Table 2</t>
  </si>
  <si>
    <t xml:space="preserve">  The inlet and outlet temperatures are</t>
  </si>
  <si>
    <t xml:space="preserve">  entered near the top of the Tubeside HT</t>
  </si>
  <si>
    <t xml:space="preserve">  Coeff worksheet.</t>
  </si>
  <si>
    <t>Either (i) select a liquid  in the first yellow cell below, so that its density, viscosity,</t>
  </si>
  <si>
    <t xml:space="preserve">  entered near the top of the Annulus side</t>
  </si>
  <si>
    <t xml:space="preserve">  HT Coeff worksheet.</t>
  </si>
  <si>
    <t>temperatures.  You will be reminded in the Heat Exchanger Configuration worksheet to adjust</t>
  </si>
  <si>
    <t>this value if the tube surface temperature calculated in that worksheet is significantly different.</t>
  </si>
  <si>
    <t>then the value in that worksheet should be changed to</t>
  </si>
  <si>
    <t>the value shown here.</t>
  </si>
  <si>
    <t xml:space="preserve">  NOTE:  The cells containing formulas are locked (protected) to avoid the</t>
  </si>
  <si>
    <t xml:space="preserve">  possibility of inadvertently typing over any of the formulas.  You may,</t>
  </si>
  <si>
    <t xml:space="preserve">  however, adjust the number of decmal places for any of the cells.</t>
  </si>
  <si>
    <t xml:space="preserve">  Mark's Standard Handbook for Mechanical Engineers, 12th Ed, Table 1.3.9  -  U.S. units</t>
  </si>
  <si>
    <t>Perry's Chemical Engineers' Handbook, 9th Ed, Ch. 2, Physical and Chemical Data</t>
  </si>
  <si>
    <t>Liquid Viscosity:  Table 2-139</t>
  </si>
  <si>
    <t>Liquid Thermal Conductivity:  Table 2-147</t>
  </si>
  <si>
    <t>Liquid Sp. Heat:  Table 2-72</t>
  </si>
  <si>
    <t>Perry's Chemical Engineers' Handbook, 9th Ed., Ch. 2, Physical and Chemical Data</t>
  </si>
  <si>
    <t>Perry's Chemical Engineer's Handbook, 9th Ed. - Sect 5.3.3 Forced Convection</t>
  </si>
  <si>
    <t>Perry's Chemical Engineer's Handbook, 9th Ed. - Sect 5.3.3 - Equation (5-55)</t>
  </si>
  <si>
    <t xml:space="preserve">  Perry's Chemical Engineers' Handbook, 9th Ed. - 11.1 Thermal Design of Heat Transfer Equipment</t>
  </si>
  <si>
    <t xml:space="preserve">  Perry's Chemical Engineers' Handbook, 9th Ed.</t>
  </si>
  <si>
    <t xml:space="preserve">  Perry's Chemical Engineer's Handbook, 9th Ed, Table 6-2 - S.I. units</t>
  </si>
  <si>
    <t xml:space="preserve">  The Fanning Equation:    Equation 6-31 in Perry's</t>
  </si>
  <si>
    <t xml:space="preserve">  Chemical Engineer's Handbook, 9th 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</si>
</sst>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0.0"/>
    <numFmt numFmtId="168" formatCode="_(* #,##0_);_(* \(#,##0\);_(* &quot;-&quot;??_);_(@_)"/>
    <numFmt numFmtId="169" formatCode="0.0000000"/>
    <numFmt numFmtId="170" formatCode="0.000000"/>
    <numFmt numFmtId="171" formatCode="0.0E+00"/>
    <numFmt numFmtId="172" formatCode="0.0000E+00"/>
    <numFmt numFmtId="173" formatCode="0.000E+00"/>
    <numFmt numFmtId="174" formatCode="#,##0.000000"/>
    <numFmt numFmtId="175" formatCode="0E+00"/>
  </numFmts>
  <fonts count="5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  <font>
      <b/>
      <sz val="12"/>
      <name val="Symbol"/>
      <family val="1"/>
      <charset val="2"/>
    </font>
    <font>
      <sz val="12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10"/>
      <name val="Symbol"/>
      <family val="1"/>
      <charset val="2"/>
    </font>
    <font>
      <u/>
      <sz val="11"/>
      <color indexed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4"/>
      <name val="Arial"/>
      <family val="2"/>
    </font>
    <font>
      <b/>
      <sz val="20"/>
      <color indexed="9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9"/>
      <name val="Arial"/>
      <family val="2"/>
    </font>
    <font>
      <b/>
      <sz val="19"/>
      <color indexed="9"/>
      <name val="Arial"/>
      <family val="2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9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color indexed="9"/>
      <name val="Arial"/>
      <family val="2"/>
    </font>
    <font>
      <b/>
      <vertAlign val="superscript"/>
      <sz val="11"/>
      <name val="Arial"/>
      <family val="2"/>
    </font>
    <font>
      <b/>
      <u/>
      <sz val="10"/>
      <name val="Arial"/>
      <family val="2"/>
    </font>
    <font>
      <b/>
      <vertAlign val="subscript"/>
      <sz val="11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1"/>
      <name val="Symbol"/>
      <family val="1"/>
      <charset val="2"/>
    </font>
    <font>
      <b/>
      <sz val="10"/>
      <color indexed="60"/>
      <name val="Arial"/>
      <family val="2"/>
    </font>
    <font>
      <b/>
      <sz val="18"/>
      <name val="Arial"/>
      <family val="2"/>
    </font>
    <font>
      <b/>
      <sz val="12"/>
      <color indexed="62"/>
      <name val="Arial"/>
      <family val="2"/>
    </font>
    <font>
      <b/>
      <sz val="14"/>
      <color indexed="62"/>
      <name val="Arial"/>
      <family val="2"/>
    </font>
    <font>
      <b/>
      <sz val="14"/>
      <color rgb="FFFF0000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color rgb="FF0000FF"/>
      <name val="Arial"/>
      <family val="2"/>
    </font>
    <font>
      <sz val="12"/>
      <name val="Symbol"/>
      <family val="1"/>
      <charset val="2"/>
    </font>
    <font>
      <vertAlign val="superscript"/>
      <sz val="12"/>
      <name val="Arial"/>
      <family val="2"/>
    </font>
    <font>
      <vertAlign val="superscript"/>
      <sz val="11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b/>
      <sz val="10"/>
      <color theme="8" tint="-0.24994659260841701"/>
      <name val="Arial"/>
      <family val="2"/>
    </font>
    <font>
      <b/>
      <sz val="11"/>
      <color rgb="FF0000FF"/>
      <name val="Arial"/>
      <family val="2"/>
    </font>
    <font>
      <b/>
      <vertAlign val="subscript"/>
      <sz val="11"/>
      <color rgb="FF0000FF"/>
      <name val="Arial"/>
      <family val="2"/>
    </font>
    <font>
      <b/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49" fontId="0" fillId="2" borderId="0" xfId="0" applyNumberFormat="1" applyFill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19" fillId="3" borderId="11" xfId="0" applyFont="1" applyFill="1" applyBorder="1" applyAlignment="1"/>
    <xf numFmtId="0" fontId="0" fillId="3" borderId="12" xfId="0" applyFill="1" applyBorder="1"/>
    <xf numFmtId="0" fontId="0" fillId="2" borderId="13" xfId="0" applyFill="1" applyBorder="1" applyAlignment="1">
      <alignment horizontal="center"/>
    </xf>
    <xf numFmtId="0" fontId="21" fillId="2" borderId="0" xfId="0" applyNumberFormat="1" applyFont="1" applyFill="1" applyBorder="1" applyAlignment="1">
      <alignment horizontal="center"/>
    </xf>
    <xf numFmtId="169" fontId="21" fillId="2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11" fillId="0" borderId="0" xfId="3" applyFont="1" applyAlignment="1" applyProtection="1"/>
    <xf numFmtId="0" fontId="22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24" fillId="3" borderId="1" xfId="3" applyFont="1" applyFill="1" applyBorder="1" applyAlignment="1" applyProtection="1"/>
    <xf numFmtId="0" fontId="23" fillId="3" borderId="0" xfId="3" applyFont="1" applyFill="1" applyBorder="1" applyAlignment="1" applyProtection="1"/>
    <xf numFmtId="0" fontId="23" fillId="3" borderId="2" xfId="3" applyFont="1" applyFill="1" applyBorder="1" applyAlignment="1" applyProtection="1"/>
    <xf numFmtId="0" fontId="0" fillId="3" borderId="3" xfId="0" applyFill="1" applyBorder="1"/>
    <xf numFmtId="0" fontId="0" fillId="3" borderId="13" xfId="0" applyFill="1" applyBorder="1"/>
    <xf numFmtId="0" fontId="0" fillId="3" borderId="9" xfId="0" applyFill="1" applyBorder="1"/>
    <xf numFmtId="0" fontId="13" fillId="3" borderId="0" xfId="0" applyFont="1" applyFill="1" applyBorder="1"/>
    <xf numFmtId="0" fontId="13" fillId="3" borderId="1" xfId="0" applyFont="1" applyFill="1" applyBorder="1"/>
    <xf numFmtId="0" fontId="8" fillId="3" borderId="1" xfId="0" applyFont="1" applyFill="1" applyBorder="1"/>
    <xf numFmtId="0" fontId="0" fillId="2" borderId="13" xfId="0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0" fillId="2" borderId="2" xfId="0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" fillId="3" borderId="13" xfId="0" applyFont="1" applyFill="1" applyBorder="1"/>
    <xf numFmtId="0" fontId="3" fillId="3" borderId="1" xfId="0" applyFont="1" applyFill="1" applyBorder="1"/>
    <xf numFmtId="0" fontId="7" fillId="3" borderId="1" xfId="0" applyFont="1" applyFill="1" applyBorder="1"/>
    <xf numFmtId="0" fontId="7" fillId="3" borderId="0" xfId="0" applyFont="1" applyFill="1" applyBorder="1"/>
    <xf numFmtId="0" fontId="12" fillId="3" borderId="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170" fontId="0" fillId="2" borderId="2" xfId="0" applyNumberFormat="1" applyFill="1" applyBorder="1" applyAlignment="1">
      <alignment horizontal="center"/>
    </xf>
    <xf numFmtId="170" fontId="0" fillId="2" borderId="9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left"/>
    </xf>
    <xf numFmtId="2" fontId="0" fillId="2" borderId="2" xfId="0" applyNumberFormat="1" applyFill="1" applyBorder="1" applyAlignment="1">
      <alignment horizontal="center"/>
    </xf>
    <xf numFmtId="2" fontId="30" fillId="5" borderId="0" xfId="0" applyNumberFormat="1" applyFont="1" applyFill="1" applyBorder="1"/>
    <xf numFmtId="0" fontId="30" fillId="5" borderId="0" xfId="0" applyFont="1" applyFill="1" applyBorder="1" applyAlignment="1">
      <alignment horizontal="center"/>
    </xf>
    <xf numFmtId="0" fontId="7" fillId="3" borderId="3" xfId="0" applyFont="1" applyFill="1" applyBorder="1"/>
    <xf numFmtId="0" fontId="7" fillId="3" borderId="13" xfId="0" applyFont="1" applyFill="1" applyBorder="1"/>
    <xf numFmtId="0" fontId="7" fillId="0" borderId="0" xfId="0" applyFont="1"/>
    <xf numFmtId="0" fontId="32" fillId="5" borderId="0" xfId="0" applyFont="1" applyFill="1" applyBorder="1"/>
    <xf numFmtId="0" fontId="0" fillId="6" borderId="14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2" borderId="15" xfId="0" applyFill="1" applyBorder="1" applyAlignment="1">
      <alignment horizontal="center"/>
    </xf>
    <xf numFmtId="1" fontId="0" fillId="6" borderId="15" xfId="0" applyNumberFormat="1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7" fontId="32" fillId="5" borderId="0" xfId="0" applyNumberFormat="1" applyFont="1" applyFill="1" applyBorder="1" applyAlignment="1">
      <alignment horizontal="center"/>
    </xf>
    <xf numFmtId="11" fontId="32" fillId="5" borderId="0" xfId="0" applyNumberFormat="1" applyFon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12" fillId="0" borderId="0" xfId="0" applyFont="1"/>
    <xf numFmtId="0" fontId="25" fillId="3" borderId="1" xfId="3" applyFont="1" applyFill="1" applyBorder="1" applyAlignment="1" applyProtection="1"/>
    <xf numFmtId="0" fontId="1" fillId="3" borderId="3" xfId="0" applyFont="1" applyFill="1" applyBorder="1"/>
    <xf numFmtId="0" fontId="2" fillId="3" borderId="0" xfId="3" applyFill="1" applyBorder="1" applyAlignment="1" applyProtection="1"/>
    <xf numFmtId="164" fontId="21" fillId="2" borderId="0" xfId="0" applyNumberFormat="1" applyFont="1" applyFill="1" applyBorder="1" applyAlignment="1">
      <alignment horizontal="center"/>
    </xf>
    <xf numFmtId="0" fontId="0" fillId="6" borderId="9" xfId="0" applyFill="1" applyBorder="1" applyAlignment="1" applyProtection="1">
      <alignment horizontal="center"/>
      <protection locked="0"/>
    </xf>
    <xf numFmtId="0" fontId="36" fillId="5" borderId="0" xfId="0" applyFont="1" applyFill="1" applyBorder="1" applyAlignment="1">
      <alignment horizontal="center"/>
    </xf>
    <xf numFmtId="49" fontId="0" fillId="2" borderId="18" xfId="0" applyNumberFormat="1" applyFill="1" applyBorder="1"/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49" fontId="0" fillId="2" borderId="11" xfId="0" applyNumberFormat="1" applyFill="1" applyBorder="1"/>
    <xf numFmtId="0" fontId="0" fillId="2" borderId="11" xfId="0" applyFill="1" applyBorder="1" applyAlignment="1">
      <alignment horizontal="center"/>
    </xf>
    <xf numFmtId="49" fontId="0" fillId="2" borderId="13" xfId="0" applyNumberFormat="1" applyFill="1" applyBorder="1"/>
    <xf numFmtId="0" fontId="0" fillId="2" borderId="19" xfId="0" applyFill="1" applyBorder="1"/>
    <xf numFmtId="173" fontId="21" fillId="2" borderId="0" xfId="0" applyNumberFormat="1" applyFont="1" applyFill="1" applyBorder="1" applyAlignment="1">
      <alignment horizontal="center"/>
    </xf>
    <xf numFmtId="167" fontId="21" fillId="2" borderId="17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2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32" fillId="5" borderId="0" xfId="0" applyNumberFormat="1" applyFont="1" applyFill="1" applyBorder="1" applyAlignment="1">
      <alignment horizontal="center"/>
    </xf>
    <xf numFmtId="166" fontId="21" fillId="2" borderId="17" xfId="0" applyNumberFormat="1" applyFont="1" applyFill="1" applyBorder="1" applyAlignment="1">
      <alignment horizontal="center"/>
    </xf>
    <xf numFmtId="164" fontId="32" fillId="5" borderId="0" xfId="0" applyNumberFormat="1" applyFont="1" applyFill="1" applyBorder="1" applyAlignment="1">
      <alignment horizontal="center"/>
    </xf>
    <xf numFmtId="1" fontId="13" fillId="2" borderId="1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0" fillId="2" borderId="14" xfId="0" applyNumberFormat="1" applyFill="1" applyBorder="1" applyAlignment="1">
      <alignment horizontal="center"/>
    </xf>
    <xf numFmtId="167" fontId="0" fillId="2" borderId="22" xfId="0" applyNumberFormat="1" applyFill="1" applyBorder="1" applyAlignment="1">
      <alignment horizontal="center"/>
    </xf>
    <xf numFmtId="0" fontId="0" fillId="3" borderId="0" xfId="0" applyFill="1"/>
    <xf numFmtId="3" fontId="0" fillId="2" borderId="15" xfId="0" applyNumberFormat="1" applyFill="1" applyBorder="1"/>
    <xf numFmtId="174" fontId="0" fillId="2" borderId="15" xfId="0" applyNumberFormat="1" applyFill="1" applyBorder="1"/>
    <xf numFmtId="167" fontId="0" fillId="2" borderId="14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0" fillId="0" borderId="0" xfId="0" quotePrefix="1"/>
    <xf numFmtId="0" fontId="0" fillId="2" borderId="1" xfId="0" applyFill="1" applyBorder="1" applyAlignment="1">
      <alignment horizontal="left"/>
    </xf>
    <xf numFmtId="0" fontId="0" fillId="0" borderId="14" xfId="0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4" fillId="0" borderId="0" xfId="0" applyFont="1"/>
    <xf numFmtId="0" fontId="0" fillId="2" borderId="24" xfId="0" applyFill="1" applyBorder="1"/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11" fontId="0" fillId="2" borderId="24" xfId="0" applyNumberFormat="1" applyFill="1" applyBorder="1"/>
    <xf numFmtId="0" fontId="17" fillId="2" borderId="24" xfId="2" applyFont="1" applyFill="1" applyBorder="1" applyAlignment="1">
      <alignment horizontal="center"/>
    </xf>
    <xf numFmtId="0" fontId="0" fillId="2" borderId="25" xfId="0" applyFill="1" applyBorder="1"/>
    <xf numFmtId="0" fontId="0" fillId="2" borderId="27" xfId="0" applyFill="1" applyBorder="1"/>
    <xf numFmtId="1" fontId="0" fillId="2" borderId="23" xfId="0" applyNumberFormat="1" applyFill="1" applyBorder="1" applyAlignment="1">
      <alignment horizontal="center"/>
    </xf>
    <xf numFmtId="167" fontId="0" fillId="2" borderId="13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4" fillId="2" borderId="11" xfId="0" applyFont="1" applyFill="1" applyBorder="1"/>
    <xf numFmtId="0" fontId="40" fillId="0" borderId="0" xfId="0" applyFont="1"/>
    <xf numFmtId="0" fontId="41" fillId="0" borderId="0" xfId="0" applyFont="1"/>
    <xf numFmtId="0" fontId="43" fillId="0" borderId="0" xfId="0" applyFont="1" applyAlignment="1">
      <alignment vertical="center"/>
    </xf>
    <xf numFmtId="0" fontId="13" fillId="2" borderId="1" xfId="0" applyFont="1" applyFill="1" applyBorder="1"/>
    <xf numFmtId="0" fontId="13" fillId="2" borderId="3" xfId="0" applyFont="1" applyFill="1" applyBorder="1"/>
    <xf numFmtId="164" fontId="21" fillId="2" borderId="1" xfId="0" applyNumberFormat="1" applyFont="1" applyFill="1" applyBorder="1" applyAlignment="1">
      <alignment horizontal="center"/>
    </xf>
    <xf numFmtId="49" fontId="13" fillId="2" borderId="13" xfId="0" applyNumberFormat="1" applyFont="1" applyFill="1" applyBorder="1"/>
    <xf numFmtId="0" fontId="0" fillId="2" borderId="30" xfId="0" applyFill="1" applyBorder="1"/>
    <xf numFmtId="0" fontId="0" fillId="2" borderId="31" xfId="0" applyFill="1" applyBorder="1" applyAlignment="1">
      <alignment horizontal="center"/>
    </xf>
    <xf numFmtId="0" fontId="44" fillId="2" borderId="24" xfId="2" applyFont="1" applyFill="1" applyBorder="1" applyAlignment="1">
      <alignment horizontal="center"/>
    </xf>
    <xf numFmtId="172" fontId="44" fillId="2" borderId="24" xfId="2" applyNumberFormat="1" applyFont="1" applyFill="1" applyBorder="1" applyAlignment="1">
      <alignment horizontal="center"/>
    </xf>
    <xf numFmtId="173" fontId="44" fillId="2" borderId="24" xfId="2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72" fontId="0" fillId="2" borderId="24" xfId="0" applyNumberFormat="1" applyFill="1" applyBorder="1"/>
    <xf numFmtId="0" fontId="17" fillId="2" borderId="2" xfId="2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1" fontId="44" fillId="2" borderId="24" xfId="2" applyNumberFormat="1" applyFont="1" applyFill="1" applyBorder="1" applyAlignment="1">
      <alignment horizontal="center"/>
    </xf>
    <xf numFmtId="165" fontId="0" fillId="2" borderId="24" xfId="0" applyNumberFormat="1" applyFill="1" applyBorder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71" fontId="44" fillId="2" borderId="24" xfId="2" applyNumberFormat="1" applyFont="1" applyFill="1" applyBorder="1" applyAlignment="1">
      <alignment horizontal="center"/>
    </xf>
    <xf numFmtId="173" fontId="0" fillId="2" borderId="24" xfId="0" applyNumberFormat="1" applyFill="1" applyBorder="1" applyAlignment="1">
      <alignment horizontal="center"/>
    </xf>
    <xf numFmtId="170" fontId="0" fillId="2" borderId="24" xfId="0" applyNumberFormat="1" applyFill="1" applyBorder="1" applyAlignment="1">
      <alignment horizontal="center"/>
    </xf>
    <xf numFmtId="166" fontId="0" fillId="2" borderId="24" xfId="0" applyNumberFormat="1" applyFill="1" applyBorder="1" applyAlignment="1">
      <alignment horizontal="center"/>
    </xf>
    <xf numFmtId="175" fontId="44" fillId="2" borderId="24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7" xfId="0" applyFill="1" applyBorder="1"/>
    <xf numFmtId="166" fontId="32" fillId="5" borderId="0" xfId="0" applyNumberFormat="1" applyFont="1" applyFill="1" applyBorder="1" applyAlignment="1">
      <alignment horizontal="center"/>
    </xf>
    <xf numFmtId="166" fontId="21" fillId="2" borderId="1" xfId="0" applyNumberFormat="1" applyFont="1" applyFill="1" applyBorder="1" applyAlignment="1">
      <alignment horizontal="center"/>
    </xf>
    <xf numFmtId="0" fontId="13" fillId="0" borderId="0" xfId="0" applyFont="1"/>
    <xf numFmtId="0" fontId="3" fillId="0" borderId="0" xfId="0" applyFont="1"/>
    <xf numFmtId="0" fontId="0" fillId="2" borderId="7" xfId="0" applyFill="1" applyBorder="1"/>
    <xf numFmtId="0" fontId="0" fillId="0" borderId="13" xfId="0" applyBorder="1"/>
    <xf numFmtId="165" fontId="0" fillId="2" borderId="7" xfId="0" applyNumberFormat="1" applyFill="1" applyBorder="1" applyAlignment="1">
      <alignment horizontal="center"/>
    </xf>
    <xf numFmtId="173" fontId="44" fillId="2" borderId="7" xfId="2" applyNumberFormat="1" applyFont="1" applyFill="1" applyBorder="1" applyAlignment="1">
      <alignment horizontal="center"/>
    </xf>
    <xf numFmtId="0" fontId="13" fillId="2" borderId="24" xfId="0" applyFont="1" applyFill="1" applyBorder="1"/>
    <xf numFmtId="0" fontId="13" fillId="2" borderId="7" xfId="0" applyFont="1" applyFill="1" applyBorder="1"/>
    <xf numFmtId="0" fontId="0" fillId="2" borderId="31" xfId="0" applyFill="1" applyBorder="1"/>
    <xf numFmtId="0" fontId="28" fillId="0" borderId="0" xfId="0" applyFont="1" applyFill="1" applyBorder="1"/>
    <xf numFmtId="0" fontId="3" fillId="0" borderId="0" xfId="0" applyFont="1" applyFill="1" applyBorder="1"/>
    <xf numFmtId="167" fontId="36" fillId="5" borderId="0" xfId="0" applyNumberFormat="1" applyFont="1" applyFill="1" applyBorder="1" applyAlignment="1">
      <alignment horizontal="center"/>
    </xf>
    <xf numFmtId="0" fontId="45" fillId="0" borderId="0" xfId="0" applyFont="1"/>
    <xf numFmtId="0" fontId="37" fillId="0" borderId="0" xfId="0" applyFont="1" applyAlignment="1">
      <alignment horizontal="center"/>
    </xf>
    <xf numFmtId="167" fontId="0" fillId="6" borderId="14" xfId="0" applyNumberFormat="1" applyFill="1" applyBorder="1" applyAlignment="1" applyProtection="1">
      <alignment horizontal="center"/>
      <protection locked="0"/>
    </xf>
    <xf numFmtId="0" fontId="46" fillId="0" borderId="0" xfId="0" applyFont="1"/>
    <xf numFmtId="0" fontId="4" fillId="2" borderId="10" xfId="0" applyFont="1" applyFill="1" applyBorder="1" applyAlignment="1"/>
    <xf numFmtId="1" fontId="47" fillId="2" borderId="11" xfId="0" applyNumberFormat="1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0" xfId="0" applyFont="1" applyFill="1" applyBorder="1" applyAlignment="1"/>
    <xf numFmtId="1" fontId="0" fillId="2" borderId="14" xfId="0" applyNumberFormat="1" applyFill="1" applyBorder="1" applyAlignment="1">
      <alignment horizontal="center"/>
    </xf>
    <xf numFmtId="0" fontId="48" fillId="0" borderId="0" xfId="0" applyFont="1"/>
    <xf numFmtId="0" fontId="13" fillId="2" borderId="2" xfId="0" applyFont="1" applyFill="1" applyBorder="1"/>
    <xf numFmtId="173" fontId="0" fillId="2" borderId="0" xfId="0" applyNumberFormat="1" applyFill="1" applyBorder="1" applyAlignment="1">
      <alignment horizontal="center"/>
    </xf>
    <xf numFmtId="11" fontId="0" fillId="2" borderId="14" xfId="0" applyNumberFormat="1" applyFill="1" applyBorder="1" applyAlignment="1">
      <alignment horizontal="center"/>
    </xf>
    <xf numFmtId="166" fontId="0" fillId="2" borderId="13" xfId="0" applyNumberFormat="1" applyFill="1" applyBorder="1"/>
    <xf numFmtId="164" fontId="0" fillId="2" borderId="0" xfId="0" applyNumberFormat="1" applyFill="1" applyBorder="1"/>
    <xf numFmtId="0" fontId="4" fillId="2" borderId="1" xfId="0" applyFont="1" applyFill="1" applyBorder="1"/>
    <xf numFmtId="0" fontId="0" fillId="2" borderId="32" xfId="0" applyFill="1" applyBorder="1"/>
    <xf numFmtId="165" fontId="0" fillId="2" borderId="15" xfId="0" applyNumberFormat="1" applyFill="1" applyBorder="1" applyAlignment="1">
      <alignment horizontal="center"/>
    </xf>
    <xf numFmtId="164" fontId="13" fillId="2" borderId="0" xfId="0" applyNumberFormat="1" applyFont="1" applyFill="1" applyBorder="1"/>
    <xf numFmtId="0" fontId="8" fillId="0" borderId="0" xfId="0" applyFont="1"/>
    <xf numFmtId="0" fontId="21" fillId="2" borderId="20" xfId="0" applyNumberFormat="1" applyFont="1" applyFill="1" applyBorder="1" applyAlignment="1">
      <alignment horizontal="center"/>
    </xf>
    <xf numFmtId="169" fontId="21" fillId="2" borderId="6" xfId="0" applyNumberFormat="1" applyFont="1" applyFill="1" applyBorder="1" applyAlignment="1">
      <alignment horizontal="center"/>
    </xf>
    <xf numFmtId="173" fontId="21" fillId="2" borderId="26" xfId="0" applyNumberFormat="1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0" fillId="2" borderId="14" xfId="0" applyFill="1" applyBorder="1"/>
    <xf numFmtId="173" fontId="21" fillId="2" borderId="1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left"/>
    </xf>
    <xf numFmtId="173" fontId="0" fillId="0" borderId="0" xfId="0" applyNumberFormat="1"/>
    <xf numFmtId="0" fontId="36" fillId="5" borderId="0" xfId="0" applyFont="1" applyFill="1" applyBorder="1"/>
    <xf numFmtId="173" fontId="36" fillId="5" borderId="0" xfId="0" applyNumberFormat="1" applyFont="1" applyFill="1" applyBorder="1"/>
    <xf numFmtId="0" fontId="46" fillId="0" borderId="0" xfId="0" applyFont="1" applyFill="1" applyBorder="1"/>
    <xf numFmtId="164" fontId="36" fillId="5" borderId="0" xfId="0" applyNumberFormat="1" applyFont="1" applyFill="1" applyBorder="1"/>
    <xf numFmtId="0" fontId="13" fillId="2" borderId="14" xfId="0" applyFont="1" applyFill="1" applyBorder="1"/>
    <xf numFmtId="49" fontId="13" fillId="2" borderId="22" xfId="0" applyNumberFormat="1" applyFont="1" applyFill="1" applyBorder="1"/>
    <xf numFmtId="167" fontId="0" fillId="0" borderId="14" xfId="0" applyNumberFormat="1" applyBorder="1" applyAlignment="1">
      <alignment horizontal="center"/>
    </xf>
    <xf numFmtId="166" fontId="0" fillId="2" borderId="26" xfId="0" applyNumberFormat="1" applyFill="1" applyBorder="1"/>
    <xf numFmtId="166" fontId="0" fillId="6" borderId="14" xfId="0" applyNumberFormat="1" applyFill="1" applyBorder="1" applyAlignment="1" applyProtection="1">
      <alignment horizontal="center"/>
      <protection locked="0"/>
    </xf>
    <xf numFmtId="0" fontId="3" fillId="3" borderId="0" xfId="0" applyFont="1" applyFill="1" applyBorder="1"/>
    <xf numFmtId="169" fontId="0" fillId="2" borderId="15" xfId="0" applyNumberForma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36" fillId="5" borderId="0" xfId="0" applyNumberFormat="1" applyFont="1" applyFill="1" applyBorder="1"/>
    <xf numFmtId="2" fontId="36" fillId="5" borderId="0" xfId="0" applyNumberFormat="1" applyFont="1" applyFill="1" applyBorder="1" applyAlignment="1">
      <alignment horizontal="center"/>
    </xf>
    <xf numFmtId="167" fontId="0" fillId="2" borderId="13" xfId="0" applyNumberFormat="1" applyFill="1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13" xfId="0" applyFont="1" applyBorder="1"/>
    <xf numFmtId="0" fontId="0" fillId="0" borderId="9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Alignment="1">
      <alignment vertical="top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0" fillId="2" borderId="10" xfId="0" applyFill="1" applyBorder="1" applyProtection="1"/>
    <xf numFmtId="0" fontId="4" fillId="2" borderId="11" xfId="0" applyFont="1" applyFill="1" applyBorder="1" applyProtection="1"/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" xfId="0" applyFill="1" applyBorder="1" applyProtection="1"/>
    <xf numFmtId="0" fontId="0" fillId="2" borderId="0" xfId="0" applyFill="1" applyBorder="1" applyProtection="1"/>
    <xf numFmtId="0" fontId="0" fillId="2" borderId="2" xfId="0" applyFill="1" applyBorder="1" applyProtection="1"/>
    <xf numFmtId="168" fontId="0" fillId="2" borderId="14" xfId="1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left"/>
    </xf>
    <xf numFmtId="167" fontId="13" fillId="2" borderId="14" xfId="0" applyNumberFormat="1" applyFon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</xf>
    <xf numFmtId="0" fontId="39" fillId="2" borderId="1" xfId="0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horizontal="center"/>
    </xf>
    <xf numFmtId="0" fontId="1" fillId="2" borderId="1" xfId="0" applyFont="1" applyFill="1" applyBorder="1" applyProtection="1"/>
    <xf numFmtId="167" fontId="0" fillId="2" borderId="14" xfId="1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/>
    </xf>
    <xf numFmtId="0" fontId="0" fillId="2" borderId="13" xfId="0" applyFill="1" applyBorder="1" applyProtection="1"/>
    <xf numFmtId="0" fontId="0" fillId="2" borderId="9" xfId="0" applyFill="1" applyBorder="1" applyProtection="1"/>
    <xf numFmtId="0" fontId="1" fillId="2" borderId="3" xfId="0" applyFont="1" applyFill="1" applyBorder="1" applyAlignment="1">
      <alignment vertical="top"/>
    </xf>
    <xf numFmtId="0" fontId="1" fillId="0" borderId="0" xfId="0" applyFont="1" applyFill="1" applyBorder="1"/>
    <xf numFmtId="165" fontId="0" fillId="2" borderId="14" xfId="0" applyNumberFormat="1" applyFill="1" applyBorder="1" applyAlignment="1">
      <alignment horizontal="center"/>
    </xf>
    <xf numFmtId="0" fontId="0" fillId="3" borderId="11" xfId="0" applyFill="1" applyBorder="1"/>
    <xf numFmtId="0" fontId="49" fillId="3" borderId="1" xfId="0" applyFont="1" applyFill="1" applyBorder="1"/>
    <xf numFmtId="0" fontId="38" fillId="3" borderId="0" xfId="0" applyFont="1" applyFill="1" applyBorder="1"/>
    <xf numFmtId="0" fontId="8" fillId="3" borderId="0" xfId="0" applyFont="1" applyFill="1" applyBorder="1"/>
    <xf numFmtId="0" fontId="1" fillId="3" borderId="2" xfId="0" applyFont="1" applyFill="1" applyBorder="1"/>
    <xf numFmtId="0" fontId="38" fillId="3" borderId="1" xfId="0" applyFont="1" applyFill="1" applyBorder="1"/>
    <xf numFmtId="0" fontId="10" fillId="3" borderId="0" xfId="0" applyFont="1" applyFill="1" applyBorder="1"/>
    <xf numFmtId="49" fontId="8" fillId="3" borderId="3" xfId="0" applyNumberFormat="1" applyFont="1" applyFill="1" applyBorder="1" applyAlignment="1">
      <alignment horizontal="left"/>
    </xf>
    <xf numFmtId="0" fontId="10" fillId="3" borderId="13" xfId="0" applyFont="1" applyFill="1" applyBorder="1"/>
    <xf numFmtId="0" fontId="10" fillId="3" borderId="9" xfId="0" applyFont="1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" xfId="0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12" fillId="8" borderId="1" xfId="0" applyFont="1" applyFill="1" applyBorder="1"/>
    <xf numFmtId="0" fontId="0" fillId="8" borderId="13" xfId="0" applyFill="1" applyBorder="1"/>
    <xf numFmtId="0" fontId="0" fillId="8" borderId="9" xfId="0" applyFill="1" applyBorder="1"/>
    <xf numFmtId="0" fontId="4" fillId="3" borderId="0" xfId="0" applyFont="1" applyFill="1" applyBorder="1"/>
    <xf numFmtId="0" fontId="15" fillId="0" borderId="0" xfId="0" applyFont="1"/>
    <xf numFmtId="167" fontId="0" fillId="2" borderId="14" xfId="0" applyNumberFormat="1" applyFill="1" applyBorder="1" applyAlignment="1" applyProtection="1">
      <alignment horizontal="center"/>
    </xf>
    <xf numFmtId="0" fontId="8" fillId="2" borderId="1" xfId="0" applyFont="1" applyFill="1" applyBorder="1"/>
    <xf numFmtId="1" fontId="12" fillId="8" borderId="14" xfId="0" applyNumberFormat="1" applyFont="1" applyFill="1" applyBorder="1" applyAlignment="1">
      <alignment horizontal="center"/>
    </xf>
    <xf numFmtId="1" fontId="12" fillId="9" borderId="14" xfId="0" applyNumberFormat="1" applyFont="1" applyFill="1" applyBorder="1" applyAlignment="1">
      <alignment horizontal="center"/>
    </xf>
    <xf numFmtId="0" fontId="54" fillId="2" borderId="1" xfId="0" applyFont="1" applyFill="1" applyBorder="1" applyAlignment="1">
      <alignment vertical="top"/>
    </xf>
    <xf numFmtId="1" fontId="0" fillId="10" borderId="15" xfId="0" applyNumberFormat="1" applyFill="1" applyBorder="1" applyAlignment="1" applyProtection="1">
      <alignment horizontal="center"/>
    </xf>
    <xf numFmtId="0" fontId="1" fillId="2" borderId="2" xfId="0" applyFont="1" applyFill="1" applyBorder="1"/>
    <xf numFmtId="1" fontId="0" fillId="6" borderId="14" xfId="0" applyNumberFormat="1" applyFill="1" applyBorder="1" applyAlignment="1" applyProtection="1">
      <alignment horizontal="center"/>
      <protection locked="0"/>
    </xf>
    <xf numFmtId="1" fontId="0" fillId="2" borderId="1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167" fontId="0" fillId="0" borderId="0" xfId="0" applyNumberFormat="1" applyBorder="1"/>
    <xf numFmtId="0" fontId="54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center"/>
    </xf>
    <xf numFmtId="0" fontId="0" fillId="2" borderId="0" xfId="0" applyFill="1" applyBorder="1" applyAlignment="1"/>
    <xf numFmtId="166" fontId="0" fillId="2" borderId="14" xfId="0" applyNumberFormat="1" applyFill="1" applyBorder="1" applyAlignment="1" applyProtection="1">
      <alignment horizontal="center"/>
    </xf>
    <xf numFmtId="0" fontId="1" fillId="2" borderId="3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2" fontId="0" fillId="0" borderId="0" xfId="0" applyNumberForma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167" fontId="0" fillId="2" borderId="15" xfId="0" applyNumberFormat="1" applyFill="1" applyBorder="1" applyAlignment="1" applyProtection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2" xfId="0" applyFont="1" applyFill="1" applyBorder="1" applyAlignment="1" applyProtection="1">
      <alignment horizontal="left"/>
    </xf>
    <xf numFmtId="0" fontId="1" fillId="2" borderId="9" xfId="0" applyFont="1" applyFill="1" applyBorder="1" applyAlignment="1">
      <alignment horizontal="left"/>
    </xf>
    <xf numFmtId="0" fontId="0" fillId="2" borderId="11" xfId="0" applyFill="1" applyBorder="1" applyAlignment="1"/>
    <xf numFmtId="0" fontId="0" fillId="2" borderId="0" xfId="0" applyFill="1" applyBorder="1" applyAlignment="1">
      <alignment horizontal="left"/>
    </xf>
    <xf numFmtId="0" fontId="0" fillId="2" borderId="3" xfId="0" applyFill="1" applyBorder="1" applyAlignment="1" applyProtection="1">
      <alignment vertical="center"/>
    </xf>
    <xf numFmtId="0" fontId="1" fillId="7" borderId="0" xfId="0" applyFont="1" applyFill="1" applyBorder="1" applyProtection="1"/>
    <xf numFmtId="0" fontId="1" fillId="2" borderId="0" xfId="0" applyFont="1" applyFill="1" applyBorder="1" applyProtection="1"/>
    <xf numFmtId="1" fontId="0" fillId="2" borderId="14" xfId="0" applyNumberFormat="1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48" fillId="0" borderId="0" xfId="0" applyFont="1" applyFill="1" applyBorder="1"/>
    <xf numFmtId="1" fontId="0" fillId="0" borderId="0" xfId="0" applyNumberFormat="1"/>
    <xf numFmtId="164" fontId="0" fillId="6" borderId="14" xfId="0" applyNumberFormat="1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vertical="top"/>
      <protection locked="0"/>
    </xf>
    <xf numFmtId="0" fontId="0" fillId="2" borderId="0" xfId="0" applyFill="1" applyBorder="1" applyAlignment="1" applyProtection="1"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12" fillId="0" borderId="1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Protection="1"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vertical="top"/>
      <protection locked="0"/>
    </xf>
    <xf numFmtId="0" fontId="0" fillId="2" borderId="13" xfId="0" applyFill="1" applyBorder="1" applyAlignment="1" applyProtection="1"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34" fillId="3" borderId="0" xfId="3" applyFont="1" applyFill="1" applyBorder="1" applyAlignment="1" applyProtection="1">
      <alignment horizontal="center"/>
    </xf>
    <xf numFmtId="0" fontId="23" fillId="3" borderId="0" xfId="3" applyFont="1" applyFill="1" applyBorder="1" applyAlignment="1" applyProtection="1">
      <alignment horizontal="center"/>
    </xf>
    <xf numFmtId="2" fontId="0" fillId="6" borderId="14" xfId="0" applyNumberFormat="1" applyFill="1" applyBorder="1" applyAlignment="1" applyProtection="1">
      <alignment horizontal="center"/>
      <protection locked="0"/>
    </xf>
    <xf numFmtId="0" fontId="12" fillId="0" borderId="0" xfId="0" applyFont="1" applyAlignment="1">
      <alignment vertical="center"/>
    </xf>
    <xf numFmtId="173" fontId="0" fillId="6" borderId="14" xfId="0" applyNumberFormat="1" applyFill="1" applyBorder="1" applyAlignment="1" applyProtection="1">
      <alignment horizontal="center"/>
      <protection locked="0"/>
    </xf>
    <xf numFmtId="173" fontId="0" fillId="2" borderId="14" xfId="0" applyNumberForma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173" fontId="32" fillId="5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3" borderId="1" xfId="0" applyFont="1" applyFill="1" applyBorder="1"/>
    <xf numFmtId="2" fontId="0" fillId="2" borderId="14" xfId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left"/>
    </xf>
    <xf numFmtId="0" fontId="3" fillId="3" borderId="10" xfId="0" applyFont="1" applyFill="1" applyBorder="1"/>
    <xf numFmtId="0" fontId="7" fillId="3" borderId="11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3" borderId="1" xfId="3" applyFill="1" applyBorder="1" applyAlignment="1" applyProtection="1">
      <alignment horizontal="center"/>
    </xf>
    <xf numFmtId="0" fontId="2" fillId="3" borderId="0" xfId="3" applyFill="1" applyBorder="1" applyAlignment="1" applyProtection="1">
      <alignment horizontal="center"/>
    </xf>
    <xf numFmtId="0" fontId="2" fillId="3" borderId="2" xfId="3" applyFill="1" applyBorder="1" applyAlignment="1" applyProtection="1">
      <alignment horizontal="center"/>
    </xf>
    <xf numFmtId="0" fontId="20" fillId="5" borderId="0" xfId="0" applyFont="1" applyFill="1" applyAlignment="1">
      <alignment horizontal="center" vertical="center" textRotation="90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19" fillId="3" borderId="10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2" fillId="0" borderId="0" xfId="3" applyFill="1" applyBorder="1" applyAlignment="1" applyProtection="1">
      <alignment horizontal="center"/>
    </xf>
    <xf numFmtId="0" fontId="27" fillId="0" borderId="0" xfId="3" applyFont="1" applyFill="1" applyBorder="1" applyAlignment="1" applyProtection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49" fontId="4" fillId="2" borderId="20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2" fillId="0" borderId="0" xfId="3" applyNumberFormat="1" applyAlignment="1" applyProtection="1">
      <alignment horizontal="center"/>
    </xf>
    <xf numFmtId="0" fontId="2" fillId="0" borderId="0" xfId="3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2" fillId="0" borderId="0" xfId="3" applyAlignment="1" applyProtection="1"/>
    <xf numFmtId="0" fontId="12" fillId="2" borderId="10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49" fontId="13" fillId="2" borderId="20" xfId="0" applyNumberFormat="1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20" fillId="5" borderId="0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/>
    </xf>
    <xf numFmtId="0" fontId="2" fillId="3" borderId="1" xfId="3" applyFill="1" applyBorder="1" applyAlignment="1" applyProtection="1">
      <alignment horizontal="left"/>
    </xf>
    <xf numFmtId="0" fontId="2" fillId="3" borderId="0" xfId="3" applyFill="1" applyBorder="1" applyAlignment="1" applyProtection="1">
      <alignment horizontal="left"/>
    </xf>
    <xf numFmtId="0" fontId="0" fillId="0" borderId="0" xfId="0" applyAlignment="1"/>
    <xf numFmtId="0" fontId="2" fillId="8" borderId="0" xfId="3" applyFill="1" applyBorder="1" applyAlignment="1" applyProtection="1"/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2" fillId="3" borderId="2" xfId="3" applyFill="1" applyBorder="1" applyAlignment="1" applyProtection="1">
      <alignment horizontal="left"/>
    </xf>
    <xf numFmtId="0" fontId="37" fillId="2" borderId="1" xfId="0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/>
    </xf>
    <xf numFmtId="0" fontId="37" fillId="2" borderId="9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34" fillId="2" borderId="10" xfId="0" applyFont="1" applyFill="1" applyBorder="1" applyAlignment="1">
      <alignment horizontal="left"/>
    </xf>
    <xf numFmtId="0" fontId="34" fillId="2" borderId="11" xfId="0" applyFont="1" applyFill="1" applyBorder="1" applyAlignment="1">
      <alignment horizontal="left"/>
    </xf>
    <xf numFmtId="0" fontId="34" fillId="2" borderId="12" xfId="0" applyFont="1" applyFill="1" applyBorder="1" applyAlignment="1">
      <alignment horizontal="left"/>
    </xf>
    <xf numFmtId="0" fontId="21" fillId="2" borderId="10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6" fillId="5" borderId="0" xfId="0" applyFont="1" applyFill="1" applyBorder="1" applyAlignment="1">
      <alignment horizontal="center" vertical="center" textRotation="90"/>
    </xf>
    <xf numFmtId="0" fontId="38" fillId="2" borderId="1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57" fillId="0" borderId="1" xfId="3" applyFont="1" applyBorder="1" applyAlignment="1" applyProtection="1">
      <alignment horizontal="left"/>
    </xf>
    <xf numFmtId="0" fontId="57" fillId="0" borderId="0" xfId="3" applyFont="1" applyAlignment="1" applyProtection="1">
      <alignment horizontal="left"/>
    </xf>
    <xf numFmtId="0" fontId="2" fillId="8" borderId="1" xfId="3" applyFill="1" applyBorder="1" applyAlignment="1" applyProtection="1">
      <alignment horizontal="left"/>
    </xf>
    <xf numFmtId="0" fontId="2" fillId="8" borderId="0" xfId="3" applyFill="1" applyBorder="1" applyAlignment="1" applyProtection="1">
      <alignment horizontal="left"/>
    </xf>
    <xf numFmtId="0" fontId="2" fillId="8" borderId="2" xfId="3" applyFill="1" applyBorder="1" applyAlignment="1" applyProtection="1"/>
  </cellXfs>
  <cellStyles count="4">
    <cellStyle name="Comma" xfId="1" builtinId="3"/>
    <cellStyle name="Excel Built-in Normal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FFCC99"/>
      <color rgb="FF0000FF"/>
      <color rgb="FFCCFFFF"/>
      <color rgb="FF99FFCC"/>
      <color rgb="FFFF99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3.jpeg"/><Relationship Id="rId1" Type="http://schemas.openxmlformats.org/officeDocument/2006/relationships/image" Target="../media/image2.jp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38100</xdr:rowOff>
    </xdr:from>
    <xdr:to>
      <xdr:col>10</xdr:col>
      <xdr:colOff>19050</xdr:colOff>
      <xdr:row>7</xdr:row>
      <xdr:rowOff>66675</xdr:rowOff>
    </xdr:to>
    <xdr:pic>
      <xdr:nvPicPr>
        <xdr:cNvPr id="2" name="Picture 2" descr="C:\Users\Harlan\Documents\AccessEngineering\AccessEngineering_2013_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"/>
          <a:ext cx="57245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38101</xdr:colOff>
      <xdr:row>5</xdr:row>
      <xdr:rowOff>104775</xdr:rowOff>
    </xdr:from>
    <xdr:to>
      <xdr:col>13</xdr:col>
      <xdr:colOff>371475</xdr:colOff>
      <xdr:row>10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6" y="1095375"/>
          <a:ext cx="2228849" cy="1038225"/>
        </a:xfrm>
        <a:prstGeom prst="rect">
          <a:avLst/>
        </a:prstGeom>
      </xdr:spPr>
    </xdr:pic>
    <xdr:clientData/>
  </xdr:twoCellAnchor>
  <xdr:twoCellAnchor>
    <xdr:from>
      <xdr:col>9</xdr:col>
      <xdr:colOff>190499</xdr:colOff>
      <xdr:row>27</xdr:row>
      <xdr:rowOff>180975</xdr:rowOff>
    </xdr:from>
    <xdr:to>
      <xdr:col>12</xdr:col>
      <xdr:colOff>180975</xdr:colOff>
      <xdr:row>34</xdr:row>
      <xdr:rowOff>142875</xdr:rowOff>
    </xdr:to>
    <xdr:pic>
      <xdr:nvPicPr>
        <xdr:cNvPr id="3" name="Pictur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4" y="5495925"/>
          <a:ext cx="1504951" cy="1285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114300</xdr:colOff>
      <xdr:row>41</xdr:row>
      <xdr:rowOff>19051</xdr:rowOff>
    </xdr:from>
    <xdr:to>
      <xdr:col>15</xdr:col>
      <xdr:colOff>284098</xdr:colOff>
      <xdr:row>48</xdr:row>
      <xdr:rowOff>47626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8001001"/>
          <a:ext cx="2493898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180975</xdr:colOff>
      <xdr:row>29</xdr:row>
      <xdr:rowOff>66675</xdr:rowOff>
    </xdr:from>
    <xdr:to>
      <xdr:col>16</xdr:col>
      <xdr:colOff>148492</xdr:colOff>
      <xdr:row>33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5" y="5810250"/>
          <a:ext cx="1872517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104776</xdr:colOff>
      <xdr:row>5</xdr:row>
      <xdr:rowOff>104775</xdr:rowOff>
    </xdr:from>
    <xdr:to>
      <xdr:col>13</xdr:col>
      <xdr:colOff>504825</xdr:colOff>
      <xdr:row>10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1" y="1733550"/>
          <a:ext cx="2228849" cy="1057275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30</xdr:row>
      <xdr:rowOff>76200</xdr:rowOff>
    </xdr:from>
    <xdr:to>
      <xdr:col>12</xdr:col>
      <xdr:colOff>419101</xdr:colOff>
      <xdr:row>36</xdr:row>
      <xdr:rowOff>133350</xdr:rowOff>
    </xdr:to>
    <xdr:pic>
      <xdr:nvPicPr>
        <xdr:cNvPr id="6" name="Picture 1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6238875"/>
          <a:ext cx="1924051" cy="1257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495300</xdr:colOff>
      <xdr:row>30</xdr:row>
      <xdr:rowOff>95250</xdr:rowOff>
    </xdr:from>
    <xdr:to>
      <xdr:col>16</xdr:col>
      <xdr:colOff>539017</xdr:colOff>
      <xdr:row>34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6257925"/>
          <a:ext cx="1872517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43</xdr:row>
      <xdr:rowOff>0</xdr:rowOff>
    </xdr:from>
    <xdr:to>
      <xdr:col>14</xdr:col>
      <xdr:colOff>226948</xdr:colOff>
      <xdr:row>50</xdr:row>
      <xdr:rowOff>123825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753475"/>
          <a:ext cx="2493898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35</xdr:row>
      <xdr:rowOff>28575</xdr:rowOff>
    </xdr:from>
    <xdr:to>
      <xdr:col>13</xdr:col>
      <xdr:colOff>447675</xdr:colOff>
      <xdr:row>38</xdr:row>
      <xdr:rowOff>0</xdr:rowOff>
    </xdr:to>
    <xdr:pic>
      <xdr:nvPicPr>
        <xdr:cNvPr id="17423" name="Picture 5" descr="C:\Users\Harlan\Documents\AccessEngineering\Pipe Flow_Friction Factor Spreadsheets\Fanning Equation.jpg">
          <a:extLst>
            <a:ext uri="{FF2B5EF4-FFF2-40B4-BE49-F238E27FC236}">
              <a16:creationId xmlns:a16="http://schemas.microsoft.com/office/drawing/2014/main" id="{00000000-0008-0000-0700-00000F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794385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cessengineeringlibrary.com/browse/perrys-chemical-engineers-handbook-9th-edition" TargetMode="External"/><Relationship Id="rId3" Type="http://schemas.openxmlformats.org/officeDocument/2006/relationships/hyperlink" Target="http://www.accessengineeringlibrary.com/browse/perrys-chemical-engineers-handbook-9th-edition/c9780071834087ch02lev1sec15?q=Table+2-139&amp;book=Perry%27s+Chemical+Engineers%27+Handbook%2C+9th+Edition" TargetMode="External"/><Relationship Id="rId7" Type="http://schemas.openxmlformats.org/officeDocument/2006/relationships/hyperlink" Target="http://accessengineeringlibrary.com/browse/perrys-chemical-engineers-handbook-eighth-edition/p200139d89972_96001" TargetMode="External"/><Relationship Id="rId2" Type="http://schemas.openxmlformats.org/officeDocument/2006/relationships/hyperlink" Target="http://www.accessengineeringlibrary.com/browse/perrys-chemical-engineers-handbook-9th-edition" TargetMode="External"/><Relationship Id="rId1" Type="http://schemas.openxmlformats.org/officeDocument/2006/relationships/hyperlink" Target="http://accessengineeringlibrary.com/browse/perrys-chemical-engineers-handbook-eighth-edition/p200139d89972_96001" TargetMode="External"/><Relationship Id="rId6" Type="http://schemas.openxmlformats.org/officeDocument/2006/relationships/hyperlink" Target="http://www.accessengineeringlibrary.com/browse/perrys-chemical-engineers-handbook-9th-edition/c9780071834087ch02lev1sec10?s.num=1&amp;q=Table+2-72" TargetMode="External"/><Relationship Id="rId5" Type="http://schemas.openxmlformats.org/officeDocument/2006/relationships/hyperlink" Target="http://www.accessengineeringlibrary.com/browse/perrys-chemical-engineers-handbook-9th-edition/c9780071834087ch02lev1sec15?s.num=3&amp;q=Table+2-147" TargetMode="External"/><Relationship Id="rId4" Type="http://schemas.openxmlformats.org/officeDocument/2006/relationships/hyperlink" Target="http://www.accessengineeringlibrary.com/browse/perrys-chemical-engineers-handbook-9th-edition/c9780071834087ch02lev1sec06?s.num=3&amp;q=Table+2-32&amp;book=Perry%27s+Chemical+Engineers%27+Handbook%2C+9th+Edition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cessengineeringlibrary.com/browse/perrys-chemical-engineers-handbook-9th-edition" TargetMode="External"/><Relationship Id="rId3" Type="http://schemas.openxmlformats.org/officeDocument/2006/relationships/hyperlink" Target="http://www.accessengineeringlibrary.com/browse/perrys-chemical-engineers-handbook-9th-edition/c9780071834087ch02lev1sec15?q=Table+2-139&amp;book=Perry%27s+Chemical+Engineers%27+Handbook%2C+9th+Edition" TargetMode="External"/><Relationship Id="rId7" Type="http://schemas.openxmlformats.org/officeDocument/2006/relationships/hyperlink" Target="http://accessengineeringlibrary.com/browse/perrys-chemical-engineers-handbook-eighth-edition/p200139d89972_96001" TargetMode="External"/><Relationship Id="rId2" Type="http://schemas.openxmlformats.org/officeDocument/2006/relationships/hyperlink" Target="http://www.accessengineeringlibrary.com/browse/perrys-chemical-engineers-handbook-9th-edition" TargetMode="External"/><Relationship Id="rId1" Type="http://schemas.openxmlformats.org/officeDocument/2006/relationships/hyperlink" Target="http://accessengineeringlibrary.com/browse/perrys-chemical-engineers-handbook-eighth-edition/p200139d89972_96001" TargetMode="External"/><Relationship Id="rId6" Type="http://schemas.openxmlformats.org/officeDocument/2006/relationships/hyperlink" Target="http://www.accessengineeringlibrary.com/browse/perrys-chemical-engineers-handbook-9th-edition/c9780071834087ch02lev1sec10?s.num=1&amp;q=Table+2-72" TargetMode="External"/><Relationship Id="rId5" Type="http://schemas.openxmlformats.org/officeDocument/2006/relationships/hyperlink" Target="http://www.accessengineeringlibrary.com/browse/perrys-chemical-engineers-handbook-9th-edition/c9780071834087ch02lev1sec15?s.num=3&amp;q=Table+2-147" TargetMode="External"/><Relationship Id="rId4" Type="http://schemas.openxmlformats.org/officeDocument/2006/relationships/hyperlink" Target="http://www.accessengineeringlibrary.com/browse/perrys-chemical-engineers-handbook-9th-edition/c9780071834087ch02lev1sec06?s.num=3&amp;q=Table+2-32&amp;book=Perry%27s+Chemical+Engineers%27+Handbook%2C+9th+Edition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cessengineeringlibrary.com/browse/perrys-chemical-engineers-handbook-9th-edition" TargetMode="External"/><Relationship Id="rId3" Type="http://schemas.openxmlformats.org/officeDocument/2006/relationships/hyperlink" Target="http://www.accessengineeringlibrary.com/browse/perrys-chemical-engineers-handbook-9th-edition/c9780071834087ch02lev1sec15?q=Table+2-139&amp;book=Perry%27s+Chemical+Engineers%27+Handbook%2C+9th+Edition" TargetMode="External"/><Relationship Id="rId7" Type="http://schemas.openxmlformats.org/officeDocument/2006/relationships/hyperlink" Target="http://accessengineeringlibrary.com/browse/perrys-chemical-engineers-handbook-eighth-edition/p200139d89972_96001" TargetMode="External"/><Relationship Id="rId2" Type="http://schemas.openxmlformats.org/officeDocument/2006/relationships/hyperlink" Target="http://www.accessengineeringlibrary.com/browse/perrys-chemical-engineers-handbook-9th-edition" TargetMode="External"/><Relationship Id="rId1" Type="http://schemas.openxmlformats.org/officeDocument/2006/relationships/hyperlink" Target="http://accessengineeringlibrary.com/browse/perrys-chemical-engineers-handbook-eighth-edition/p200139d89972_96001" TargetMode="External"/><Relationship Id="rId6" Type="http://schemas.openxmlformats.org/officeDocument/2006/relationships/hyperlink" Target="http://www.accessengineeringlibrary.com/browse/perrys-chemical-engineers-handbook-9th-edition/c9780071834087ch02lev1sec10?s.num=1&amp;q=Table+2-72" TargetMode="External"/><Relationship Id="rId5" Type="http://schemas.openxmlformats.org/officeDocument/2006/relationships/hyperlink" Target="http://www.accessengineeringlibrary.com/browse/perrys-chemical-engineers-handbook-9th-edition/c9780071834087ch02lev1sec15?s.num=3&amp;q=Table+2-147" TargetMode="External"/><Relationship Id="rId4" Type="http://schemas.openxmlformats.org/officeDocument/2006/relationships/hyperlink" Target="http://www.accessengineeringlibrary.com/browse/perrys-chemical-engineers-handbook-9th-edition/c9780071834087ch02lev1sec06?s.num=3&amp;q=Table+2-32&amp;book=Perry%27s+Chemical+Engineers%27+Handbook%2C+9th+Editio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accessengineeringlibrary.com/browse/piping-handbook-seventh-edition/p2000b0d5997E_13001?utm_source=2PipeHTExch%20SI&amp;utm_medium=Excel&amp;utm_content=Nayyar%20TE2.1M&amp;utm_campaign=TubeHTCoeff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www.accessengineeringlibrary.com/browse/handbook-of-chemical-engineering-calculations-fourth-edition/c9780071768047ch07" TargetMode="External"/><Relationship Id="rId6" Type="http://schemas.openxmlformats.org/officeDocument/2006/relationships/hyperlink" Target="https://www.accessengineeringlibrary.com/browse/perrys-chemical-engineers-handbook-9th-edition/c9780071834087ch05lev1sec03" TargetMode="External"/><Relationship Id="rId5" Type="http://schemas.openxmlformats.org/officeDocument/2006/relationships/hyperlink" Target="https://www.accessengineeringlibrary.com/browse/perrys-chemical-engineers-handbook-9th-edition/c9780071834087ch05lev1sec03" TargetMode="External"/><Relationship Id="rId4" Type="http://schemas.openxmlformats.org/officeDocument/2006/relationships/hyperlink" Target="http://www.accessengineeringlibrary.com/browse/handbook-of-chemical-engineering-calculations-fourth-edition/c9780071768047ch07?utm_source=2PipeHTExch%20SI&amp;utm_medium=Excel&amp;utm_content=HicksChem%20P7.14&amp;utm_campaign=TubeHTCoef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cessengineeringlibrary.com/browse/perrys-chemical-engineers-handbook-9th-edition/c9780071834087ch05lev1sec03" TargetMode="External"/><Relationship Id="rId3" Type="http://schemas.openxmlformats.org/officeDocument/2006/relationships/hyperlink" Target="http://www.accessengineeringlibrary.com/browse/handbook-of-chemical-engineering-calculations-fourth-edition/c9780071768047ch07" TargetMode="External"/><Relationship Id="rId7" Type="http://schemas.openxmlformats.org/officeDocument/2006/relationships/hyperlink" Target="https://www.accessengineeringlibrary.com/browse/perrys-chemical-engineers-handbook-9th-edition/c9780071834087ch05lev1sec03" TargetMode="External"/><Relationship Id="rId2" Type="http://schemas.openxmlformats.org/officeDocument/2006/relationships/hyperlink" Target="http://accessengineeringlibrary.com/browse/heat-transfer-in-process-engineering/p20018cf89970079001?utm_source=2PipeHTExch%20SI&amp;utm_medium=Excel&amp;utm_content=HTProcessEng%20T5-1&amp;utm_campaign=AnnulusHTCoeff" TargetMode="External"/><Relationship Id="rId1" Type="http://schemas.openxmlformats.org/officeDocument/2006/relationships/hyperlink" Target="http://accessengineeringlibrary.com/browse/heat-transfer-in-process-engineering/p20018cf89970079001" TargetMode="External"/><Relationship Id="rId6" Type="http://schemas.openxmlformats.org/officeDocument/2006/relationships/hyperlink" Target="http://accessengineeringlibrary.com/browse/piping-handbook-seventh-edition/p2000b0d5997E_13001?utm_source=2PipeHTExch%20SI&amp;utm_medium=Excel&amp;utm_content=Nayyar%20TE2.1M&amp;utm_campaign=AnnulusHTCoeff" TargetMode="External"/><Relationship Id="rId5" Type="http://schemas.openxmlformats.org/officeDocument/2006/relationships/hyperlink" Target="http://accessengineeringlibrary.com/browse/piping-handbook-seventh-edition/p2000b0d5997E_13001" TargetMode="External"/><Relationship Id="rId4" Type="http://schemas.openxmlformats.org/officeDocument/2006/relationships/hyperlink" Target="http://www.accessengineeringlibrary.com/browse/handbook-of-chemical-engineering-calculations-fourth-edition/c9780071768047ch07?utm_source=2PipeHTExch%20SI&amp;utm_medium=Excel&amp;utm_content=HicksChem%20P7.14&amp;utm_campaign=AnnulusHTCoeff" TargetMode="External"/><Relationship Id="rId9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cessengineeringlibrary.com/browse/marks-standard-handbook-for-mechanical-engineers-12th-edition/c9781259588501ch01lev1sec03" TargetMode="External"/><Relationship Id="rId13" Type="http://schemas.openxmlformats.org/officeDocument/2006/relationships/hyperlink" Target="http://www.accessengineeringlibrary.com/browse/perrys-chemical-engineers-handbook-9th-edition/c9780071834087ch06lev1sec01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http://accessengineeringlibrary.com/browse/thermal-science-essentials-of-thermodynamics-fluid-mechanics-and-heat-transfer/c9780071772341ch20?utm_source=2PipeHTExch%20SI&amp;utm_medium=Excel&amp;utm_content=Baskharone%2020&amp;utm_campaign=HTExchConfig" TargetMode="External"/><Relationship Id="rId7" Type="http://schemas.openxmlformats.org/officeDocument/2006/relationships/hyperlink" Target="http://accessengineeringlibrary.com/browse/heat-transfer-in-process-engineering/p20018cf89970079001?utm_source=2PipeHTExch%20SI&amp;utm_medium=Excel&amp;utm_content=HTProcessEng%205.7&amp;utm_campaign=HTExchConfig" TargetMode="External"/><Relationship Id="rId12" Type="http://schemas.openxmlformats.org/officeDocument/2006/relationships/hyperlink" Target="http://accessengineeringlibrary.com/browse/perrys-chemical-engineers-handbook-eighth-edition/p200139d899706_4001" TargetMode="External"/><Relationship Id="rId17" Type="http://schemas.openxmlformats.org/officeDocument/2006/relationships/hyperlink" Target="http://www.accessengineeringlibrary.com/perrys-chemical-engineers-handbook-9th-edition/c9780071834087ch06lev1sec01" TargetMode="External"/><Relationship Id="rId2" Type="http://schemas.openxmlformats.org/officeDocument/2006/relationships/hyperlink" Target="http://accessengineeringlibrary.com/browse/marks-standard-handbook-for-mechanical-engineers-eleventh-edition/p2001147c9973_29002" TargetMode="External"/><Relationship Id="rId16" Type="http://schemas.openxmlformats.org/officeDocument/2006/relationships/hyperlink" Target="http://accessengineeringlibrary.com/browse/perrys-chemical-engineers-handbook-eighth-edition/p200139d899706_4001?utm_source=Friction%20Factor%20SI&amp;utm_medium=Excel&amp;utm_content=Perrys%20E6-32&amp;utm_campaign=Press%20Drop" TargetMode="External"/><Relationship Id="rId1" Type="http://schemas.openxmlformats.org/officeDocument/2006/relationships/hyperlink" Target="http://accessengineeringlibrary.com/browse/handbook-of-chemical-engineering-calculations-fourth-edition/c9780071768047ch07?utm_source=2PipeHTExch%20SI&amp;utm_medium=Excel&amp;utm_content=HicksChem%207.27&amp;utm_campaign=HTExchConfig" TargetMode="External"/><Relationship Id="rId6" Type="http://schemas.openxmlformats.org/officeDocument/2006/relationships/hyperlink" Target="http://accessengineeringlibrary.com/browse/handbook-of-energy-engineering-calculations/c9780071745529ch11?utm_source=2PipeHTExch%20SI&amp;utm_medium=Excel&amp;utm_content=HicksEnergy%20Ch11_T2&amp;utm_campaign=HTExchConfig" TargetMode="External"/><Relationship Id="rId11" Type="http://schemas.openxmlformats.org/officeDocument/2006/relationships/hyperlink" Target="https://www.accessengineeringlibrary.com/browse/perrys-chemical-engineers-handbook-9th-edition/c9780071834087ch11lev1sec01" TargetMode="External"/><Relationship Id="rId5" Type="http://schemas.openxmlformats.org/officeDocument/2006/relationships/hyperlink" Target="http://accessengineeringlibrary.com/browse/heat-transfer-in-process-engineering/p20018cf89970079001?utm_source=2PipeHTExch%20SI&amp;utm_medium=Excel&amp;utm_content=HTProcessEng%205.7&amp;utm_campaign=HTExchConfig" TargetMode="External"/><Relationship Id="rId15" Type="http://schemas.openxmlformats.org/officeDocument/2006/relationships/hyperlink" Target="http://www.accessengineeringlibrary.com/browse/perrys-chemical-engineers-handbook-9th-edition/c9780071834087ch06lev1sec01" TargetMode="External"/><Relationship Id="rId10" Type="http://schemas.openxmlformats.org/officeDocument/2006/relationships/hyperlink" Target="https://www.accessengineeringlibrary.com/browse/perrys-chemical-engineers-handbook-9th-edition/c9780071834087ch11lev1sec01" TargetMode="External"/><Relationship Id="rId19" Type="http://schemas.openxmlformats.org/officeDocument/2006/relationships/drawing" Target="../drawings/drawing4.xml"/><Relationship Id="rId4" Type="http://schemas.openxmlformats.org/officeDocument/2006/relationships/hyperlink" Target="http://accessengineeringlibrary.com/browse/heat-transfer-in-process-engineering/p20018cf89970079001?utm_source=2PipeHTExch%20SI&amp;utm_medium=Excel&amp;utm_content=HTProcessEng%20T5-1&amp;utm_campaign=HTExchConfig" TargetMode="External"/><Relationship Id="rId9" Type="http://schemas.openxmlformats.org/officeDocument/2006/relationships/hyperlink" Target="https://www.accessengineeringlibrary.com/browse/perrys-chemical-engineers-handbook-9th-edition/c9780071834087ch11lev1sec01" TargetMode="External"/><Relationship Id="rId14" Type="http://schemas.openxmlformats.org/officeDocument/2006/relationships/hyperlink" Target="http://accessengineeringlibrary.com/browse/perrys-chemical-engineers-handbook-eighth-edition/p200139d899706_4001?utm_source=Friction%20Factor%20SI&amp;utm_medium=Excel&amp;utm_content=Perrys%20E6-32&amp;utm_campaign=Press%20D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T38"/>
  <sheetViews>
    <sheetView tabSelected="1" workbookViewId="0"/>
  </sheetViews>
  <sheetFormatPr defaultRowHeight="12.75" x14ac:dyDescent="0.2"/>
  <sheetData>
    <row r="9" spans="1:20" ht="23.25" x14ac:dyDescent="0.35">
      <c r="A9" s="143" t="s">
        <v>670</v>
      </c>
    </row>
    <row r="10" spans="1:20" ht="13.5" thickBot="1" x14ac:dyDescent="0.25"/>
    <row r="11" spans="1:20" ht="21" customHeight="1" thickBot="1" x14ac:dyDescent="0.3">
      <c r="B11" s="365" t="s">
        <v>217</v>
      </c>
      <c r="C11" s="366"/>
      <c r="D11" s="366"/>
      <c r="E11" s="366"/>
      <c r="F11" s="366"/>
      <c r="G11" s="366"/>
      <c r="H11" s="366"/>
      <c r="I11" s="366"/>
      <c r="J11" s="367"/>
    </row>
    <row r="12" spans="1:20" ht="15.75" x14ac:dyDescent="0.25">
      <c r="B12" s="46"/>
      <c r="C12" s="29"/>
      <c r="D12" s="29"/>
      <c r="E12" s="29"/>
      <c r="F12" s="29"/>
      <c r="G12" s="29"/>
      <c r="H12" s="29"/>
      <c r="I12" s="29"/>
      <c r="J12" s="30"/>
      <c r="L12" s="363"/>
      <c r="M12" s="364"/>
      <c r="N12" s="270"/>
      <c r="O12" s="270"/>
      <c r="P12" s="270"/>
      <c r="Q12" s="270"/>
      <c r="R12" s="270"/>
      <c r="S12" s="270"/>
      <c r="T12" s="21"/>
    </row>
    <row r="13" spans="1:20" ht="15.75" x14ac:dyDescent="0.25">
      <c r="B13" s="47" t="s">
        <v>1</v>
      </c>
      <c r="C13" s="29"/>
      <c r="D13" s="29"/>
      <c r="E13" s="29"/>
      <c r="F13" s="29"/>
      <c r="G13" s="29"/>
      <c r="H13" s="29"/>
      <c r="I13" s="29"/>
      <c r="J13" s="30"/>
      <c r="L13" s="46" t="s">
        <v>865</v>
      </c>
      <c r="M13" s="48"/>
      <c r="N13" s="29"/>
      <c r="O13" s="29"/>
      <c r="P13" s="29"/>
      <c r="Q13" s="29"/>
      <c r="R13" s="29"/>
      <c r="S13" s="29"/>
      <c r="T13" s="30"/>
    </row>
    <row r="14" spans="1:20" ht="15.75" x14ac:dyDescent="0.25">
      <c r="B14" s="47"/>
      <c r="C14" s="29"/>
      <c r="D14" s="29"/>
      <c r="E14" s="29"/>
      <c r="F14" s="29"/>
      <c r="G14" s="29"/>
      <c r="H14" s="29"/>
      <c r="I14" s="29"/>
      <c r="J14" s="30"/>
      <c r="L14" s="46" t="s">
        <v>866</v>
      </c>
      <c r="M14" s="29"/>
      <c r="N14" s="29"/>
      <c r="O14" s="29"/>
      <c r="P14" s="29"/>
      <c r="Q14" s="29"/>
      <c r="R14" s="29"/>
      <c r="S14" s="29"/>
      <c r="T14" s="30"/>
    </row>
    <row r="15" spans="1:20" ht="15.75" x14ac:dyDescent="0.25">
      <c r="B15" s="47"/>
      <c r="C15" s="48" t="s">
        <v>102</v>
      </c>
      <c r="D15" s="29"/>
      <c r="E15" s="29"/>
      <c r="F15" s="29"/>
      <c r="G15" s="29"/>
      <c r="H15" s="29"/>
      <c r="I15" s="29"/>
      <c r="J15" s="30"/>
      <c r="L15" s="46" t="s">
        <v>867</v>
      </c>
      <c r="M15" s="29"/>
      <c r="N15" s="29"/>
      <c r="O15" s="29"/>
      <c r="P15" s="29"/>
      <c r="Q15" s="29"/>
      <c r="R15" s="29"/>
      <c r="S15" s="29"/>
      <c r="T15" s="30"/>
    </row>
    <row r="16" spans="1:20" ht="15.75" thickBot="1" x14ac:dyDescent="0.25">
      <c r="B16" s="47"/>
      <c r="C16" s="29"/>
      <c r="D16" s="29"/>
      <c r="E16" s="29"/>
      <c r="F16" s="29"/>
      <c r="G16" s="29"/>
      <c r="H16" s="29"/>
      <c r="I16" s="29"/>
      <c r="J16" s="30"/>
      <c r="L16" s="34"/>
      <c r="M16" s="35"/>
      <c r="N16" s="35"/>
      <c r="O16" s="35"/>
      <c r="P16" s="35"/>
      <c r="Q16" s="35"/>
      <c r="R16" s="35"/>
      <c r="S16" s="35"/>
      <c r="T16" s="36"/>
    </row>
    <row r="17" spans="2:10" ht="15.75" x14ac:dyDescent="0.25">
      <c r="B17" s="47"/>
      <c r="C17" s="48" t="s">
        <v>616</v>
      </c>
      <c r="D17" s="29"/>
      <c r="E17" s="29"/>
      <c r="F17" s="29"/>
      <c r="G17" s="29"/>
      <c r="H17" s="29"/>
      <c r="I17" s="29"/>
      <c r="J17" s="30"/>
    </row>
    <row r="18" spans="2:10" ht="15" x14ac:dyDescent="0.2">
      <c r="B18" s="47"/>
      <c r="C18" s="48" t="s">
        <v>617</v>
      </c>
      <c r="D18" s="29"/>
      <c r="E18" s="29"/>
      <c r="F18" s="29"/>
      <c r="G18" s="29"/>
      <c r="H18" s="29"/>
      <c r="I18" s="29"/>
      <c r="J18" s="30"/>
    </row>
    <row r="19" spans="2:10" ht="15" x14ac:dyDescent="0.2">
      <c r="B19" s="47"/>
      <c r="C19" s="48"/>
      <c r="D19" s="29"/>
      <c r="E19" s="29"/>
      <c r="F19" s="29"/>
      <c r="G19" s="29"/>
      <c r="H19" s="29"/>
      <c r="I19" s="29"/>
      <c r="J19" s="30"/>
    </row>
    <row r="20" spans="2:10" ht="15.75" x14ac:dyDescent="0.25">
      <c r="B20" s="47"/>
      <c r="C20" s="48" t="s">
        <v>611</v>
      </c>
      <c r="D20" s="29"/>
      <c r="E20" s="29"/>
      <c r="F20" s="29"/>
      <c r="G20" s="29"/>
      <c r="H20" s="29"/>
      <c r="I20" s="29"/>
      <c r="J20" s="30"/>
    </row>
    <row r="21" spans="2:10" ht="15" x14ac:dyDescent="0.2">
      <c r="B21" s="47"/>
      <c r="C21" s="48" t="s">
        <v>218</v>
      </c>
      <c r="D21" s="29"/>
      <c r="E21" s="29"/>
      <c r="F21" s="29"/>
      <c r="G21" s="29"/>
      <c r="H21" s="29"/>
      <c r="I21" s="29"/>
      <c r="J21" s="30"/>
    </row>
    <row r="22" spans="2:10" ht="15" x14ac:dyDescent="0.2">
      <c r="B22" s="47"/>
      <c r="C22" s="48"/>
      <c r="D22" s="29"/>
      <c r="E22" s="29"/>
      <c r="F22" s="29"/>
      <c r="G22" s="29"/>
      <c r="H22" s="29"/>
      <c r="I22" s="29"/>
      <c r="J22" s="30"/>
    </row>
    <row r="23" spans="2:10" ht="15.75" x14ac:dyDescent="0.25">
      <c r="B23" s="47"/>
      <c r="C23" s="48" t="s">
        <v>612</v>
      </c>
      <c r="D23" s="29"/>
      <c r="E23" s="29"/>
      <c r="F23" s="29"/>
      <c r="G23" s="29"/>
      <c r="H23" s="29"/>
      <c r="I23" s="29"/>
      <c r="J23" s="30"/>
    </row>
    <row r="24" spans="2:10" ht="15.75" customHeight="1" x14ac:dyDescent="0.2">
      <c r="B24" s="47"/>
      <c r="C24" s="48" t="s">
        <v>219</v>
      </c>
      <c r="D24" s="29"/>
      <c r="E24" s="29"/>
      <c r="F24" s="29"/>
      <c r="G24" s="29"/>
      <c r="H24" s="29"/>
      <c r="I24" s="29"/>
      <c r="J24" s="30"/>
    </row>
    <row r="25" spans="2:10" ht="15" x14ac:dyDescent="0.2">
      <c r="B25" s="28"/>
      <c r="C25" s="48"/>
      <c r="D25" s="29"/>
      <c r="E25" s="29"/>
      <c r="F25" s="29"/>
      <c r="G25" s="29"/>
      <c r="H25" s="29"/>
      <c r="I25" s="29"/>
      <c r="J25" s="30"/>
    </row>
    <row r="26" spans="2:10" ht="15.75" x14ac:dyDescent="0.25">
      <c r="B26" s="28"/>
      <c r="C26" s="223" t="s">
        <v>663</v>
      </c>
      <c r="D26" s="29"/>
      <c r="E26" s="29"/>
      <c r="F26" s="29"/>
      <c r="G26" s="29"/>
      <c r="H26" s="29"/>
      <c r="I26" s="29"/>
      <c r="J26" s="30"/>
    </row>
    <row r="27" spans="2:10" x14ac:dyDescent="0.2">
      <c r="B27" s="28"/>
      <c r="C27" s="29"/>
      <c r="D27" s="29"/>
      <c r="E27" s="29"/>
      <c r="F27" s="29"/>
      <c r="G27" s="29"/>
      <c r="H27" s="29"/>
      <c r="I27" s="29"/>
      <c r="J27" s="30"/>
    </row>
    <row r="28" spans="2:10" ht="15.75" x14ac:dyDescent="0.25">
      <c r="B28" s="47"/>
      <c r="C28" s="48" t="s">
        <v>613</v>
      </c>
      <c r="D28" s="29"/>
      <c r="E28" s="29"/>
      <c r="F28" s="29"/>
      <c r="G28" s="29"/>
      <c r="H28" s="29"/>
      <c r="I28" s="29"/>
      <c r="J28" s="30"/>
    </row>
    <row r="29" spans="2:10" x14ac:dyDescent="0.2">
      <c r="B29" s="28"/>
      <c r="C29" s="29"/>
      <c r="D29" s="29"/>
      <c r="E29" s="29"/>
      <c r="F29" s="29"/>
      <c r="G29" s="29"/>
      <c r="H29" s="29"/>
      <c r="I29" s="29"/>
      <c r="J29" s="30"/>
    </row>
    <row r="30" spans="2:10" ht="15.75" x14ac:dyDescent="0.25">
      <c r="B30" s="28"/>
      <c r="C30" s="48" t="s">
        <v>614</v>
      </c>
      <c r="D30" s="29"/>
      <c r="E30" s="29"/>
      <c r="F30" s="29"/>
      <c r="G30" s="29"/>
      <c r="H30" s="29"/>
      <c r="I30" s="29"/>
      <c r="J30" s="30"/>
    </row>
    <row r="31" spans="2:10" ht="15" x14ac:dyDescent="0.2">
      <c r="B31" s="28"/>
      <c r="C31" s="48"/>
      <c r="D31" s="29"/>
      <c r="E31" s="29"/>
      <c r="F31" s="29"/>
      <c r="G31" s="29"/>
      <c r="H31" s="29"/>
      <c r="I31" s="29"/>
      <c r="J31" s="30"/>
    </row>
    <row r="32" spans="2:10" ht="15.75" x14ac:dyDescent="0.25">
      <c r="B32" s="28"/>
      <c r="C32" s="48" t="s">
        <v>615</v>
      </c>
      <c r="D32" s="29"/>
      <c r="E32" s="29"/>
      <c r="F32" s="29"/>
      <c r="G32" s="29"/>
      <c r="H32" s="29"/>
      <c r="I32" s="29"/>
      <c r="J32" s="30"/>
    </row>
    <row r="33" spans="2:10" ht="14.25" x14ac:dyDescent="0.2">
      <c r="B33" s="39"/>
      <c r="C33" s="29"/>
      <c r="D33" s="29"/>
      <c r="E33" s="29"/>
      <c r="F33" s="29"/>
      <c r="G33" s="29"/>
      <c r="H33" s="29"/>
      <c r="I33" s="29"/>
      <c r="J33" s="30"/>
    </row>
    <row r="34" spans="2:10" ht="14.25" x14ac:dyDescent="0.2">
      <c r="B34" s="39"/>
      <c r="C34" s="29"/>
      <c r="D34" s="29"/>
      <c r="E34" s="29"/>
      <c r="F34" s="29"/>
      <c r="G34" s="29"/>
      <c r="H34" s="29"/>
      <c r="I34" s="29"/>
      <c r="J34" s="30"/>
    </row>
    <row r="35" spans="2:10" ht="13.5" thickBot="1" x14ac:dyDescent="0.25">
      <c r="B35" s="34"/>
      <c r="C35" s="35"/>
      <c r="D35" s="35"/>
      <c r="E35" s="35"/>
      <c r="F35" s="35"/>
      <c r="G35" s="35"/>
      <c r="H35" s="35"/>
      <c r="I35" s="35"/>
      <c r="J35" s="36"/>
    </row>
    <row r="38" spans="2:10" ht="14.25" x14ac:dyDescent="0.2">
      <c r="B38" s="205" t="s">
        <v>841</v>
      </c>
    </row>
  </sheetData>
  <sheetProtection sheet="1" objects="1" scenarios="1"/>
  <mergeCells count="1">
    <mergeCell ref="B11:J11"/>
  </mergeCells>
  <phoneticPr fontId="37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zoomScaleNormal="100" workbookViewId="0"/>
  </sheetViews>
  <sheetFormatPr defaultRowHeight="12.75" x14ac:dyDescent="0.2"/>
  <sheetData>
    <row r="1" spans="1:4" ht="18" x14ac:dyDescent="0.25">
      <c r="A1" s="289" t="s">
        <v>671</v>
      </c>
    </row>
    <row r="3" spans="1:4" ht="18" x14ac:dyDescent="0.25">
      <c r="A3" s="289" t="s">
        <v>618</v>
      </c>
    </row>
    <row r="5" spans="1:4" x14ac:dyDescent="0.2">
      <c r="A5" t="s">
        <v>619</v>
      </c>
    </row>
    <row r="6" spans="1:4" x14ac:dyDescent="0.2">
      <c r="A6" t="s">
        <v>620</v>
      </c>
    </row>
    <row r="7" spans="1:4" x14ac:dyDescent="0.2">
      <c r="A7" t="s">
        <v>621</v>
      </c>
    </row>
    <row r="9" spans="1:4" x14ac:dyDescent="0.2">
      <c r="A9" s="229" t="s">
        <v>632</v>
      </c>
    </row>
    <row r="10" spans="1:4" x14ac:dyDescent="0.2">
      <c r="D10" s="229" t="s">
        <v>633</v>
      </c>
    </row>
    <row r="11" spans="1:4" x14ac:dyDescent="0.2">
      <c r="D11" s="229" t="s">
        <v>622</v>
      </c>
    </row>
    <row r="13" spans="1:4" x14ac:dyDescent="0.2">
      <c r="D13" t="s">
        <v>782</v>
      </c>
    </row>
    <row r="14" spans="1:4" x14ac:dyDescent="0.2">
      <c r="D14" s="229" t="s">
        <v>635</v>
      </c>
    </row>
    <row r="15" spans="1:4" x14ac:dyDescent="0.2">
      <c r="D15" s="229" t="s">
        <v>634</v>
      </c>
    </row>
    <row r="17" spans="1:4" x14ac:dyDescent="0.2">
      <c r="A17" s="229" t="s">
        <v>636</v>
      </c>
    </row>
    <row r="18" spans="1:4" x14ac:dyDescent="0.2">
      <c r="D18" s="229" t="s">
        <v>633</v>
      </c>
    </row>
    <row r="19" spans="1:4" x14ac:dyDescent="0.2">
      <c r="D19" s="229" t="s">
        <v>819</v>
      </c>
    </row>
    <row r="21" spans="1:4" x14ac:dyDescent="0.2">
      <c r="D21" t="s">
        <v>783</v>
      </c>
    </row>
    <row r="22" spans="1:4" x14ac:dyDescent="0.2">
      <c r="D22" s="229" t="s">
        <v>635</v>
      </c>
    </row>
    <row r="23" spans="1:4" x14ac:dyDescent="0.2">
      <c r="D23" s="229" t="s">
        <v>634</v>
      </c>
    </row>
    <row r="25" spans="1:4" x14ac:dyDescent="0.2">
      <c r="A25" s="229" t="s">
        <v>820</v>
      </c>
    </row>
    <row r="26" spans="1:4" x14ac:dyDescent="0.2">
      <c r="D26" s="229" t="s">
        <v>623</v>
      </c>
    </row>
    <row r="27" spans="1:4" x14ac:dyDescent="0.2">
      <c r="D27" s="229" t="s">
        <v>810</v>
      </c>
    </row>
    <row r="29" spans="1:4" x14ac:dyDescent="0.2">
      <c r="D29" s="229" t="s">
        <v>624</v>
      </c>
    </row>
    <row r="30" spans="1:4" x14ac:dyDescent="0.2">
      <c r="D30" s="229" t="s">
        <v>625</v>
      </c>
    </row>
    <row r="32" spans="1:4" x14ac:dyDescent="0.2">
      <c r="A32" s="229" t="s">
        <v>644</v>
      </c>
    </row>
    <row r="33" spans="1:4" x14ac:dyDescent="0.2">
      <c r="D33" s="229" t="s">
        <v>799</v>
      </c>
    </row>
    <row r="34" spans="1:4" x14ac:dyDescent="0.2">
      <c r="D34" s="229" t="s">
        <v>811</v>
      </c>
    </row>
    <row r="35" spans="1:4" x14ac:dyDescent="0.2">
      <c r="D35" s="229" t="s">
        <v>798</v>
      </c>
    </row>
    <row r="36" spans="1:4" x14ac:dyDescent="0.2">
      <c r="D36" s="229" t="s">
        <v>812</v>
      </c>
    </row>
    <row r="37" spans="1:4" x14ac:dyDescent="0.2">
      <c r="D37" s="229"/>
    </row>
    <row r="38" spans="1:4" x14ac:dyDescent="0.2">
      <c r="D38" s="229" t="s">
        <v>813</v>
      </c>
    </row>
    <row r="40" spans="1:4" x14ac:dyDescent="0.2">
      <c r="D40" s="229" t="s">
        <v>626</v>
      </c>
    </row>
    <row r="41" spans="1:4" x14ac:dyDescent="0.2">
      <c r="D41" s="229" t="s">
        <v>627</v>
      </c>
    </row>
    <row r="43" spans="1:4" x14ac:dyDescent="0.2">
      <c r="D43" s="229" t="s">
        <v>821</v>
      </c>
    </row>
    <row r="44" spans="1:4" x14ac:dyDescent="0.2">
      <c r="D44" s="229" t="s">
        <v>822</v>
      </c>
    </row>
    <row r="45" spans="1:4" x14ac:dyDescent="0.2">
      <c r="D45" s="229" t="s">
        <v>630</v>
      </c>
    </row>
    <row r="46" spans="1:4" x14ac:dyDescent="0.2">
      <c r="D46" s="229" t="s">
        <v>629</v>
      </c>
    </row>
    <row r="48" spans="1:4" x14ac:dyDescent="0.2">
      <c r="A48" s="229" t="s">
        <v>645</v>
      </c>
    </row>
    <row r="49" spans="1:4" x14ac:dyDescent="0.2">
      <c r="D49" s="229" t="s">
        <v>800</v>
      </c>
    </row>
    <row r="50" spans="1:4" x14ac:dyDescent="0.2">
      <c r="D50" s="229" t="s">
        <v>801</v>
      </c>
    </row>
    <row r="51" spans="1:4" x14ac:dyDescent="0.2">
      <c r="D51" s="229" t="s">
        <v>802</v>
      </c>
    </row>
    <row r="52" spans="1:4" x14ac:dyDescent="0.2">
      <c r="D52" s="229"/>
    </row>
    <row r="53" spans="1:4" x14ac:dyDescent="0.2">
      <c r="D53" s="229" t="s">
        <v>626</v>
      </c>
    </row>
    <row r="54" spans="1:4" x14ac:dyDescent="0.2">
      <c r="D54" s="229" t="s">
        <v>627</v>
      </c>
    </row>
    <row r="56" spans="1:4" x14ac:dyDescent="0.2">
      <c r="D56" s="229" t="s">
        <v>821</v>
      </c>
    </row>
    <row r="57" spans="1:4" x14ac:dyDescent="0.2">
      <c r="D57" s="229" t="s">
        <v>822</v>
      </c>
    </row>
    <row r="58" spans="1:4" x14ac:dyDescent="0.2">
      <c r="D58" s="229" t="s">
        <v>630</v>
      </c>
    </row>
    <row r="59" spans="1:4" x14ac:dyDescent="0.2">
      <c r="D59" s="229" t="s">
        <v>629</v>
      </c>
    </row>
    <row r="61" spans="1:4" x14ac:dyDescent="0.2">
      <c r="A61" s="229" t="s">
        <v>665</v>
      </c>
    </row>
    <row r="62" spans="1:4" x14ac:dyDescent="0.2">
      <c r="D62" s="229" t="s">
        <v>666</v>
      </c>
    </row>
    <row r="63" spans="1:4" ht="14.25" x14ac:dyDescent="0.2">
      <c r="D63" s="229" t="s">
        <v>803</v>
      </c>
    </row>
    <row r="64" spans="1:4" x14ac:dyDescent="0.2">
      <c r="D64" s="229" t="s">
        <v>804</v>
      </c>
    </row>
    <row r="65" spans="1:4" x14ac:dyDescent="0.2">
      <c r="A65" s="229"/>
    </row>
    <row r="66" spans="1:4" x14ac:dyDescent="0.2">
      <c r="D66" s="229" t="s">
        <v>805</v>
      </c>
    </row>
    <row r="67" spans="1:4" x14ac:dyDescent="0.2">
      <c r="D67" s="229" t="s">
        <v>807</v>
      </c>
    </row>
    <row r="68" spans="1:4" x14ac:dyDescent="0.2">
      <c r="D68" s="229" t="s">
        <v>806</v>
      </c>
    </row>
    <row r="70" spans="1:4" x14ac:dyDescent="0.2">
      <c r="D70" s="229" t="s">
        <v>628</v>
      </c>
    </row>
    <row r="71" spans="1:4" x14ac:dyDescent="0.2">
      <c r="D71" s="229" t="s">
        <v>808</v>
      </c>
    </row>
    <row r="72" spans="1:4" x14ac:dyDescent="0.2">
      <c r="D72" s="229" t="s">
        <v>823</v>
      </c>
    </row>
    <row r="73" spans="1:4" x14ac:dyDescent="0.2">
      <c r="D73" s="229" t="s">
        <v>809</v>
      </c>
    </row>
    <row r="74" spans="1:4" x14ac:dyDescent="0.2">
      <c r="D74" s="229"/>
    </row>
    <row r="75" spans="1:4" x14ac:dyDescent="0.2">
      <c r="D75" s="229" t="s">
        <v>669</v>
      </c>
    </row>
    <row r="76" spans="1:4" x14ac:dyDescent="0.2">
      <c r="D76" s="229"/>
    </row>
    <row r="77" spans="1:4" x14ac:dyDescent="0.2">
      <c r="D77" s="229"/>
    </row>
    <row r="78" spans="1:4" x14ac:dyDescent="0.2">
      <c r="D78" s="229"/>
    </row>
    <row r="79" spans="1:4" ht="14.25" x14ac:dyDescent="0.2">
      <c r="B79" s="205" t="s">
        <v>841</v>
      </c>
    </row>
    <row r="81" spans="4:4" x14ac:dyDescent="0.2">
      <c r="D81" s="229"/>
    </row>
  </sheetData>
  <sheetProtection sheet="1" objects="1" scenarios="1"/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U124"/>
  <sheetViews>
    <sheetView showGridLines="0" workbookViewId="0"/>
  </sheetViews>
  <sheetFormatPr defaultRowHeight="12.75" x14ac:dyDescent="0.2"/>
  <cols>
    <col min="1" max="1" width="11.5703125" customWidth="1"/>
    <col min="2" max="2" width="5.5703125" customWidth="1"/>
    <col min="3" max="3" width="29.140625" customWidth="1"/>
    <col min="4" max="4" width="20" customWidth="1"/>
    <col min="5" max="5" width="11.42578125" customWidth="1"/>
    <col min="6" max="6" width="10.5703125" customWidth="1"/>
    <col min="7" max="7" width="15.28515625" customWidth="1"/>
    <col min="8" max="8" width="9.5703125" customWidth="1"/>
    <col min="9" max="9" width="2.7109375" customWidth="1"/>
    <col min="10" max="10" width="19.85546875" style="2" customWidth="1"/>
    <col min="11" max="11" width="18" style="2" customWidth="1"/>
    <col min="16" max="16" width="10.42578125" customWidth="1"/>
    <col min="17" max="17" width="16.5703125" style="1" customWidth="1"/>
    <col min="18" max="22" width="10.42578125" style="1" customWidth="1"/>
    <col min="23" max="23" width="3.140625" customWidth="1"/>
    <col min="24" max="24" width="15.42578125" customWidth="1"/>
    <col min="25" max="25" width="9.5703125" customWidth="1"/>
    <col min="26" max="26" width="10.5703125" customWidth="1"/>
    <col min="27" max="27" width="10" customWidth="1"/>
    <col min="28" max="28" width="10.28515625" customWidth="1"/>
    <col min="29" max="29" width="11.140625" customWidth="1"/>
    <col min="30" max="30" width="19.5703125" customWidth="1"/>
    <col min="31" max="31" width="10.7109375" customWidth="1"/>
    <col min="32" max="32" width="10.5703125" customWidth="1"/>
    <col min="33" max="33" width="13" customWidth="1"/>
    <col min="34" max="34" width="10.5703125" customWidth="1"/>
    <col min="36" max="36" width="6.28515625" customWidth="1"/>
    <col min="37" max="37" width="4" customWidth="1"/>
  </cols>
  <sheetData>
    <row r="1" spans="1:47" ht="15" thickBot="1" x14ac:dyDescent="0.25">
      <c r="J1" s="57" t="s">
        <v>239</v>
      </c>
      <c r="K1" s="58"/>
      <c r="L1" s="58"/>
      <c r="M1" s="58"/>
      <c r="N1" s="58"/>
      <c r="Q1" s="57"/>
    </row>
    <row r="2" spans="1:47" ht="26.25" customHeight="1" x14ac:dyDescent="0.25">
      <c r="B2" s="383" t="s">
        <v>674</v>
      </c>
      <c r="C2" s="384"/>
      <c r="D2" s="384"/>
      <c r="E2" s="384"/>
      <c r="F2" s="385"/>
      <c r="J2" s="395" t="s">
        <v>869</v>
      </c>
      <c r="K2" s="395"/>
      <c r="L2" s="395"/>
      <c r="M2" s="395"/>
      <c r="N2" s="395"/>
      <c r="O2" s="395"/>
      <c r="Q2" s="396"/>
      <c r="R2" s="396"/>
      <c r="S2" s="396"/>
      <c r="T2" s="396"/>
      <c r="U2" s="396"/>
    </row>
    <row r="3" spans="1:47" ht="20.25" customHeight="1" x14ac:dyDescent="0.25">
      <c r="B3" s="389" t="s">
        <v>675</v>
      </c>
      <c r="C3" s="390"/>
      <c r="D3" s="390"/>
      <c r="E3" s="390"/>
      <c r="F3" s="391"/>
      <c r="J3" s="395" t="s">
        <v>870</v>
      </c>
      <c r="K3" s="395"/>
      <c r="L3" s="395"/>
      <c r="M3" s="401" t="s">
        <v>230</v>
      </c>
      <c r="N3" s="401"/>
      <c r="O3" s="401"/>
      <c r="Q3" s="402" t="s">
        <v>871</v>
      </c>
      <c r="R3" s="402"/>
      <c r="S3" s="402"/>
      <c r="T3" s="58"/>
      <c r="U3" s="402" t="s">
        <v>872</v>
      </c>
      <c r="V3" s="402"/>
      <c r="W3" s="402"/>
    </row>
    <row r="4" spans="1:47" ht="28.5" customHeight="1" thickBot="1" x14ac:dyDescent="0.25">
      <c r="B4" s="386" t="s">
        <v>676</v>
      </c>
      <c r="C4" s="387"/>
      <c r="D4" s="387"/>
      <c r="E4" s="387"/>
      <c r="F4" s="388"/>
      <c r="J4"/>
      <c r="K4"/>
    </row>
    <row r="5" spans="1:47" ht="15.75" x14ac:dyDescent="0.25">
      <c r="E5" s="9"/>
      <c r="F5" s="9"/>
      <c r="J5" s="79" t="s">
        <v>274</v>
      </c>
      <c r="K5"/>
    </row>
    <row r="6" spans="1:47" ht="16.5" customHeight="1" x14ac:dyDescent="0.25">
      <c r="A6" s="3"/>
      <c r="B6" s="60"/>
      <c r="D6" s="3"/>
      <c r="E6" s="9"/>
      <c r="F6" s="9"/>
      <c r="J6" s="79" t="s">
        <v>275</v>
      </c>
      <c r="K6"/>
    </row>
    <row r="7" spans="1:47" ht="17.25" customHeight="1" thickBot="1" x14ac:dyDescent="0.3">
      <c r="B7" s="60" t="s">
        <v>858</v>
      </c>
      <c r="E7" s="9"/>
      <c r="F7" s="9"/>
      <c r="J7"/>
      <c r="K7"/>
    </row>
    <row r="8" spans="1:47" ht="15.75" x14ac:dyDescent="0.25">
      <c r="B8" s="61" t="s">
        <v>281</v>
      </c>
      <c r="D8" s="3"/>
      <c r="E8" s="9"/>
      <c r="F8" s="9"/>
      <c r="I8" s="50"/>
      <c r="J8" s="90"/>
      <c r="K8" s="90"/>
      <c r="L8" s="51"/>
      <c r="M8" s="51"/>
      <c r="N8" s="51"/>
      <c r="O8" s="51"/>
      <c r="P8" s="51"/>
      <c r="Q8" s="91"/>
      <c r="R8" s="91"/>
      <c r="S8" s="91"/>
      <c r="T8" s="91"/>
      <c r="U8" s="9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2"/>
      <c r="AL8" s="403" t="s">
        <v>195</v>
      </c>
      <c r="AM8" s="404"/>
      <c r="AN8" s="404"/>
      <c r="AO8" s="404"/>
      <c r="AP8" s="404"/>
      <c r="AQ8" s="404"/>
      <c r="AR8" s="404"/>
      <c r="AS8" s="405"/>
    </row>
    <row r="9" spans="1:47" ht="15.75" x14ac:dyDescent="0.25">
      <c r="B9" s="60" t="s">
        <v>280</v>
      </c>
      <c r="E9" s="9"/>
      <c r="F9" s="9"/>
      <c r="I9" s="4"/>
      <c r="J9" s="399" t="s">
        <v>84</v>
      </c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50"/>
      <c r="AL9" s="403" t="s">
        <v>196</v>
      </c>
      <c r="AM9" s="405"/>
      <c r="AN9" s="403" t="s">
        <v>197</v>
      </c>
      <c r="AO9" s="405"/>
      <c r="AP9" s="403" t="s">
        <v>198</v>
      </c>
      <c r="AQ9" s="405"/>
      <c r="AR9" s="403" t="s">
        <v>257</v>
      </c>
      <c r="AS9" s="405"/>
      <c r="AT9" s="126" t="s">
        <v>228</v>
      </c>
    </row>
    <row r="10" spans="1:47" ht="15.75" thickBot="1" x14ac:dyDescent="0.25">
      <c r="D10" s="3"/>
      <c r="E10" s="9"/>
      <c r="F10" s="9"/>
      <c r="I10" s="4"/>
      <c r="J10" s="86"/>
      <c r="K10" s="13" t="str">
        <f>VLOOKUP($D$13,$J$13:$P$87,2)</f>
        <v xml:space="preserve"> -83 to 250</v>
      </c>
      <c r="L10" s="13">
        <f>VLOOKUP($D$13,$J$13:$P$86,3)</f>
        <v>0.89959999999999996</v>
      </c>
      <c r="M10" s="13">
        <f>VLOOKUP($D$13,$J$13:$P$86,4)</f>
        <v>0.25856000000000001</v>
      </c>
      <c r="N10" s="13">
        <f>VLOOKUP($D$13,$J$13:$P$86,5)</f>
        <v>523.29999999999995</v>
      </c>
      <c r="O10" s="13">
        <f>VLOOKUP($D$13,$J$13:$P$86,6)</f>
        <v>0.27800000000000002</v>
      </c>
      <c r="P10" s="13">
        <f>VLOOKUP($D$13,$J$13:$P$86,7)</f>
        <v>88.105000000000004</v>
      </c>
      <c r="Q10" s="133" t="str">
        <f>VLOOKUP($D$13,$J$13:$V$86,8)</f>
        <v xml:space="preserve"> -53 to 200</v>
      </c>
      <c r="R10" s="13">
        <f>VLOOKUP($D$13,$J$13:$V$86,9)</f>
        <v>14.353999999999999</v>
      </c>
      <c r="S10" s="13">
        <f>VLOOKUP($D$13,$J$13:$V$86,10)</f>
        <v>-154.6</v>
      </c>
      <c r="T10" s="13">
        <f>VLOOKUP($D$13,$J$13:$V$86,11)</f>
        <v>-3.7887</v>
      </c>
      <c r="U10" s="13">
        <f>VLOOKUP($D$13,$J$13:$V$86,12)</f>
        <v>0</v>
      </c>
      <c r="V10" s="13">
        <f>VLOOKUP($D$13,$J$13:$V$86,13)</f>
        <v>0</v>
      </c>
      <c r="W10" s="17"/>
      <c r="X10" s="13" t="str">
        <f>VLOOKUP($D$13,$J$13:$AC$86,15)</f>
        <v xml:space="preserve"> -118 to 272</v>
      </c>
      <c r="Y10" s="13">
        <f>VLOOKUP($D$13,$J$13:$AC$86,16)</f>
        <v>226230</v>
      </c>
      <c r="Z10" s="13">
        <f>VLOOKUP($D$13,$J$13:$AC$86,17)</f>
        <v>-624.79999999999995</v>
      </c>
      <c r="AA10" s="13">
        <f>VLOOKUP($D$13,$J$13:$AC$86,18)</f>
        <v>1.472</v>
      </c>
      <c r="AB10" s="13">
        <f>VLOOKUP($D$13,$J$13:$AC$86,19)</f>
        <v>0</v>
      </c>
      <c r="AC10" s="13">
        <f>VLOOKUP($D$13,$J$13:$AC$86,20)</f>
        <v>0</v>
      </c>
      <c r="AD10" s="170"/>
      <c r="AE10" s="13" t="str">
        <f>VLOOKUP($D$13,$J$13:$AJ$87,22)</f>
        <v xml:space="preserve"> -84 to 77</v>
      </c>
      <c r="AF10" s="13">
        <f>VLOOKUP($D$13,$J$13:$AJ$87,23)</f>
        <v>0.25009999999999999</v>
      </c>
      <c r="AG10" s="13">
        <f>VLOOKUP($D$13,$J$13:$AJ$87,24)</f>
        <v>-3.5630000000000004E-4</v>
      </c>
      <c r="AH10" s="13">
        <f>VLOOKUP($D$13,$J$13:$AJ$87,25)</f>
        <v>0</v>
      </c>
      <c r="AI10" s="13">
        <f>VLOOKUP($D$13,$J$13:$AJ$87,26)</f>
        <v>0</v>
      </c>
      <c r="AJ10" s="151"/>
      <c r="AL10" s="96">
        <f>VLOOKUP($D$13,$J$13:$AS$86,29)</f>
        <v>-83</v>
      </c>
      <c r="AM10" s="96">
        <f>VLOOKUP($D$13,$J$13:$AQ$86,30)</f>
        <v>250</v>
      </c>
      <c r="AN10" s="96">
        <f>VLOOKUP($D$13,$J$13:$AQ$86,31)</f>
        <v>-53</v>
      </c>
      <c r="AO10" s="96">
        <f>VLOOKUP($D$13,$J$13:$AQ$86,32)</f>
        <v>200</v>
      </c>
      <c r="AP10" s="96">
        <f>VLOOKUP($D$13,$J$13:$AQ$86,33)</f>
        <v>-83</v>
      </c>
      <c r="AQ10" s="96">
        <f>VLOOKUP($D$13,$J$13:$AQ$86,34)</f>
        <v>133</v>
      </c>
      <c r="AR10" s="96">
        <f>VLOOKUP($D$13,$J$13:$AS$87,35)</f>
        <v>-84</v>
      </c>
      <c r="AS10" s="96">
        <f>VLOOKUP($D$13,$J$13:$AS$87,36)</f>
        <v>77</v>
      </c>
      <c r="AT10" s="127">
        <f>(D18+273.15)</f>
        <v>329.15</v>
      </c>
    </row>
    <row r="11" spans="1:47" ht="15" x14ac:dyDescent="0.2">
      <c r="A11" s="377" t="s">
        <v>107</v>
      </c>
      <c r="C11" s="378" t="s">
        <v>194</v>
      </c>
      <c r="D11" s="379"/>
      <c r="F11" s="362" t="s">
        <v>103</v>
      </c>
      <c r="G11" s="362"/>
      <c r="H11" s="362"/>
      <c r="I11" s="4"/>
      <c r="J11" s="23" t="s">
        <v>83</v>
      </c>
      <c r="K11" s="83">
        <f>IF(D13="Water",P10*(17.863+(58.606*(1-((D18+273.15)/(647.096)))^0.35)-(95.396*(1-((D18+273.15)/(647.096)))^(2/3))+(213.89*(1-((D18+273.15)/(647.096))))-(141.26*(1-((D18+273.15)/(647.096)))^(4/3))),P10*L10/(M10^(1+(1-(((D18+273.15))/N10))^O10)))</f>
        <v>855.86170876732001</v>
      </c>
      <c r="L11" s="397" t="s">
        <v>80</v>
      </c>
      <c r="M11" s="397"/>
      <c r="N11" s="397"/>
      <c r="O11" s="397"/>
      <c r="P11" s="398"/>
      <c r="Q11" s="94">
        <f>EXP(R10+(S10/((D18+273.15)))+(T10*LN((D18+273.15)))+(U10*((D18+273.15))^V10))</f>
        <v>3.1061832646173105E-4</v>
      </c>
      <c r="R11" s="397" t="s">
        <v>81</v>
      </c>
      <c r="S11" s="397"/>
      <c r="T11" s="397"/>
      <c r="U11" s="397"/>
      <c r="V11" s="397"/>
      <c r="W11" s="12"/>
      <c r="X11" s="94">
        <f>IF(D13="Heptane",(1/P10)*(((Y10^2)/AT12)+Z10-(2*Y10*AA10*AT12)-(Y10*AB10*(AT12^2))-(((AA10^2)*AT12^3)/3)-(AA10*AB10*(AT12^4))-((AC10^2)*(AT12^5)/5)),(1/P10)*(Y10+(Z10*((D18+273.15)))+(AA10*(((D18+273.15))^2))+(AB10*(((D18+273.15))^3))+(AC10*(((D18+273.15))^4))))</f>
        <v>2043.6201296180691</v>
      </c>
      <c r="Y11" s="397" t="s">
        <v>124</v>
      </c>
      <c r="Z11" s="397"/>
      <c r="AA11" s="397"/>
      <c r="AB11" s="397"/>
      <c r="AC11" s="397"/>
      <c r="AD11" s="15"/>
      <c r="AE11" s="94">
        <f>AF10+(AG10*(D18+273.15))+(AH10*((D18+273.15)^2))+(AI10*((D18+273.15)^3))+(AJ10*((D18+273.15)^4))</f>
        <v>0.13282385499999999</v>
      </c>
      <c r="AF11" s="397" t="s">
        <v>256</v>
      </c>
      <c r="AG11" s="397"/>
      <c r="AH11" s="397"/>
      <c r="AI11" s="397"/>
      <c r="AJ11" s="409"/>
      <c r="AL11" s="107"/>
      <c r="AM11" s="109"/>
      <c r="AN11" s="107"/>
      <c r="AO11" s="109"/>
      <c r="AP11" s="108"/>
      <c r="AQ11" s="109"/>
      <c r="AR11" s="108"/>
      <c r="AS11" s="109"/>
      <c r="AT11" s="407" t="s">
        <v>229</v>
      </c>
      <c r="AU11" s="408"/>
    </row>
    <row r="12" spans="1:47" ht="15" customHeight="1" x14ac:dyDescent="0.2">
      <c r="A12" s="377"/>
      <c r="C12" s="4"/>
      <c r="D12" s="5"/>
      <c r="F12" s="406" t="s">
        <v>104</v>
      </c>
      <c r="G12" s="406"/>
      <c r="H12" s="406"/>
      <c r="I12" s="4"/>
      <c r="J12" s="14"/>
      <c r="K12" s="16" t="s">
        <v>307</v>
      </c>
      <c r="L12" s="10" t="s">
        <v>75</v>
      </c>
      <c r="M12" s="10" t="s">
        <v>76</v>
      </c>
      <c r="N12" s="10" t="s">
        <v>77</v>
      </c>
      <c r="O12" s="10" t="s">
        <v>78</v>
      </c>
      <c r="P12" s="53" t="s">
        <v>79</v>
      </c>
      <c r="Q12" s="16" t="s">
        <v>307</v>
      </c>
      <c r="R12" s="10" t="s">
        <v>75</v>
      </c>
      <c r="S12" s="10" t="s">
        <v>76</v>
      </c>
      <c r="T12" s="10" t="s">
        <v>77</v>
      </c>
      <c r="U12" s="10" t="s">
        <v>78</v>
      </c>
      <c r="V12" s="10" t="s">
        <v>82</v>
      </c>
      <c r="W12" s="12"/>
      <c r="X12" s="317" t="s">
        <v>307</v>
      </c>
      <c r="Y12" s="10" t="s">
        <v>75</v>
      </c>
      <c r="Z12" s="10" t="s">
        <v>76</v>
      </c>
      <c r="AA12" s="10" t="s">
        <v>77</v>
      </c>
      <c r="AB12" s="10" t="s">
        <v>78</v>
      </c>
      <c r="AC12" s="10" t="s">
        <v>82</v>
      </c>
      <c r="AD12" s="15"/>
      <c r="AE12" s="16" t="s">
        <v>307</v>
      </c>
      <c r="AF12" s="10" t="s">
        <v>75</v>
      </c>
      <c r="AG12" s="10" t="s">
        <v>76</v>
      </c>
      <c r="AH12" s="10" t="s">
        <v>77</v>
      </c>
      <c r="AI12" s="10" t="s">
        <v>78</v>
      </c>
      <c r="AJ12" s="8"/>
      <c r="AL12" s="101"/>
      <c r="AM12" s="102"/>
      <c r="AN12" s="101"/>
      <c r="AO12" s="102"/>
      <c r="AP12" s="110"/>
      <c r="AQ12" s="102"/>
      <c r="AR12" s="110"/>
      <c r="AS12" s="102"/>
      <c r="AT12" s="128">
        <f>1-(AT10/540.2)</f>
        <v>0.39068863383931884</v>
      </c>
    </row>
    <row r="13" spans="1:47" ht="18" customHeight="1" x14ac:dyDescent="0.2">
      <c r="A13" s="377"/>
      <c r="C13" s="146" t="s">
        <v>260</v>
      </c>
      <c r="D13" s="70" t="s">
        <v>31</v>
      </c>
      <c r="I13" s="4"/>
      <c r="J13" s="130" t="s">
        <v>67</v>
      </c>
      <c r="K13" s="131" t="s">
        <v>700</v>
      </c>
      <c r="L13" s="131">
        <v>0.90620000000000001</v>
      </c>
      <c r="M13" s="131">
        <v>0.25474999999999998</v>
      </c>
      <c r="N13" s="131">
        <v>602</v>
      </c>
      <c r="O13" s="131">
        <v>0.31</v>
      </c>
      <c r="P13" s="132">
        <v>133.404</v>
      </c>
      <c r="Q13" s="131" t="s">
        <v>308</v>
      </c>
      <c r="R13" s="131">
        <v>0.38800000000000001</v>
      </c>
      <c r="S13" s="131">
        <v>736.5</v>
      </c>
      <c r="T13" s="131">
        <v>-1.7062999999999999</v>
      </c>
      <c r="U13" s="130"/>
      <c r="V13" s="130"/>
      <c r="W13" s="137"/>
      <c r="X13" s="133" t="s">
        <v>125</v>
      </c>
      <c r="Y13" s="131">
        <v>103350</v>
      </c>
      <c r="Z13" s="131">
        <v>159.30000000000001</v>
      </c>
      <c r="AA13" s="131"/>
      <c r="AB13" s="130"/>
      <c r="AC13" s="130"/>
      <c r="AD13" s="130" t="s">
        <v>67</v>
      </c>
      <c r="AE13" s="131" t="s">
        <v>310</v>
      </c>
      <c r="AF13" s="152">
        <v>0.20730999999999999</v>
      </c>
      <c r="AG13" s="153">
        <f>-2.4997/10000</f>
        <v>-2.4996999999999997E-4</v>
      </c>
      <c r="AH13" s="131"/>
      <c r="AI13" s="130"/>
      <c r="AJ13" s="5"/>
      <c r="AL13" s="318">
        <v>-36</v>
      </c>
      <c r="AM13" s="98">
        <v>329</v>
      </c>
      <c r="AN13" s="97">
        <v>-36</v>
      </c>
      <c r="AO13" s="98">
        <v>114</v>
      </c>
      <c r="AP13" s="103">
        <v>-36</v>
      </c>
      <c r="AQ13" s="104">
        <v>27</v>
      </c>
      <c r="AR13" s="103">
        <v>-37</v>
      </c>
      <c r="AS13" s="104">
        <v>209</v>
      </c>
    </row>
    <row r="14" spans="1:47" ht="15" customHeight="1" x14ac:dyDescent="0.2">
      <c r="A14" s="377"/>
      <c r="C14" s="243" t="s">
        <v>253</v>
      </c>
      <c r="D14" s="71" t="str">
        <f>IF(D$13="","(nothing selected)",K10)</f>
        <v xml:space="preserve"> -83 to 250</v>
      </c>
      <c r="I14" s="4"/>
      <c r="J14" s="130" t="s">
        <v>10</v>
      </c>
      <c r="K14" s="10" t="s">
        <v>701</v>
      </c>
      <c r="L14" s="131">
        <v>1.1870000000000001</v>
      </c>
      <c r="M14" s="131">
        <v>0.26113999999999998</v>
      </c>
      <c r="N14" s="131">
        <v>452</v>
      </c>
      <c r="O14" s="131">
        <v>0.30649999999999999</v>
      </c>
      <c r="P14" s="132">
        <v>54.09</v>
      </c>
      <c r="Q14" s="10" t="s">
        <v>311</v>
      </c>
      <c r="R14" s="10">
        <v>-10.143000000000001</v>
      </c>
      <c r="S14" s="10">
        <v>472.79</v>
      </c>
      <c r="T14" s="10">
        <v>-2.8240999999999999E-2</v>
      </c>
      <c r="U14" s="10"/>
      <c r="V14" s="10"/>
      <c r="W14" s="12"/>
      <c r="X14" s="10" t="s">
        <v>126</v>
      </c>
      <c r="Y14" s="10">
        <v>135150</v>
      </c>
      <c r="Z14" s="10">
        <v>-311.14</v>
      </c>
      <c r="AA14" s="10">
        <v>0.97006999999999999</v>
      </c>
      <c r="AB14" s="10">
        <v>-1.5229999999999999E-4</v>
      </c>
      <c r="AC14" s="10"/>
      <c r="AD14" s="130" t="s">
        <v>10</v>
      </c>
      <c r="AE14" s="10" t="s">
        <v>311</v>
      </c>
      <c r="AF14" s="152">
        <v>0.21965999999999999</v>
      </c>
      <c r="AG14" s="154">
        <f>-3.436/10000</f>
        <v>-3.436E-4</v>
      </c>
      <c r="AH14" s="155"/>
      <c r="AI14" s="10"/>
      <c r="AJ14" s="8"/>
      <c r="AL14" s="319">
        <v>-137</v>
      </c>
      <c r="AM14" s="100">
        <v>179</v>
      </c>
      <c r="AN14" s="99">
        <v>-136</v>
      </c>
      <c r="AO14" s="100">
        <v>11</v>
      </c>
      <c r="AP14" s="105">
        <v>-136</v>
      </c>
      <c r="AQ14" s="106">
        <v>17</v>
      </c>
      <c r="AR14" s="105">
        <v>-136</v>
      </c>
      <c r="AS14" s="106">
        <v>11</v>
      </c>
    </row>
    <row r="15" spans="1:47" ht="13.5" customHeight="1" x14ac:dyDescent="0.25">
      <c r="A15" s="377"/>
      <c r="C15" s="4"/>
      <c r="D15" s="62"/>
      <c r="E15" s="59" t="s">
        <v>855</v>
      </c>
      <c r="I15" s="4"/>
      <c r="J15" s="130" t="s">
        <v>63</v>
      </c>
      <c r="K15" s="131" t="s">
        <v>702</v>
      </c>
      <c r="L15" s="131">
        <v>1.0923</v>
      </c>
      <c r="M15" s="131">
        <v>0.26106000000000001</v>
      </c>
      <c r="N15" s="131">
        <v>626</v>
      </c>
      <c r="O15" s="131">
        <v>0.20458999999999999</v>
      </c>
      <c r="P15" s="132">
        <v>76.093999999999994</v>
      </c>
      <c r="Q15" s="131" t="s">
        <v>313</v>
      </c>
      <c r="R15" s="131">
        <v>-804.54</v>
      </c>
      <c r="S15" s="131">
        <v>30487</v>
      </c>
      <c r="T15" s="131">
        <v>130.79</v>
      </c>
      <c r="U15" s="131">
        <v>-0.15448999999999999</v>
      </c>
      <c r="V15" s="131">
        <v>1</v>
      </c>
      <c r="W15" s="137"/>
      <c r="X15" s="133" t="s">
        <v>127</v>
      </c>
      <c r="Y15" s="131">
        <v>58080</v>
      </c>
      <c r="Z15" s="131">
        <v>445.2</v>
      </c>
      <c r="AA15" s="131"/>
      <c r="AB15" s="131"/>
      <c r="AC15" s="131"/>
      <c r="AD15" s="130" t="s">
        <v>63</v>
      </c>
      <c r="AE15" s="131" t="s">
        <v>315</v>
      </c>
      <c r="AF15" s="152">
        <v>0.214</v>
      </c>
      <c r="AG15" s="154">
        <f>-1.834/10000</f>
        <v>-1.8340000000000001E-4</v>
      </c>
      <c r="AH15" s="131"/>
      <c r="AI15" s="131"/>
      <c r="AJ15" s="8"/>
      <c r="AL15" s="319">
        <v>-60</v>
      </c>
      <c r="AM15" s="100">
        <v>352</v>
      </c>
      <c r="AN15" s="99">
        <v>-60</v>
      </c>
      <c r="AO15" s="100">
        <v>228</v>
      </c>
      <c r="AP15" s="105">
        <v>-60</v>
      </c>
      <c r="AQ15" s="106">
        <v>188</v>
      </c>
      <c r="AR15" s="105">
        <v>-60</v>
      </c>
      <c r="AS15" s="106">
        <v>727</v>
      </c>
    </row>
    <row r="16" spans="1:47" ht="16.5" customHeight="1" x14ac:dyDescent="0.25">
      <c r="A16" s="377"/>
      <c r="C16" s="243" t="s">
        <v>680</v>
      </c>
      <c r="D16" s="295">
        <f>TinOne</f>
        <v>66</v>
      </c>
      <c r="E16" s="59" t="s">
        <v>856</v>
      </c>
      <c r="I16" s="4"/>
      <c r="J16" s="130" t="s">
        <v>11</v>
      </c>
      <c r="K16" s="10" t="s">
        <v>703</v>
      </c>
      <c r="L16" s="131">
        <v>1.2345999999999999</v>
      </c>
      <c r="M16" s="131">
        <v>0.27216000000000001</v>
      </c>
      <c r="N16" s="131">
        <v>425</v>
      </c>
      <c r="O16" s="131">
        <v>0.28706999999999999</v>
      </c>
      <c r="P16" s="132">
        <v>54.09</v>
      </c>
      <c r="Q16" s="10" t="s">
        <v>316</v>
      </c>
      <c r="R16" s="10">
        <v>17.844000000000001</v>
      </c>
      <c r="S16" s="10">
        <v>-310.2</v>
      </c>
      <c r="T16" s="10">
        <v>-4.5057999999999998</v>
      </c>
      <c r="U16" s="10"/>
      <c r="V16" s="10"/>
      <c r="W16" s="12"/>
      <c r="X16" s="10" t="s">
        <v>128</v>
      </c>
      <c r="Y16" s="10">
        <v>128860</v>
      </c>
      <c r="Z16" s="10">
        <v>-323.10000000000002</v>
      </c>
      <c r="AA16" s="10">
        <v>1.0149999999999999</v>
      </c>
      <c r="AB16" s="10">
        <v>3.1999999999999999E-5</v>
      </c>
      <c r="AC16" s="10"/>
      <c r="AD16" s="130" t="s">
        <v>11</v>
      </c>
      <c r="AE16" s="10" t="s">
        <v>318</v>
      </c>
      <c r="AF16" s="152">
        <v>0.22231000000000001</v>
      </c>
      <c r="AG16" s="154">
        <f>-3.664/10000</f>
        <v>-3.6640000000000002E-4</v>
      </c>
      <c r="AH16" s="10"/>
      <c r="AI16" s="10"/>
      <c r="AJ16" s="8"/>
      <c r="AL16" s="319">
        <v>-109</v>
      </c>
      <c r="AM16" s="100">
        <v>152</v>
      </c>
      <c r="AN16" s="99">
        <v>-23</v>
      </c>
      <c r="AO16" s="100">
        <v>127</v>
      </c>
      <c r="AP16" s="105">
        <v>-108</v>
      </c>
      <c r="AQ16" s="106">
        <v>77</v>
      </c>
      <c r="AR16" s="105">
        <v>-109</v>
      </c>
      <c r="AS16" s="106">
        <v>-4</v>
      </c>
    </row>
    <row r="17" spans="1:45" ht="16.5" customHeight="1" x14ac:dyDescent="0.25">
      <c r="A17" s="377"/>
      <c r="C17" s="243" t="s">
        <v>681</v>
      </c>
      <c r="D17" s="295">
        <f>ToutOne</f>
        <v>46</v>
      </c>
      <c r="E17" s="59" t="s">
        <v>857</v>
      </c>
      <c r="I17" s="4"/>
      <c r="J17" s="130" t="s">
        <v>12</v>
      </c>
      <c r="K17" s="131" t="s">
        <v>704</v>
      </c>
      <c r="L17" s="131">
        <v>0.98279000000000005</v>
      </c>
      <c r="M17" s="131">
        <v>0.26829999999999998</v>
      </c>
      <c r="N17" s="131">
        <v>563.1</v>
      </c>
      <c r="O17" s="131">
        <v>0.25488</v>
      </c>
      <c r="P17" s="132">
        <v>74.122</v>
      </c>
      <c r="Q17" s="131" t="s">
        <v>320</v>
      </c>
      <c r="R17" s="131">
        <v>0.87668999999999997</v>
      </c>
      <c r="S17" s="131">
        <v>1602.9</v>
      </c>
      <c r="T17" s="131">
        <v>-2.1475</v>
      </c>
      <c r="U17" s="131">
        <f>3.3866*1E+22</f>
        <v>3.3866000000000002E+22</v>
      </c>
      <c r="V17" s="131">
        <v>-9.9230999999999998</v>
      </c>
      <c r="W17" s="137"/>
      <c r="X17" s="133" t="s">
        <v>129</v>
      </c>
      <c r="Y17" s="131">
        <v>191200</v>
      </c>
      <c r="Z17" s="131">
        <v>-730.4</v>
      </c>
      <c r="AA17" s="131">
        <v>2.2997999999999998</v>
      </c>
      <c r="AB17" s="131"/>
      <c r="AC17" s="131"/>
      <c r="AD17" s="130" t="s">
        <v>12</v>
      </c>
      <c r="AE17" s="131" t="s">
        <v>322</v>
      </c>
      <c r="AF17" s="152">
        <v>0.21360000000000001</v>
      </c>
      <c r="AG17" s="154">
        <f>-2.034/10000</f>
        <v>-2.0339999999999998E-4</v>
      </c>
      <c r="AH17" s="131"/>
      <c r="AI17" s="131"/>
      <c r="AJ17" s="8"/>
      <c r="AL17" s="319">
        <v>-89</v>
      </c>
      <c r="AM17" s="100">
        <v>290</v>
      </c>
      <c r="AN17" s="99">
        <v>83</v>
      </c>
      <c r="AO17" s="100">
        <v>119</v>
      </c>
      <c r="AP17" s="105">
        <v>-89</v>
      </c>
      <c r="AQ17" s="106">
        <v>118</v>
      </c>
      <c r="AR17" s="105">
        <v>-89</v>
      </c>
      <c r="AS17" s="106">
        <v>119</v>
      </c>
    </row>
    <row r="18" spans="1:45" ht="16.5" customHeight="1" x14ac:dyDescent="0.3">
      <c r="A18" s="377"/>
      <c r="C18" s="243" t="s">
        <v>682</v>
      </c>
      <c r="D18" s="316">
        <f>TempBMOne</f>
        <v>56</v>
      </c>
      <c r="E18" s="185" t="str">
        <f>IF(MAX(D16,D17)&gt;AM10,"  Temperature is above density range.",IF(MIN(D16,D17)&lt;AL10,"  Temperature is below density range.",IF(MIN(D16,D17)&lt;AN10,"Temp. is below viscosity range.",IF(MAX(D16,D17)&gt;AO10,"Temp. is above viscosity range.",IF(MIN(D16,D17)&lt;AP10,"Temp. is below specific heat range.",IF(MAX(D16,D17)&gt;AQ10,"Temp. is above specific heat range.",IF(MIN(D16,D17)&lt;AR10,"Temp. is below therm. cond. range.",IF(MAX(D16,D17)&gt;AS10,"Temp. is above therm. cond. range.",""))))))))</f>
        <v/>
      </c>
      <c r="I18" s="4"/>
      <c r="J18" s="130" t="s">
        <v>53</v>
      </c>
      <c r="K18" s="10" t="s">
        <v>705</v>
      </c>
      <c r="L18" s="131">
        <v>0.48979</v>
      </c>
      <c r="M18" s="131">
        <v>0.24931</v>
      </c>
      <c r="N18" s="131">
        <v>652.29999999999995</v>
      </c>
      <c r="O18" s="131">
        <v>0.27823999999999999</v>
      </c>
      <c r="P18" s="132">
        <v>130.22800000000001</v>
      </c>
      <c r="Q18" s="10" t="s">
        <v>323</v>
      </c>
      <c r="R18" s="10">
        <v>-19.907</v>
      </c>
      <c r="S18" s="10">
        <v>2791.7</v>
      </c>
      <c r="T18" s="10">
        <v>0.94296000000000002</v>
      </c>
      <c r="U18" s="15">
        <f>2.3041*1E+24</f>
        <v>2.3040999999999999E+24</v>
      </c>
      <c r="V18" s="10">
        <v>-10.09</v>
      </c>
      <c r="W18" s="12"/>
      <c r="X18" s="10" t="s">
        <v>130</v>
      </c>
      <c r="Y18" s="10">
        <v>571370</v>
      </c>
      <c r="Z18" s="10">
        <v>-4849</v>
      </c>
      <c r="AA18" s="10">
        <v>19.725000000000001</v>
      </c>
      <c r="AB18" s="15">
        <v>-2.1553200000000002E-2</v>
      </c>
      <c r="AC18" s="10"/>
      <c r="AD18" s="130" t="s">
        <v>53</v>
      </c>
      <c r="AE18" s="10" t="s">
        <v>325</v>
      </c>
      <c r="AF18" s="152">
        <v>0.214</v>
      </c>
      <c r="AG18" s="154">
        <f>-1.834/10000</f>
        <v>-1.8340000000000001E-4</v>
      </c>
      <c r="AH18" s="10"/>
      <c r="AI18" s="15"/>
      <c r="AJ18" s="8"/>
      <c r="AL18" s="319">
        <v>-15</v>
      </c>
      <c r="AM18" s="100">
        <v>264</v>
      </c>
      <c r="AN18" s="99">
        <v>7</v>
      </c>
      <c r="AO18" s="100">
        <v>195</v>
      </c>
      <c r="AP18" s="105">
        <v>-23</v>
      </c>
      <c r="AQ18" s="106">
        <v>194</v>
      </c>
      <c r="AR18" s="105">
        <v>-15</v>
      </c>
      <c r="AS18" s="106">
        <v>727</v>
      </c>
    </row>
    <row r="19" spans="1:45" ht="13.5" customHeight="1" x14ac:dyDescent="0.2">
      <c r="A19" s="377"/>
      <c r="C19" s="4"/>
      <c r="D19" s="62"/>
      <c r="I19" s="4"/>
      <c r="J19" s="130" t="s">
        <v>59</v>
      </c>
      <c r="K19" s="131" t="s">
        <v>706</v>
      </c>
      <c r="L19" s="131">
        <v>1.2457</v>
      </c>
      <c r="M19" s="131">
        <v>0.27281</v>
      </c>
      <c r="N19" s="131">
        <v>536.79999999999995</v>
      </c>
      <c r="O19" s="131">
        <v>0.23993999999999999</v>
      </c>
      <c r="P19" s="132">
        <v>60.094999999999999</v>
      </c>
      <c r="Q19" s="131" t="s">
        <v>326</v>
      </c>
      <c r="R19" s="131">
        <v>23.466999999999999</v>
      </c>
      <c r="S19" s="131">
        <v>116.07</v>
      </c>
      <c r="T19" s="131">
        <v>-5.3372000000000002</v>
      </c>
      <c r="U19" s="135">
        <f>2.8801*1000000000</f>
        <v>2880100000</v>
      </c>
      <c r="V19" s="131">
        <v>-4.0266999999999999</v>
      </c>
      <c r="W19" s="137"/>
      <c r="X19" s="133" t="s">
        <v>131</v>
      </c>
      <c r="Y19" s="131">
        <v>158760</v>
      </c>
      <c r="Z19" s="131">
        <v>-635</v>
      </c>
      <c r="AA19" s="131">
        <v>1.9690000000000001</v>
      </c>
      <c r="AB19" s="135"/>
      <c r="AC19" s="131"/>
      <c r="AD19" s="130" t="s">
        <v>59</v>
      </c>
      <c r="AE19" s="131" t="s">
        <v>328</v>
      </c>
      <c r="AF19" s="152">
        <v>0.214</v>
      </c>
      <c r="AG19" s="154">
        <f>-1.834/10000</f>
        <v>-1.8340000000000001E-4</v>
      </c>
      <c r="AH19" s="131"/>
      <c r="AI19" s="156"/>
      <c r="AJ19" s="8"/>
      <c r="AL19" s="319">
        <v>-126</v>
      </c>
      <c r="AM19" s="100">
        <v>264</v>
      </c>
      <c r="AN19" s="99">
        <v>-126</v>
      </c>
      <c r="AO19" s="100">
        <v>97</v>
      </c>
      <c r="AP19" s="105">
        <v>-126</v>
      </c>
      <c r="AQ19" s="106">
        <v>127</v>
      </c>
      <c r="AR19" s="105">
        <v>-73</v>
      </c>
      <c r="AS19" s="106">
        <v>727</v>
      </c>
    </row>
    <row r="20" spans="1:45" ht="16.5" customHeight="1" thickBot="1" x14ac:dyDescent="0.3">
      <c r="A20" s="377"/>
      <c r="C20" s="305" t="s">
        <v>683</v>
      </c>
      <c r="D20" s="76">
        <f>K11</f>
        <v>855.86170876732001</v>
      </c>
      <c r="E20" s="174" t="s">
        <v>276</v>
      </c>
      <c r="I20" s="4"/>
      <c r="J20" s="130" t="s">
        <v>13</v>
      </c>
      <c r="K20" s="10" t="s">
        <v>707</v>
      </c>
      <c r="L20" s="131">
        <v>0.96819999999999995</v>
      </c>
      <c r="M20" s="131">
        <v>0.26244000000000001</v>
      </c>
      <c r="N20" s="131">
        <v>535.9</v>
      </c>
      <c r="O20" s="131">
        <v>0.26749000000000001</v>
      </c>
      <c r="P20" s="132">
        <v>74.122</v>
      </c>
      <c r="Q20" s="10" t="s">
        <v>329</v>
      </c>
      <c r="R20" s="10">
        <v>-16.323</v>
      </c>
      <c r="S20" s="10">
        <v>3141.7</v>
      </c>
      <c r="T20" s="10"/>
      <c r="U20" s="10"/>
      <c r="V20" s="10"/>
      <c r="W20" s="12"/>
      <c r="X20" s="10" t="s">
        <v>132</v>
      </c>
      <c r="Y20" s="10">
        <v>426790</v>
      </c>
      <c r="Z20" s="10">
        <v>-3694.6</v>
      </c>
      <c r="AA20" s="10">
        <v>13.827999999999999</v>
      </c>
      <c r="AB20" s="10">
        <v>-1.35E-2</v>
      </c>
      <c r="AC20" s="10"/>
      <c r="AD20" s="130" t="s">
        <v>13</v>
      </c>
      <c r="AE20" s="10" t="s">
        <v>329</v>
      </c>
      <c r="AF20" s="152">
        <v>0.22786999999999999</v>
      </c>
      <c r="AG20" s="153">
        <f>-3.0727/10000</f>
        <v>-3.0727E-4</v>
      </c>
      <c r="AH20" s="10"/>
      <c r="AI20" s="10"/>
      <c r="AJ20" s="8"/>
      <c r="AL20" s="319">
        <v>-115</v>
      </c>
      <c r="AM20" s="100">
        <v>262</v>
      </c>
      <c r="AN20" s="99">
        <v>-115</v>
      </c>
      <c r="AO20" s="100">
        <v>100</v>
      </c>
      <c r="AP20" s="105">
        <v>-115</v>
      </c>
      <c r="AQ20" s="106">
        <v>99</v>
      </c>
      <c r="AR20" s="105">
        <v>-115</v>
      </c>
      <c r="AS20" s="106">
        <v>100</v>
      </c>
    </row>
    <row r="21" spans="1:45" ht="15.75" x14ac:dyDescent="0.25">
      <c r="A21" s="377"/>
      <c r="E21" s="174" t="s">
        <v>277</v>
      </c>
      <c r="I21" s="4"/>
      <c r="J21" s="130" t="s">
        <v>54</v>
      </c>
      <c r="K21" s="131" t="s">
        <v>708</v>
      </c>
      <c r="L21" s="131">
        <v>0.50726000000000004</v>
      </c>
      <c r="M21" s="131">
        <v>0.25972000000000001</v>
      </c>
      <c r="N21" s="131">
        <v>629.79999999999995</v>
      </c>
      <c r="O21" s="131">
        <v>0.22</v>
      </c>
      <c r="P21" s="132">
        <v>130.22800000000001</v>
      </c>
      <c r="Q21" s="131" t="s">
        <v>331</v>
      </c>
      <c r="R21" s="131">
        <v>16.792000000000002</v>
      </c>
      <c r="S21" s="131">
        <v>1353.6</v>
      </c>
      <c r="T21" s="131">
        <v>-4.6356999999999999</v>
      </c>
      <c r="U21" s="130">
        <f>2.6663*1E+31</f>
        <v>2.6663000000000001E+31</v>
      </c>
      <c r="V21" s="131">
        <v>-13.039</v>
      </c>
      <c r="W21" s="137"/>
      <c r="X21" s="133" t="s">
        <v>133</v>
      </c>
      <c r="Y21" s="131">
        <v>319198</v>
      </c>
      <c r="Z21" s="131">
        <v>-1042.21</v>
      </c>
      <c r="AA21" s="131">
        <v>3.5294300000000001</v>
      </c>
      <c r="AB21" s="130"/>
      <c r="AC21" s="131"/>
      <c r="AD21" s="130" t="s">
        <v>54</v>
      </c>
      <c r="AE21" s="131" t="s">
        <v>333</v>
      </c>
      <c r="AF21" s="152">
        <v>0.214</v>
      </c>
      <c r="AG21" s="154">
        <f>-1.834/10000</f>
        <v>-1.8340000000000001E-4</v>
      </c>
      <c r="AH21" s="131"/>
      <c r="AI21" s="130"/>
      <c r="AJ21" s="8"/>
      <c r="AL21" s="319">
        <v>-31</v>
      </c>
      <c r="AM21" s="100">
        <v>357</v>
      </c>
      <c r="AN21" s="99">
        <v>-32</v>
      </c>
      <c r="AO21" s="100">
        <v>180</v>
      </c>
      <c r="AP21" s="105">
        <v>-88</v>
      </c>
      <c r="AQ21" s="106">
        <v>180</v>
      </c>
      <c r="AR21" s="105">
        <v>-32</v>
      </c>
      <c r="AS21" s="106">
        <v>727</v>
      </c>
    </row>
    <row r="22" spans="1:45" ht="17.25" customHeight="1" x14ac:dyDescent="0.25">
      <c r="A22" s="377"/>
      <c r="C22" s="59"/>
      <c r="E22" s="183" t="s">
        <v>278</v>
      </c>
      <c r="I22" s="4"/>
      <c r="J22" s="130" t="s">
        <v>60</v>
      </c>
      <c r="K22" s="10" t="s">
        <v>709</v>
      </c>
      <c r="L22" s="131">
        <v>1.1798999999999999</v>
      </c>
      <c r="M22" s="131">
        <v>0.26440000000000002</v>
      </c>
      <c r="N22" s="131">
        <v>508.3</v>
      </c>
      <c r="O22" s="131">
        <v>0.24653</v>
      </c>
      <c r="P22" s="132">
        <v>60.094999999999999</v>
      </c>
      <c r="Q22" s="10" t="s">
        <v>334</v>
      </c>
      <c r="R22" s="10">
        <v>-8.8917999999999999</v>
      </c>
      <c r="S22" s="10">
        <v>2357.6</v>
      </c>
      <c r="T22" s="10">
        <v>-0.91376000000000002</v>
      </c>
      <c r="U22" s="15"/>
      <c r="V22" s="15"/>
      <c r="W22" s="12"/>
      <c r="X22" s="10" t="s">
        <v>134</v>
      </c>
      <c r="Y22" s="10">
        <v>471710</v>
      </c>
      <c r="Z22" s="10">
        <v>-4172.1000000000004</v>
      </c>
      <c r="AA22" s="10">
        <v>14.744999999999999</v>
      </c>
      <c r="AB22" s="15">
        <v>-1.44E-2</v>
      </c>
      <c r="AC22" s="15"/>
      <c r="AD22" s="130" t="s">
        <v>60</v>
      </c>
      <c r="AE22" s="10" t="s">
        <v>336</v>
      </c>
      <c r="AF22" s="152">
        <v>0.214</v>
      </c>
      <c r="AG22" s="154">
        <f>-1.834/10000</f>
        <v>-1.8340000000000001E-4</v>
      </c>
      <c r="AH22" s="10"/>
      <c r="AI22" s="15"/>
      <c r="AJ22" s="5"/>
      <c r="AL22" s="319">
        <v>-88</v>
      </c>
      <c r="AM22" s="100">
        <v>235</v>
      </c>
      <c r="AN22" s="99">
        <v>-88</v>
      </c>
      <c r="AO22" s="100">
        <v>82</v>
      </c>
      <c r="AP22" s="105">
        <v>-126</v>
      </c>
      <c r="AQ22" s="106">
        <v>82</v>
      </c>
      <c r="AR22" s="105">
        <v>-86</v>
      </c>
      <c r="AS22" s="106">
        <v>727</v>
      </c>
    </row>
    <row r="23" spans="1:45" ht="18" customHeight="1" x14ac:dyDescent="0.25">
      <c r="A23" s="377"/>
      <c r="C23" s="380" t="s">
        <v>254</v>
      </c>
      <c r="D23" s="380"/>
      <c r="E23" s="183" t="s">
        <v>279</v>
      </c>
      <c r="I23" s="4"/>
      <c r="J23" s="130" t="s">
        <v>2</v>
      </c>
      <c r="K23" s="131" t="s">
        <v>710</v>
      </c>
      <c r="L23" s="131">
        <v>1.4486000000000001</v>
      </c>
      <c r="M23" s="131">
        <v>0.25891999999999998</v>
      </c>
      <c r="N23" s="131">
        <v>591.95000000000005</v>
      </c>
      <c r="O23" s="131">
        <v>0.25290000000000001</v>
      </c>
      <c r="P23" s="132">
        <v>60.052</v>
      </c>
      <c r="Q23" s="131" t="s">
        <v>338</v>
      </c>
      <c r="R23" s="136">
        <v>-9.0299999999999994</v>
      </c>
      <c r="S23" s="136">
        <v>1212.3</v>
      </c>
      <c r="T23" s="136">
        <v>-0.32200000000000001</v>
      </c>
      <c r="U23" s="136"/>
      <c r="V23" s="136"/>
      <c r="W23" s="137"/>
      <c r="X23" s="133" t="s">
        <v>116</v>
      </c>
      <c r="Y23" s="136">
        <v>139640</v>
      </c>
      <c r="Z23" s="136">
        <v>-320.8</v>
      </c>
      <c r="AA23" s="136">
        <v>0.89849999999999997</v>
      </c>
      <c r="AB23" s="136"/>
      <c r="AC23" s="136"/>
      <c r="AD23" s="130" t="s">
        <v>2</v>
      </c>
      <c r="AE23" s="131" t="s">
        <v>338</v>
      </c>
      <c r="AF23" s="152">
        <v>0.214</v>
      </c>
      <c r="AG23" s="154">
        <f>-1.834/10000</f>
        <v>-1.8340000000000001E-4</v>
      </c>
      <c r="AH23" s="152"/>
      <c r="AI23" s="136"/>
      <c r="AJ23" s="157"/>
      <c r="AL23" s="319">
        <v>17</v>
      </c>
      <c r="AM23" s="100">
        <v>333</v>
      </c>
      <c r="AN23" s="99">
        <v>17</v>
      </c>
      <c r="AO23" s="100">
        <v>118</v>
      </c>
      <c r="AP23" s="105">
        <v>17</v>
      </c>
      <c r="AQ23" s="106">
        <v>118</v>
      </c>
      <c r="AR23" s="105">
        <v>17</v>
      </c>
      <c r="AS23" s="106">
        <v>118</v>
      </c>
    </row>
    <row r="24" spans="1:45" ht="18" customHeight="1" x14ac:dyDescent="0.25">
      <c r="A24" s="377"/>
      <c r="C24" s="394"/>
      <c r="D24" s="394"/>
      <c r="I24" s="4"/>
      <c r="J24" s="130" t="s">
        <v>3</v>
      </c>
      <c r="K24" s="10" t="s">
        <v>711</v>
      </c>
      <c r="L24" s="131">
        <v>0.86851999999999996</v>
      </c>
      <c r="M24" s="131">
        <v>0.25186999999999998</v>
      </c>
      <c r="N24" s="131">
        <v>606</v>
      </c>
      <c r="O24" s="131">
        <v>0.31172</v>
      </c>
      <c r="P24" s="132">
        <v>102.09</v>
      </c>
      <c r="Q24" s="10" t="s">
        <v>339</v>
      </c>
      <c r="R24" s="10">
        <v>-14.164</v>
      </c>
      <c r="S24" s="10">
        <v>1350.3</v>
      </c>
      <c r="T24" s="10">
        <v>0.44919999999999999</v>
      </c>
      <c r="U24" s="10"/>
      <c r="V24" s="10"/>
      <c r="W24" s="12"/>
      <c r="X24" s="10" t="s">
        <v>135</v>
      </c>
      <c r="Y24" s="10">
        <v>36600</v>
      </c>
      <c r="Z24" s="10">
        <v>511</v>
      </c>
      <c r="AA24" s="10"/>
      <c r="AB24" s="10"/>
      <c r="AC24" s="10"/>
      <c r="AD24" s="130" t="s">
        <v>3</v>
      </c>
      <c r="AE24" s="10" t="s">
        <v>341</v>
      </c>
      <c r="AF24" s="158">
        <v>0.23638000000000001</v>
      </c>
      <c r="AG24" s="153">
        <f>-2.4263/10000</f>
        <v>-2.4263E-4</v>
      </c>
      <c r="AH24" s="10"/>
      <c r="AI24" s="10"/>
      <c r="AJ24" s="8"/>
      <c r="AL24" s="319">
        <v>-73</v>
      </c>
      <c r="AM24" s="100">
        <v>235</v>
      </c>
      <c r="AN24" s="99">
        <v>-63</v>
      </c>
      <c r="AO24" s="100">
        <v>140</v>
      </c>
      <c r="AP24" s="105">
        <v>-23</v>
      </c>
      <c r="AQ24" s="106">
        <v>77</v>
      </c>
      <c r="AR24" s="105">
        <v>-73</v>
      </c>
      <c r="AS24" s="106">
        <v>140</v>
      </c>
    </row>
    <row r="25" spans="1:45" ht="13.5" customHeight="1" thickBot="1" x14ac:dyDescent="0.3">
      <c r="A25" s="377"/>
      <c r="E25" s="59" t="s">
        <v>270</v>
      </c>
      <c r="I25" s="4"/>
      <c r="J25" s="15" t="s">
        <v>4</v>
      </c>
      <c r="K25" s="131" t="s">
        <v>712</v>
      </c>
      <c r="L25" s="10">
        <v>1.2332000000000001</v>
      </c>
      <c r="M25" s="10">
        <v>0.25885999999999998</v>
      </c>
      <c r="N25" s="10">
        <v>508.2</v>
      </c>
      <c r="O25" s="10">
        <v>0.2913</v>
      </c>
      <c r="P25" s="53">
        <v>58.079000000000001</v>
      </c>
      <c r="Q25" s="131" t="s">
        <v>342</v>
      </c>
      <c r="R25" s="131">
        <v>-14.917999999999999</v>
      </c>
      <c r="S25" s="131">
        <v>1023.4</v>
      </c>
      <c r="T25" s="131">
        <v>0.59609999999999996</v>
      </c>
      <c r="U25" s="131"/>
      <c r="V25" s="131"/>
      <c r="W25" s="137"/>
      <c r="X25" s="131" t="s">
        <v>136</v>
      </c>
      <c r="Y25" s="131">
        <v>135600</v>
      </c>
      <c r="Z25" s="131">
        <v>-177</v>
      </c>
      <c r="AA25" s="131">
        <v>0.28370000000000001</v>
      </c>
      <c r="AB25" s="131">
        <v>6.8900000000000005E-4</v>
      </c>
      <c r="AC25" s="131"/>
      <c r="AD25" s="15" t="s">
        <v>4</v>
      </c>
      <c r="AE25" s="131" t="s">
        <v>344</v>
      </c>
      <c r="AF25" s="131">
        <v>0.2878</v>
      </c>
      <c r="AG25" s="159">
        <f>-4.27/10000</f>
        <v>-4.2699999999999997E-4</v>
      </c>
      <c r="AH25" s="131"/>
      <c r="AI25" s="131"/>
      <c r="AJ25" s="8"/>
      <c r="AL25" s="319">
        <v>-95</v>
      </c>
      <c r="AM25" s="100">
        <v>235</v>
      </c>
      <c r="AN25" s="99">
        <v>-83</v>
      </c>
      <c r="AO25" s="100">
        <v>56</v>
      </c>
      <c r="AP25" s="105">
        <v>-95</v>
      </c>
      <c r="AQ25" s="106">
        <v>56</v>
      </c>
      <c r="AR25" s="105">
        <v>-95</v>
      </c>
      <c r="AS25" s="106">
        <v>70</v>
      </c>
    </row>
    <row r="26" spans="1:45" ht="16.5" customHeight="1" x14ac:dyDescent="0.25">
      <c r="A26" s="377"/>
      <c r="C26" s="378" t="s">
        <v>105</v>
      </c>
      <c r="D26" s="379"/>
      <c r="E26" s="59" t="s">
        <v>271</v>
      </c>
      <c r="I26" s="4"/>
      <c r="J26" s="130" t="s">
        <v>5</v>
      </c>
      <c r="K26" s="10" t="s">
        <v>713</v>
      </c>
      <c r="L26" s="131">
        <v>1.3064</v>
      </c>
      <c r="M26" s="131">
        <v>0.22597</v>
      </c>
      <c r="N26" s="131">
        <v>545.5</v>
      </c>
      <c r="O26" s="131">
        <v>0.28677999999999998</v>
      </c>
      <c r="P26" s="132">
        <v>41.052</v>
      </c>
      <c r="Q26" s="10" t="s">
        <v>345</v>
      </c>
      <c r="R26" s="10">
        <v>-10.906000000000001</v>
      </c>
      <c r="S26" s="10">
        <v>872.02</v>
      </c>
      <c r="T26" s="10"/>
      <c r="U26" s="10"/>
      <c r="V26" s="10"/>
      <c r="W26" s="12"/>
      <c r="X26" s="10" t="s">
        <v>138</v>
      </c>
      <c r="Y26" s="10">
        <v>97582</v>
      </c>
      <c r="Z26" s="10">
        <v>-122.2</v>
      </c>
      <c r="AA26" s="10">
        <v>0.34084999999999999</v>
      </c>
      <c r="AB26" s="10"/>
      <c r="AC26" s="10"/>
      <c r="AD26" s="130" t="s">
        <v>5</v>
      </c>
      <c r="AE26" s="10" t="s">
        <v>347</v>
      </c>
      <c r="AF26" s="158">
        <v>0.33191999999999999</v>
      </c>
      <c r="AG26" s="153">
        <f>-4.3243/10000</f>
        <v>-4.3242999999999998E-4</v>
      </c>
      <c r="AH26" s="10"/>
      <c r="AI26" s="10"/>
      <c r="AJ26" s="8"/>
      <c r="AL26" s="319">
        <v>-44</v>
      </c>
      <c r="AM26" s="100">
        <v>273</v>
      </c>
      <c r="AN26" s="99">
        <v>-44</v>
      </c>
      <c r="AO26" s="100">
        <v>163</v>
      </c>
      <c r="AP26" s="105">
        <v>-44</v>
      </c>
      <c r="AQ26" s="106">
        <v>82</v>
      </c>
      <c r="AR26" s="105">
        <v>-44</v>
      </c>
      <c r="AS26" s="106">
        <v>76</v>
      </c>
    </row>
    <row r="27" spans="1:45" ht="13.5" customHeight="1" x14ac:dyDescent="0.25">
      <c r="A27" s="377"/>
      <c r="C27" s="7"/>
      <c r="D27" s="8"/>
      <c r="E27" s="59" t="s">
        <v>272</v>
      </c>
      <c r="I27" s="4"/>
      <c r="J27" s="15" t="s">
        <v>6</v>
      </c>
      <c r="K27" s="131" t="s">
        <v>714</v>
      </c>
      <c r="L27" s="10">
        <v>1.2414000000000001</v>
      </c>
      <c r="M27" s="10">
        <v>0.25822000000000001</v>
      </c>
      <c r="N27" s="10">
        <v>615</v>
      </c>
      <c r="O27" s="10">
        <v>0.30701000000000001</v>
      </c>
      <c r="P27" s="53">
        <v>72.063000000000002</v>
      </c>
      <c r="Q27" s="131" t="s">
        <v>348</v>
      </c>
      <c r="R27" s="131">
        <v>-28.12</v>
      </c>
      <c r="S27" s="131">
        <v>2280.1999999999998</v>
      </c>
      <c r="T27" s="131">
        <v>2.3956</v>
      </c>
      <c r="U27" s="131"/>
      <c r="V27" s="131"/>
      <c r="W27" s="137"/>
      <c r="X27" s="131" t="s">
        <v>137</v>
      </c>
      <c r="Y27" s="131">
        <v>55300</v>
      </c>
      <c r="Z27" s="131">
        <v>300</v>
      </c>
      <c r="AA27" s="131"/>
      <c r="AB27" s="131"/>
      <c r="AC27" s="131"/>
      <c r="AD27" s="15" t="s">
        <v>6</v>
      </c>
      <c r="AE27" s="131" t="s">
        <v>350</v>
      </c>
      <c r="AF27" s="160">
        <v>0.24410000000000001</v>
      </c>
      <c r="AG27" s="154">
        <f>-2904/10000</f>
        <v>-0.29039999999999999</v>
      </c>
      <c r="AH27" s="131"/>
      <c r="AI27" s="131"/>
      <c r="AJ27" s="8"/>
      <c r="AL27" s="319">
        <v>13</v>
      </c>
      <c r="AM27" s="100">
        <v>342</v>
      </c>
      <c r="AN27" s="99">
        <v>13</v>
      </c>
      <c r="AO27" s="100">
        <v>187</v>
      </c>
      <c r="AP27" s="105">
        <v>13</v>
      </c>
      <c r="AQ27" s="106">
        <v>102</v>
      </c>
      <c r="AR27" s="105">
        <v>13</v>
      </c>
      <c r="AS27" s="106">
        <v>211</v>
      </c>
    </row>
    <row r="28" spans="1:45" ht="18" customHeight="1" thickBot="1" x14ac:dyDescent="0.3">
      <c r="A28" s="377"/>
      <c r="C28" s="305" t="s">
        <v>683</v>
      </c>
      <c r="D28" s="73"/>
      <c r="E28" s="182" t="s">
        <v>273</v>
      </c>
      <c r="I28" s="4"/>
      <c r="J28" s="130" t="s">
        <v>7</v>
      </c>
      <c r="K28" s="131" t="s">
        <v>715</v>
      </c>
      <c r="L28" s="131">
        <v>1.0259</v>
      </c>
      <c r="M28" s="131">
        <v>0.26666000000000001</v>
      </c>
      <c r="N28" s="131">
        <v>562.04999999999995</v>
      </c>
      <c r="O28" s="131">
        <v>0.28394000000000003</v>
      </c>
      <c r="P28" s="132">
        <v>78.111999999999995</v>
      </c>
      <c r="Q28" s="131" t="s">
        <v>352</v>
      </c>
      <c r="R28" s="10">
        <v>7.5117000000000003</v>
      </c>
      <c r="S28" s="10">
        <v>294.68</v>
      </c>
      <c r="T28" s="10">
        <v>-2.794</v>
      </c>
      <c r="U28" s="10"/>
      <c r="V28" s="10"/>
      <c r="W28" s="12"/>
      <c r="X28" s="10" t="s">
        <v>139</v>
      </c>
      <c r="Y28" s="10">
        <v>129440</v>
      </c>
      <c r="Z28" s="10">
        <v>-169.5</v>
      </c>
      <c r="AA28" s="10">
        <v>0.64781</v>
      </c>
      <c r="AB28" s="10"/>
      <c r="AC28" s="10"/>
      <c r="AD28" s="130" t="s">
        <v>7</v>
      </c>
      <c r="AE28" s="131" t="s">
        <v>354</v>
      </c>
      <c r="AF28" s="160">
        <v>0.23444000000000001</v>
      </c>
      <c r="AG28" s="153">
        <f>-3.0572/10000</f>
        <v>-3.0571999999999999E-4</v>
      </c>
      <c r="AH28" s="131"/>
      <c r="AI28" s="131"/>
      <c r="AJ28" s="8"/>
      <c r="AL28" s="319">
        <v>6</v>
      </c>
      <c r="AM28" s="100">
        <v>289</v>
      </c>
      <c r="AN28" s="99">
        <v>6</v>
      </c>
      <c r="AO28" s="100">
        <v>272</v>
      </c>
      <c r="AP28" s="105">
        <v>6</v>
      </c>
      <c r="AQ28" s="106">
        <v>80</v>
      </c>
      <c r="AR28" s="105">
        <v>6</v>
      </c>
      <c r="AS28" s="106">
        <v>140</v>
      </c>
    </row>
    <row r="29" spans="1:45" ht="14.25" customHeight="1" x14ac:dyDescent="0.2">
      <c r="A29" s="377"/>
      <c r="I29" s="4"/>
      <c r="J29" s="15" t="s">
        <v>8</v>
      </c>
      <c r="K29" s="10" t="s">
        <v>716</v>
      </c>
      <c r="L29" s="10">
        <v>0.71587000000000001</v>
      </c>
      <c r="M29" s="10">
        <v>0.24812000000000001</v>
      </c>
      <c r="N29" s="10">
        <v>752</v>
      </c>
      <c r="O29" s="10">
        <v>0.28570000000000001</v>
      </c>
      <c r="P29" s="53">
        <v>122.121</v>
      </c>
      <c r="Q29" s="10" t="s">
        <v>356</v>
      </c>
      <c r="R29" s="131">
        <v>-12.946999999999999</v>
      </c>
      <c r="S29" s="131">
        <v>2557.9</v>
      </c>
      <c r="T29" s="131"/>
      <c r="U29" s="131"/>
      <c r="V29" s="131"/>
      <c r="W29" s="137"/>
      <c r="X29" s="131" t="s">
        <v>140</v>
      </c>
      <c r="Y29" s="131">
        <v>-5480</v>
      </c>
      <c r="Z29" s="131">
        <v>647.12</v>
      </c>
      <c r="AA29" s="131"/>
      <c r="AB29" s="131"/>
      <c r="AC29" s="131"/>
      <c r="AD29" s="15" t="s">
        <v>8</v>
      </c>
      <c r="AE29" s="10" t="s">
        <v>358</v>
      </c>
      <c r="AF29" s="162">
        <v>0.23910000000000001</v>
      </c>
      <c r="AG29" s="154">
        <f>-2.325/10000</f>
        <v>-2.3250000000000001E-4</v>
      </c>
      <c r="AH29" s="10"/>
      <c r="AI29" s="10"/>
      <c r="AJ29" s="8"/>
      <c r="AL29" s="319">
        <v>122</v>
      </c>
      <c r="AM29" s="100">
        <v>478</v>
      </c>
      <c r="AN29" s="99">
        <v>123</v>
      </c>
      <c r="AO29" s="100">
        <v>327</v>
      </c>
      <c r="AP29" s="105">
        <v>122</v>
      </c>
      <c r="AQ29" s="106">
        <v>177</v>
      </c>
      <c r="AR29" s="105">
        <v>122</v>
      </c>
      <c r="AS29" s="106">
        <v>323</v>
      </c>
    </row>
    <row r="30" spans="1:45" ht="21" customHeight="1" x14ac:dyDescent="0.25">
      <c r="A30" s="377"/>
      <c r="C30" s="68" t="s">
        <v>250</v>
      </c>
      <c r="D30" s="74">
        <f>IF(D28="",D20,D28)</f>
        <v>855.86170876732001</v>
      </c>
      <c r="E30" s="63" t="s">
        <v>684</v>
      </c>
      <c r="F30" s="59" t="str">
        <f>IF(D28="","     (from menu selection)","     (manual entry)")</f>
        <v xml:space="preserve">     (from menu selection)</v>
      </c>
      <c r="I30" s="4"/>
      <c r="J30" s="130" t="s">
        <v>9</v>
      </c>
      <c r="K30" s="131" t="s">
        <v>717</v>
      </c>
      <c r="L30" s="131">
        <v>0.8226</v>
      </c>
      <c r="M30" s="131">
        <v>0.26632</v>
      </c>
      <c r="N30" s="131">
        <v>670.15</v>
      </c>
      <c r="O30" s="131">
        <v>0.28210000000000002</v>
      </c>
      <c r="P30" s="132">
        <v>157.00800000000001</v>
      </c>
      <c r="Q30" s="131" t="s">
        <v>360</v>
      </c>
      <c r="R30" s="10">
        <v>-20.611000000000001</v>
      </c>
      <c r="S30" s="10">
        <v>1656.5</v>
      </c>
      <c r="T30" s="10">
        <v>1.4415</v>
      </c>
      <c r="U30" s="10"/>
      <c r="V30" s="10"/>
      <c r="W30" s="12"/>
      <c r="X30" s="10" t="s">
        <v>141</v>
      </c>
      <c r="Y30" s="10">
        <v>121600</v>
      </c>
      <c r="Z30" s="10">
        <v>-9.4499999999999993</v>
      </c>
      <c r="AA30" s="10">
        <v>0.35799999999999998</v>
      </c>
      <c r="AB30" s="10"/>
      <c r="AC30" s="10"/>
      <c r="AD30" s="130" t="s">
        <v>9</v>
      </c>
      <c r="AE30" s="131" t="s">
        <v>362</v>
      </c>
      <c r="AF30" s="158">
        <v>0.16983000000000001</v>
      </c>
      <c r="AG30" s="154">
        <f>-1.981/10000</f>
        <v>-1.9810000000000002E-4</v>
      </c>
      <c r="AH30" s="131"/>
      <c r="AI30" s="131"/>
      <c r="AJ30" s="8"/>
      <c r="AL30" s="319">
        <v>-31</v>
      </c>
      <c r="AM30" s="100">
        <v>397</v>
      </c>
      <c r="AN30" s="99">
        <v>-31</v>
      </c>
      <c r="AO30" s="100">
        <v>156</v>
      </c>
      <c r="AP30" s="105">
        <v>20</v>
      </c>
      <c r="AQ30" s="106">
        <v>222</v>
      </c>
      <c r="AR30" s="105">
        <v>-31</v>
      </c>
      <c r="AS30" s="106">
        <v>219</v>
      </c>
    </row>
    <row r="31" spans="1:45" ht="18" customHeight="1" x14ac:dyDescent="0.2">
      <c r="A31" s="377"/>
      <c r="C31" s="129" t="s">
        <v>265</v>
      </c>
      <c r="I31" s="4"/>
      <c r="J31" s="15" t="s">
        <v>14</v>
      </c>
      <c r="K31" s="10" t="s">
        <v>718</v>
      </c>
      <c r="L31" s="10">
        <v>0.67793999999999999</v>
      </c>
      <c r="M31" s="10">
        <v>0.26369999999999999</v>
      </c>
      <c r="N31" s="10">
        <v>575.4</v>
      </c>
      <c r="O31" s="10">
        <v>0.29318</v>
      </c>
      <c r="P31" s="53">
        <v>116.16</v>
      </c>
      <c r="Q31" s="10" t="s">
        <v>363</v>
      </c>
      <c r="R31" s="131">
        <v>-17.488</v>
      </c>
      <c r="S31" s="131">
        <v>1478.2</v>
      </c>
      <c r="T31" s="131">
        <v>0.91827999999999999</v>
      </c>
      <c r="U31" s="131"/>
      <c r="V31" s="131"/>
      <c r="W31" s="137"/>
      <c r="X31" s="131" t="s">
        <v>142</v>
      </c>
      <c r="Y31" s="131">
        <v>111850</v>
      </c>
      <c r="Z31" s="131">
        <v>384.52</v>
      </c>
      <c r="AA31" s="131"/>
      <c r="AB31" s="131"/>
      <c r="AC31" s="131"/>
      <c r="AD31" s="15" t="s">
        <v>14</v>
      </c>
      <c r="AE31" s="10" t="s">
        <v>365</v>
      </c>
      <c r="AF31" s="160">
        <v>0.21720999999999999</v>
      </c>
      <c r="AG31" s="153">
        <f>-2.6563/10000</f>
        <v>-2.6562999999999999E-4</v>
      </c>
      <c r="AH31" s="10"/>
      <c r="AI31" s="10"/>
      <c r="AJ31" s="8"/>
      <c r="AL31" s="319">
        <v>-73</v>
      </c>
      <c r="AM31" s="100">
        <v>302</v>
      </c>
      <c r="AN31" s="99">
        <v>-23</v>
      </c>
      <c r="AO31" s="100">
        <v>126</v>
      </c>
      <c r="AP31" s="105">
        <v>25</v>
      </c>
      <c r="AQ31" s="106">
        <v>126</v>
      </c>
      <c r="AR31" s="105">
        <v>-73</v>
      </c>
      <c r="AS31" s="106">
        <v>181</v>
      </c>
    </row>
    <row r="32" spans="1:45" ht="18" customHeight="1" x14ac:dyDescent="0.2">
      <c r="C32" s="129"/>
      <c r="I32" s="4"/>
      <c r="J32" s="130" t="s">
        <v>15</v>
      </c>
      <c r="K32" s="131" t="s">
        <v>367</v>
      </c>
      <c r="L32" s="131">
        <v>1.7968</v>
      </c>
      <c r="M32" s="131">
        <v>0.28749000000000002</v>
      </c>
      <c r="N32" s="131">
        <v>552</v>
      </c>
      <c r="O32" s="131">
        <v>0.3226</v>
      </c>
      <c r="P32" s="132">
        <v>76.141000000000005</v>
      </c>
      <c r="Q32" s="131" t="s">
        <v>366</v>
      </c>
      <c r="R32" s="10">
        <v>-10.305999999999999</v>
      </c>
      <c r="S32" s="10">
        <v>703.01</v>
      </c>
      <c r="T32" s="10"/>
      <c r="U32" s="10"/>
      <c r="V32" s="10"/>
      <c r="W32" s="12"/>
      <c r="X32" s="10" t="s">
        <v>143</v>
      </c>
      <c r="Y32" s="10">
        <v>85600</v>
      </c>
      <c r="Z32" s="10">
        <v>-122</v>
      </c>
      <c r="AA32" s="10">
        <v>0.5605</v>
      </c>
      <c r="AB32" s="10">
        <v>-1.4519999999999999E-3</v>
      </c>
      <c r="AC32" s="10">
        <f>2.008/1000000</f>
        <v>2.0080000000000001E-6</v>
      </c>
      <c r="AD32" s="130" t="s">
        <v>15</v>
      </c>
      <c r="AE32" s="131" t="s">
        <v>368</v>
      </c>
      <c r="AF32" s="162">
        <v>0.23330000000000001</v>
      </c>
      <c r="AG32" s="159">
        <f>-2.75/10000</f>
        <v>-2.7500000000000002E-4</v>
      </c>
      <c r="AH32" s="131"/>
      <c r="AI32" s="131"/>
      <c r="AJ32" s="8"/>
      <c r="AL32" s="319">
        <v>-112</v>
      </c>
      <c r="AM32" s="100">
        <v>279</v>
      </c>
      <c r="AN32" s="99">
        <v>-111</v>
      </c>
      <c r="AO32" s="100">
        <v>169</v>
      </c>
      <c r="AP32" s="105">
        <v>-112</v>
      </c>
      <c r="AQ32" s="106">
        <v>279</v>
      </c>
      <c r="AR32" s="105">
        <v>-112</v>
      </c>
      <c r="AS32" s="106">
        <v>46</v>
      </c>
    </row>
    <row r="33" spans="1:45" ht="13.5" customHeight="1" x14ac:dyDescent="0.2">
      <c r="A33" s="377" t="s">
        <v>238</v>
      </c>
      <c r="I33" s="4"/>
      <c r="J33" s="15" t="s">
        <v>16</v>
      </c>
      <c r="K33" s="10" t="s">
        <v>719</v>
      </c>
      <c r="L33" s="10">
        <v>0.99834999999999996</v>
      </c>
      <c r="M33" s="10">
        <v>0.27400000000000002</v>
      </c>
      <c r="N33" s="10">
        <v>556.35</v>
      </c>
      <c r="O33" s="10">
        <v>0.28699999999999998</v>
      </c>
      <c r="P33" s="53">
        <v>153.82300000000001</v>
      </c>
      <c r="Q33" s="10" t="s">
        <v>369</v>
      </c>
      <c r="R33" s="131">
        <v>-8.0738000000000003</v>
      </c>
      <c r="S33" s="131">
        <v>1121.0999999999999</v>
      </c>
      <c r="T33" s="131">
        <v>-0.47260000000000002</v>
      </c>
      <c r="U33" s="130"/>
      <c r="V33" s="130"/>
      <c r="W33" s="137"/>
      <c r="X33" s="131" t="s">
        <v>144</v>
      </c>
      <c r="Y33" s="131">
        <v>-752700</v>
      </c>
      <c r="Z33" s="131">
        <v>8966.1</v>
      </c>
      <c r="AA33" s="131">
        <v>-30.393999999999998</v>
      </c>
      <c r="AB33" s="130">
        <v>3.4455E-2</v>
      </c>
      <c r="AC33" s="130"/>
      <c r="AD33" s="15" t="s">
        <v>16</v>
      </c>
      <c r="AE33" s="10" t="s">
        <v>340</v>
      </c>
      <c r="AF33" s="163">
        <v>0.15890000000000001</v>
      </c>
      <c r="AG33" s="154">
        <f>-1.987/10000</f>
        <v>-1.9870000000000001E-4</v>
      </c>
      <c r="AH33" s="10"/>
      <c r="AI33" s="15"/>
      <c r="AJ33" s="5"/>
      <c r="AL33" s="319">
        <v>-23</v>
      </c>
      <c r="AM33" s="100">
        <v>283</v>
      </c>
      <c r="AN33" s="99">
        <v>-23</v>
      </c>
      <c r="AO33" s="100">
        <v>182</v>
      </c>
      <c r="AP33" s="105">
        <v>-23</v>
      </c>
      <c r="AQ33" s="106">
        <v>116</v>
      </c>
      <c r="AR33" s="105">
        <v>-23</v>
      </c>
      <c r="AS33" s="106">
        <v>77</v>
      </c>
    </row>
    <row r="34" spans="1:45" ht="13.5" customHeight="1" thickBot="1" x14ac:dyDescent="0.25">
      <c r="A34" s="377"/>
      <c r="I34" s="4"/>
      <c r="J34" s="130" t="s">
        <v>17</v>
      </c>
      <c r="K34" s="131" t="s">
        <v>720</v>
      </c>
      <c r="L34" s="131">
        <v>0.87109999999999999</v>
      </c>
      <c r="M34" s="131">
        <v>0.26805000000000001</v>
      </c>
      <c r="N34" s="131">
        <v>632.35</v>
      </c>
      <c r="O34" s="131">
        <v>0.27989999999999998</v>
      </c>
      <c r="P34" s="132">
        <v>112.557</v>
      </c>
      <c r="Q34" s="131" t="s">
        <v>371</v>
      </c>
      <c r="R34" s="10">
        <v>0.15772</v>
      </c>
      <c r="S34" s="10">
        <v>540.5</v>
      </c>
      <c r="T34" s="10">
        <v>-1.6074999999999999</v>
      </c>
      <c r="U34" s="15"/>
      <c r="V34" s="15"/>
      <c r="W34" s="12"/>
      <c r="X34" s="10" t="s">
        <v>145</v>
      </c>
      <c r="Y34" s="10">
        <v>-1307500</v>
      </c>
      <c r="Z34" s="10">
        <v>15338</v>
      </c>
      <c r="AA34" s="10">
        <v>-53.973999999999997</v>
      </c>
      <c r="AB34" s="15">
        <v>6.3482999999999998E-2</v>
      </c>
      <c r="AC34" s="15"/>
      <c r="AD34" s="130" t="s">
        <v>17</v>
      </c>
      <c r="AE34" s="131" t="s">
        <v>373</v>
      </c>
      <c r="AF34" s="162">
        <v>0.18410000000000001</v>
      </c>
      <c r="AG34" s="154">
        <f>-1.917/10000</f>
        <v>-1.917E-4</v>
      </c>
      <c r="AH34" s="131"/>
      <c r="AI34" s="130"/>
      <c r="AJ34" s="5"/>
      <c r="AL34" s="319">
        <v>-45</v>
      </c>
      <c r="AM34" s="100">
        <v>359</v>
      </c>
      <c r="AN34" s="99">
        <v>-23</v>
      </c>
      <c r="AO34" s="100">
        <v>267</v>
      </c>
      <c r="AP34" s="105">
        <v>-45</v>
      </c>
      <c r="AQ34" s="106">
        <v>87</v>
      </c>
      <c r="AR34" s="105">
        <v>-45</v>
      </c>
      <c r="AS34" s="106">
        <v>132</v>
      </c>
    </row>
    <row r="35" spans="1:45" ht="17.25" customHeight="1" thickBot="1" x14ac:dyDescent="0.25">
      <c r="A35" s="377"/>
      <c r="C35" s="381" t="s">
        <v>85</v>
      </c>
      <c r="D35" s="382"/>
      <c r="I35" s="4"/>
      <c r="J35" s="15" t="s">
        <v>18</v>
      </c>
      <c r="K35" s="10" t="s">
        <v>721</v>
      </c>
      <c r="L35" s="10">
        <v>1.0841000000000001</v>
      </c>
      <c r="M35" s="10">
        <v>0.2581</v>
      </c>
      <c r="N35" s="10">
        <v>536.4</v>
      </c>
      <c r="O35" s="10">
        <v>0.27410000000000001</v>
      </c>
      <c r="P35" s="53">
        <v>119.378</v>
      </c>
      <c r="Q35" s="10" t="s">
        <v>374</v>
      </c>
      <c r="R35" s="131">
        <v>-14.109</v>
      </c>
      <c r="S35" s="131">
        <v>1049.2</v>
      </c>
      <c r="T35" s="131">
        <v>0.53769999999999996</v>
      </c>
      <c r="U35" s="130"/>
      <c r="V35" s="130"/>
      <c r="W35" s="137"/>
      <c r="X35" s="131" t="s">
        <v>146</v>
      </c>
      <c r="Y35" s="131">
        <v>124850</v>
      </c>
      <c r="Z35" s="131">
        <v>-166.34</v>
      </c>
      <c r="AA35" s="131">
        <v>0.43208999999999997</v>
      </c>
      <c r="AB35" s="130"/>
      <c r="AC35" s="130"/>
      <c r="AD35" s="15" t="s">
        <v>18</v>
      </c>
      <c r="AE35" s="10" t="s">
        <v>376</v>
      </c>
      <c r="AF35" s="163">
        <v>0.17780000000000001</v>
      </c>
      <c r="AG35" s="154">
        <f>-2.023/10000</f>
        <v>-2.0230000000000001E-4</v>
      </c>
      <c r="AH35" s="10"/>
      <c r="AI35" s="15"/>
      <c r="AJ35" s="5"/>
      <c r="AL35" s="319">
        <v>-63</v>
      </c>
      <c r="AM35" s="100">
        <v>263</v>
      </c>
      <c r="AN35" s="99">
        <v>-63</v>
      </c>
      <c r="AO35" s="100">
        <v>80</v>
      </c>
      <c r="AP35" s="105">
        <v>-40</v>
      </c>
      <c r="AQ35" s="106">
        <v>93</v>
      </c>
      <c r="AR35" s="105">
        <v>-64</v>
      </c>
      <c r="AS35" s="106">
        <v>127</v>
      </c>
    </row>
    <row r="36" spans="1:45" ht="17.25" customHeight="1" thickBot="1" x14ac:dyDescent="0.25">
      <c r="A36" s="377"/>
      <c r="C36" s="77">
        <f>Q11</f>
        <v>3.1061832646173105E-4</v>
      </c>
      <c r="D36" s="306" t="s">
        <v>685</v>
      </c>
      <c r="I36" s="4"/>
      <c r="J36" s="130" t="s">
        <v>19</v>
      </c>
      <c r="K36" s="131" t="s">
        <v>722</v>
      </c>
      <c r="L36" s="131">
        <v>1.8169999999999999</v>
      </c>
      <c r="M36" s="131">
        <v>0.25877</v>
      </c>
      <c r="N36" s="131">
        <v>416.25</v>
      </c>
      <c r="O36" s="131">
        <v>0.2833</v>
      </c>
      <c r="P36" s="132">
        <v>50.488</v>
      </c>
      <c r="Q36" s="131" t="s">
        <v>377</v>
      </c>
      <c r="R36" s="10">
        <v>-25.132000000000001</v>
      </c>
      <c r="S36" s="10">
        <v>1381.9</v>
      </c>
      <c r="T36" s="10">
        <v>2.0811000000000002</v>
      </c>
      <c r="U36" s="15">
        <f>-4.4999/1E+27</f>
        <v>-4.4999E-27</v>
      </c>
      <c r="V36" s="10">
        <v>10</v>
      </c>
      <c r="W36" s="12"/>
      <c r="X36" s="10" t="s">
        <v>147</v>
      </c>
      <c r="Y36" s="10">
        <v>96910</v>
      </c>
      <c r="Z36" s="10">
        <v>-207.9</v>
      </c>
      <c r="AA36" s="10">
        <v>0.37456</v>
      </c>
      <c r="AB36" s="15">
        <v>4.8799999999999999E-4</v>
      </c>
      <c r="AC36" s="10"/>
      <c r="AD36" s="130" t="s">
        <v>19</v>
      </c>
      <c r="AE36" s="131" t="s">
        <v>379</v>
      </c>
      <c r="AF36" s="160">
        <v>0.41066999999999998</v>
      </c>
      <c r="AG36" s="154">
        <f>-8.478/10000</f>
        <v>-8.4780000000000001E-4</v>
      </c>
      <c r="AH36" s="131"/>
      <c r="AI36" s="130"/>
      <c r="AJ36" s="8"/>
      <c r="AL36" s="319">
        <v>-98</v>
      </c>
      <c r="AM36" s="100">
        <v>311</v>
      </c>
      <c r="AN36" s="99">
        <v>-98</v>
      </c>
      <c r="AO36" s="100">
        <v>130</v>
      </c>
      <c r="AP36" s="105">
        <v>-98</v>
      </c>
      <c r="AQ36" s="106">
        <v>100</v>
      </c>
      <c r="AR36" s="105">
        <v>-98</v>
      </c>
      <c r="AS36" s="106">
        <v>77</v>
      </c>
    </row>
    <row r="37" spans="1:45" ht="17.25" customHeight="1" thickBot="1" x14ac:dyDescent="0.3">
      <c r="A37" s="377"/>
      <c r="C37" s="305" t="s">
        <v>253</v>
      </c>
      <c r="D37" s="71" t="str">
        <f>IF(D$13="","(nothing selected)",Q10)</f>
        <v xml:space="preserve"> -53 to 200</v>
      </c>
      <c r="E37" s="392" t="str">
        <f>IF(D$18&lt;AN10,"   Temperature is below range.",IF(D$18&gt;AO10,"  Temperature is above range.",""))</f>
        <v/>
      </c>
      <c r="F37" s="393"/>
      <c r="G37" s="393"/>
      <c r="H37" s="393"/>
      <c r="I37" s="4"/>
      <c r="J37" s="15" t="s">
        <v>20</v>
      </c>
      <c r="K37" s="10" t="s">
        <v>723</v>
      </c>
      <c r="L37" s="10">
        <v>0.58711000000000002</v>
      </c>
      <c r="M37" s="10">
        <v>0.25583</v>
      </c>
      <c r="N37" s="10">
        <v>631</v>
      </c>
      <c r="O37" s="10">
        <v>0.28498000000000001</v>
      </c>
      <c r="P37" s="53">
        <v>120.19199999999999</v>
      </c>
      <c r="Q37" s="10" t="s">
        <v>380</v>
      </c>
      <c r="R37" s="131">
        <v>-24.988</v>
      </c>
      <c r="S37" s="131">
        <v>1807.9</v>
      </c>
      <c r="T37" s="131">
        <v>2.0556000000000001</v>
      </c>
      <c r="U37" s="130"/>
      <c r="V37" s="130"/>
      <c r="W37" s="137"/>
      <c r="X37" s="131" t="s">
        <v>148</v>
      </c>
      <c r="Y37" s="131">
        <v>61723</v>
      </c>
      <c r="Z37" s="131">
        <v>494.81</v>
      </c>
      <c r="AA37" s="131"/>
      <c r="AB37" s="130"/>
      <c r="AC37" s="130"/>
      <c r="AD37" s="15" t="s">
        <v>20</v>
      </c>
      <c r="AE37" s="10" t="s">
        <v>382</v>
      </c>
      <c r="AF37" s="163">
        <v>0.1855</v>
      </c>
      <c r="AG37" s="153">
        <f>-2.0895/10000</f>
        <v>-2.0895000000000001E-4</v>
      </c>
      <c r="AH37" s="10"/>
      <c r="AI37" s="15"/>
      <c r="AJ37" s="5"/>
      <c r="AL37" s="319">
        <v>-96</v>
      </c>
      <c r="AM37" s="100">
        <v>358</v>
      </c>
      <c r="AN37" s="99">
        <v>-73</v>
      </c>
      <c r="AO37" s="100">
        <v>127</v>
      </c>
      <c r="AP37" s="105">
        <v>-96</v>
      </c>
      <c r="AQ37" s="106">
        <v>152</v>
      </c>
      <c r="AR37" s="105">
        <v>-96</v>
      </c>
      <c r="AS37" s="106">
        <v>140</v>
      </c>
    </row>
    <row r="38" spans="1:45" ht="13.5" customHeight="1" x14ac:dyDescent="0.2">
      <c r="A38" s="377"/>
      <c r="I38" s="4"/>
      <c r="J38" s="130" t="s">
        <v>21</v>
      </c>
      <c r="K38" s="131" t="s">
        <v>724</v>
      </c>
      <c r="L38" s="131">
        <v>0.88997999999999999</v>
      </c>
      <c r="M38" s="131">
        <v>0.27376</v>
      </c>
      <c r="N38" s="131">
        <v>553.79999999999995</v>
      </c>
      <c r="O38" s="131">
        <v>0.28571000000000002</v>
      </c>
      <c r="P38" s="132">
        <v>84.159000000000006</v>
      </c>
      <c r="Q38" s="131" t="s">
        <v>383</v>
      </c>
      <c r="R38" s="10">
        <v>-33.762999999999998</v>
      </c>
      <c r="S38" s="10">
        <v>2497.1999999999998</v>
      </c>
      <c r="T38" s="10">
        <v>3.2235999999999998</v>
      </c>
      <c r="U38" s="15"/>
      <c r="V38" s="15"/>
      <c r="W38" s="12"/>
      <c r="X38" s="10" t="s">
        <v>149</v>
      </c>
      <c r="Y38" s="10">
        <v>-220600</v>
      </c>
      <c r="Z38" s="10">
        <v>3118.3</v>
      </c>
      <c r="AA38" s="10">
        <v>-9.4215999999999998</v>
      </c>
      <c r="AB38" s="15">
        <v>1.0687E-2</v>
      </c>
      <c r="AC38" s="15"/>
      <c r="AD38" s="130" t="s">
        <v>21</v>
      </c>
      <c r="AE38" s="131" t="s">
        <v>385</v>
      </c>
      <c r="AF38" s="160">
        <v>0.19813</v>
      </c>
      <c r="AG38" s="154">
        <f>-2.505/10000</f>
        <v>-2.5049999999999996E-4</v>
      </c>
      <c r="AH38" s="131"/>
      <c r="AI38" s="130"/>
      <c r="AJ38" s="5"/>
      <c r="AL38" s="319">
        <v>7</v>
      </c>
      <c r="AM38" s="100">
        <v>281</v>
      </c>
      <c r="AN38" s="99">
        <v>7</v>
      </c>
      <c r="AO38" s="100">
        <v>170</v>
      </c>
      <c r="AP38" s="105">
        <v>7</v>
      </c>
      <c r="AQ38" s="106">
        <v>127</v>
      </c>
      <c r="AR38" s="105">
        <v>7</v>
      </c>
      <c r="AS38" s="106">
        <v>81</v>
      </c>
    </row>
    <row r="39" spans="1:45" ht="17.25" customHeight="1" x14ac:dyDescent="0.25">
      <c r="A39" s="377"/>
      <c r="C39" s="59"/>
      <c r="I39" s="4"/>
      <c r="J39" s="15" t="s">
        <v>22</v>
      </c>
      <c r="K39" s="10" t="s">
        <v>725</v>
      </c>
      <c r="L39" s="10">
        <v>1.1034999999999999</v>
      </c>
      <c r="M39" s="10">
        <v>0.27034999999999998</v>
      </c>
      <c r="N39" s="10">
        <v>507</v>
      </c>
      <c r="O39" s="10">
        <v>0.28699000000000002</v>
      </c>
      <c r="P39" s="53">
        <v>70.132999999999996</v>
      </c>
      <c r="Q39" s="10" t="s">
        <v>386</v>
      </c>
      <c r="R39" s="131">
        <v>-3.2612000000000001</v>
      </c>
      <c r="S39" s="131">
        <v>614.16</v>
      </c>
      <c r="T39" s="131">
        <v>-1.1559999999999999</v>
      </c>
      <c r="U39" s="130"/>
      <c r="V39" s="130"/>
      <c r="W39" s="137"/>
      <c r="X39" s="131" t="s">
        <v>153</v>
      </c>
      <c r="Y39" s="131">
        <v>122530</v>
      </c>
      <c r="Z39" s="131">
        <v>-403.8</v>
      </c>
      <c r="AA39" s="131">
        <v>1.7343999999999999</v>
      </c>
      <c r="AB39" s="130">
        <v>-1.0975E-3</v>
      </c>
      <c r="AC39" s="130"/>
      <c r="AD39" s="15" t="s">
        <v>22</v>
      </c>
      <c r="AE39" s="10" t="s">
        <v>388</v>
      </c>
      <c r="AF39" s="163">
        <v>0.20660000000000001</v>
      </c>
      <c r="AG39" s="154">
        <f>-2.696/10000</f>
        <v>-2.6959999999999999E-4</v>
      </c>
      <c r="AH39" s="10"/>
      <c r="AI39" s="15"/>
      <c r="AJ39" s="5"/>
      <c r="AL39" s="319">
        <v>-136</v>
      </c>
      <c r="AM39" s="100">
        <v>507</v>
      </c>
      <c r="AN39" s="99">
        <v>-48</v>
      </c>
      <c r="AO39" s="100">
        <v>52</v>
      </c>
      <c r="AP39" s="105">
        <v>-116</v>
      </c>
      <c r="AQ39" s="106">
        <v>187</v>
      </c>
      <c r="AR39" s="105">
        <v>-94</v>
      </c>
      <c r="AS39" s="106">
        <v>174</v>
      </c>
    </row>
    <row r="40" spans="1:45" ht="18.75" customHeight="1" x14ac:dyDescent="0.25">
      <c r="A40" s="377"/>
      <c r="C40" s="380" t="s">
        <v>254</v>
      </c>
      <c r="D40" s="380"/>
      <c r="I40" s="4"/>
      <c r="J40" s="130" t="s">
        <v>23</v>
      </c>
      <c r="K40" s="131" t="s">
        <v>726</v>
      </c>
      <c r="L40" s="131">
        <v>0.41083999999999998</v>
      </c>
      <c r="M40" s="131">
        <v>0.25174999999999997</v>
      </c>
      <c r="N40" s="131">
        <v>617.70000000000005</v>
      </c>
      <c r="O40" s="131">
        <v>0.28571000000000002</v>
      </c>
      <c r="P40" s="132">
        <v>142.28200000000001</v>
      </c>
      <c r="Q40" s="131" t="s">
        <v>389</v>
      </c>
      <c r="R40" s="10">
        <v>-10.115</v>
      </c>
      <c r="S40" s="10">
        <v>1111.9000000000001</v>
      </c>
      <c r="T40" s="10">
        <v>-1.5658999999999999E-2</v>
      </c>
      <c r="U40" s="15"/>
      <c r="V40" s="15"/>
      <c r="W40" s="12"/>
      <c r="X40" s="10" t="s">
        <v>150</v>
      </c>
      <c r="Y40" s="10">
        <v>278620</v>
      </c>
      <c r="Z40" s="10">
        <v>-197.91</v>
      </c>
      <c r="AA40" s="10">
        <v>1.0737000000000001</v>
      </c>
      <c r="AB40" s="15"/>
      <c r="AC40" s="15"/>
      <c r="AD40" s="130" t="s">
        <v>23</v>
      </c>
      <c r="AE40" s="131" t="s">
        <v>391</v>
      </c>
      <c r="AF40" s="162">
        <v>0.20630000000000001</v>
      </c>
      <c r="AG40" s="164">
        <f>-2.5/10000</f>
        <v>-2.5000000000000001E-4</v>
      </c>
      <c r="AH40" s="131"/>
      <c r="AI40" s="130"/>
      <c r="AJ40" s="5"/>
      <c r="AL40" s="319">
        <v>-29</v>
      </c>
      <c r="AM40" s="100">
        <v>344</v>
      </c>
      <c r="AN40" s="99">
        <v>-6</v>
      </c>
      <c r="AO40" s="100">
        <v>488</v>
      </c>
      <c r="AP40" s="105">
        <v>-29</v>
      </c>
      <c r="AQ40" s="106">
        <v>187</v>
      </c>
      <c r="AR40" s="105">
        <v>-30</v>
      </c>
      <c r="AS40" s="106">
        <v>174</v>
      </c>
    </row>
    <row r="41" spans="1:45" ht="20.25" customHeight="1" x14ac:dyDescent="0.25">
      <c r="A41" s="377"/>
      <c r="C41" s="380"/>
      <c r="D41" s="380"/>
      <c r="I41" s="4"/>
      <c r="J41" s="15" t="s">
        <v>24</v>
      </c>
      <c r="K41" s="10" t="s">
        <v>722</v>
      </c>
      <c r="L41" s="10">
        <v>0.55940999999999996</v>
      </c>
      <c r="M41" s="10">
        <v>0.27243000000000001</v>
      </c>
      <c r="N41" s="10">
        <v>584.1</v>
      </c>
      <c r="O41" s="10">
        <v>0.29931999999999997</v>
      </c>
      <c r="P41" s="53">
        <v>130.22800000000001</v>
      </c>
      <c r="Q41" s="10" t="s">
        <v>392</v>
      </c>
      <c r="R41" s="131">
        <v>10.026999999999999</v>
      </c>
      <c r="S41" s="131">
        <v>206</v>
      </c>
      <c r="T41" s="131">
        <v>-3.1606999999999998</v>
      </c>
      <c r="U41" s="130"/>
      <c r="V41" s="130"/>
      <c r="W41" s="137"/>
      <c r="X41" s="131" t="s">
        <v>151</v>
      </c>
      <c r="Y41" s="131">
        <v>270720</v>
      </c>
      <c r="Z41" s="131">
        <v>-259.83</v>
      </c>
      <c r="AA41" s="131">
        <v>0.95426999999999995</v>
      </c>
      <c r="AB41" s="130"/>
      <c r="AC41" s="130"/>
      <c r="AD41" s="15" t="s">
        <v>24</v>
      </c>
      <c r="AE41" s="10" t="s">
        <v>394</v>
      </c>
      <c r="AF41" s="160">
        <v>0.19417999999999999</v>
      </c>
      <c r="AG41" s="153">
        <f>-2.2246/10000</f>
        <v>-2.2246000000000001E-4</v>
      </c>
      <c r="AH41" s="10"/>
      <c r="AI41" s="15"/>
      <c r="AJ41" s="5"/>
      <c r="AL41" s="319">
        <v>-98</v>
      </c>
      <c r="AM41" s="100">
        <v>311</v>
      </c>
      <c r="AN41" s="99">
        <v>-98</v>
      </c>
      <c r="AO41" s="100">
        <v>141</v>
      </c>
      <c r="AP41" s="105">
        <v>-98</v>
      </c>
      <c r="AQ41" s="106">
        <v>177</v>
      </c>
      <c r="AR41" s="105">
        <v>-98</v>
      </c>
      <c r="AS41" s="106">
        <v>250</v>
      </c>
    </row>
    <row r="42" spans="1:45" ht="18.75" customHeight="1" thickBot="1" x14ac:dyDescent="0.3">
      <c r="A42" s="377"/>
      <c r="E42" s="59" t="s">
        <v>270</v>
      </c>
      <c r="I42" s="4"/>
      <c r="J42" s="130" t="s">
        <v>25</v>
      </c>
      <c r="K42" s="131" t="s">
        <v>727</v>
      </c>
      <c r="L42" s="131">
        <v>0.68184</v>
      </c>
      <c r="M42" s="131">
        <v>0.23796</v>
      </c>
      <c r="N42" s="131">
        <v>736.6</v>
      </c>
      <c r="O42" s="131">
        <v>0.20619999999999999</v>
      </c>
      <c r="P42" s="132">
        <v>105.136</v>
      </c>
      <c r="Q42" s="131" t="s">
        <v>395</v>
      </c>
      <c r="R42" s="10">
        <v>-375.21</v>
      </c>
      <c r="S42" s="10">
        <v>17177</v>
      </c>
      <c r="T42" s="10">
        <v>66.66</v>
      </c>
      <c r="U42" s="10">
        <v>-3.6366999999999998</v>
      </c>
      <c r="V42" s="10">
        <v>0.5</v>
      </c>
      <c r="W42" s="12"/>
      <c r="X42" s="10" t="s">
        <v>152</v>
      </c>
      <c r="Y42" s="10">
        <v>184200</v>
      </c>
      <c r="Z42" s="10">
        <v>286</v>
      </c>
      <c r="AA42" s="10"/>
      <c r="AB42" s="10"/>
      <c r="AC42" s="10"/>
      <c r="AD42" s="130" t="s">
        <v>25</v>
      </c>
      <c r="AE42" s="131" t="s">
        <v>397</v>
      </c>
      <c r="AF42" s="162">
        <v>2.18E-2</v>
      </c>
      <c r="AG42" s="153">
        <f>1.0315/1000</f>
        <v>1.0315000000000001E-3</v>
      </c>
      <c r="AH42" s="165">
        <f>-1.355/1000000</f>
        <v>-1.3549999999999999E-6</v>
      </c>
      <c r="AI42" s="131"/>
      <c r="AJ42" s="8"/>
      <c r="AL42" s="319">
        <v>29</v>
      </c>
      <c r="AM42" s="100">
        <v>464</v>
      </c>
      <c r="AN42" s="99">
        <v>20</v>
      </c>
      <c r="AO42" s="100">
        <v>316</v>
      </c>
      <c r="AP42" s="105">
        <v>28</v>
      </c>
      <c r="AQ42" s="106">
        <v>268</v>
      </c>
      <c r="AR42" s="105">
        <v>28</v>
      </c>
      <c r="AS42" s="106">
        <v>400</v>
      </c>
    </row>
    <row r="43" spans="1:45" ht="19.5" customHeight="1" x14ac:dyDescent="0.25">
      <c r="A43" s="377"/>
      <c r="C43" s="378" t="s">
        <v>106</v>
      </c>
      <c r="D43" s="379"/>
      <c r="E43" s="59" t="s">
        <v>271</v>
      </c>
      <c r="I43" s="4"/>
      <c r="J43" s="15" t="s">
        <v>26</v>
      </c>
      <c r="K43" s="10" t="s">
        <v>728</v>
      </c>
      <c r="L43" s="10">
        <v>0.95540000000000003</v>
      </c>
      <c r="M43" s="10">
        <v>0.26846999999999999</v>
      </c>
      <c r="N43" s="10">
        <v>466.7</v>
      </c>
      <c r="O43" s="10">
        <v>0.28139999999999998</v>
      </c>
      <c r="P43" s="53">
        <v>74.122</v>
      </c>
      <c r="Q43" s="10" t="s">
        <v>398</v>
      </c>
      <c r="R43" s="131">
        <v>10.196999999999999</v>
      </c>
      <c r="S43" s="131">
        <v>-63.8</v>
      </c>
      <c r="T43" s="131">
        <v>-3.226</v>
      </c>
      <c r="U43" s="130"/>
      <c r="V43" s="130"/>
      <c r="W43" s="137"/>
      <c r="X43" s="131" t="s">
        <v>117</v>
      </c>
      <c r="Y43" s="131">
        <v>44400</v>
      </c>
      <c r="Z43" s="131">
        <v>1301</v>
      </c>
      <c r="AA43" s="131">
        <v>-5.5</v>
      </c>
      <c r="AB43" s="130">
        <v>8.763E-3</v>
      </c>
      <c r="AC43" s="130"/>
      <c r="AD43" s="15" t="s">
        <v>26</v>
      </c>
      <c r="AE43" s="10" t="s">
        <v>399</v>
      </c>
      <c r="AF43" s="162">
        <v>0.2495</v>
      </c>
      <c r="AG43" s="159">
        <f>-4.07/10000</f>
        <v>-4.0700000000000003E-4</v>
      </c>
      <c r="AH43" s="10"/>
      <c r="AI43" s="15"/>
      <c r="AJ43" s="5"/>
      <c r="AL43" s="319">
        <v>-116</v>
      </c>
      <c r="AM43" s="100">
        <v>194</v>
      </c>
      <c r="AN43" s="99">
        <v>73</v>
      </c>
      <c r="AO43" s="100">
        <v>100</v>
      </c>
      <c r="AP43" s="105">
        <v>73</v>
      </c>
      <c r="AQ43" s="106">
        <v>100</v>
      </c>
      <c r="AR43" s="105">
        <v>-116</v>
      </c>
      <c r="AS43" s="106">
        <v>160</v>
      </c>
    </row>
    <row r="44" spans="1:45" ht="15" x14ac:dyDescent="0.25">
      <c r="A44" s="377"/>
      <c r="C44" s="7"/>
      <c r="D44" s="8"/>
      <c r="E44" s="59" t="s">
        <v>272</v>
      </c>
      <c r="I44" s="4"/>
      <c r="J44" s="130" t="s">
        <v>27</v>
      </c>
      <c r="K44" s="131" t="s">
        <v>729</v>
      </c>
      <c r="L44" s="131">
        <v>1.1095999999999999</v>
      </c>
      <c r="M44" s="131">
        <v>0.25189</v>
      </c>
      <c r="N44" s="131">
        <v>729</v>
      </c>
      <c r="O44" s="131">
        <v>0.33110000000000001</v>
      </c>
      <c r="P44" s="132">
        <v>78.132999999999996</v>
      </c>
      <c r="Q44" s="131" t="s">
        <v>400</v>
      </c>
      <c r="R44" s="10">
        <v>-37.347000000000001</v>
      </c>
      <c r="S44" s="10">
        <v>2835</v>
      </c>
      <c r="T44" s="10">
        <v>3.7936999999999999</v>
      </c>
      <c r="U44" s="15"/>
      <c r="V44" s="15"/>
      <c r="W44" s="12"/>
      <c r="X44" s="10" t="s">
        <v>154</v>
      </c>
      <c r="Y44" s="10">
        <v>240300</v>
      </c>
      <c r="Z44" s="10">
        <v>-595</v>
      </c>
      <c r="AA44" s="10">
        <v>1013</v>
      </c>
      <c r="AB44" s="15"/>
      <c r="AC44" s="15"/>
      <c r="AD44" s="130" t="s">
        <v>27</v>
      </c>
      <c r="AE44" s="131" t="s">
        <v>400</v>
      </c>
      <c r="AF44" s="162">
        <v>0.31419999999999998</v>
      </c>
      <c r="AG44" s="153">
        <f>-3.0809/10000</f>
        <v>-3.0809000000000001E-4</v>
      </c>
      <c r="AH44" s="131"/>
      <c r="AI44" s="130"/>
      <c r="AJ44" s="5"/>
      <c r="AL44" s="319">
        <v>19</v>
      </c>
      <c r="AM44" s="100">
        <v>456</v>
      </c>
      <c r="AN44" s="99">
        <v>19</v>
      </c>
      <c r="AO44" s="100">
        <v>191</v>
      </c>
      <c r="AP44" s="105">
        <v>18</v>
      </c>
      <c r="AQ44" s="106">
        <v>160</v>
      </c>
      <c r="AR44" s="105">
        <v>19</v>
      </c>
      <c r="AS44" s="106">
        <v>191</v>
      </c>
    </row>
    <row r="45" spans="1:45" ht="16.5" customHeight="1" thickBot="1" x14ac:dyDescent="0.3">
      <c r="A45" s="377"/>
      <c r="C45" s="307" t="s">
        <v>686</v>
      </c>
      <c r="D45" s="73"/>
      <c r="E45" s="182" t="s">
        <v>273</v>
      </c>
      <c r="I45" s="4"/>
      <c r="J45" s="15" t="s">
        <v>28</v>
      </c>
      <c r="K45" s="10" t="s">
        <v>730</v>
      </c>
      <c r="L45" s="10">
        <v>0.52132999999999996</v>
      </c>
      <c r="M45" s="10">
        <v>0.26218000000000002</v>
      </c>
      <c r="N45" s="10">
        <v>766.8</v>
      </c>
      <c r="O45" s="10">
        <v>0.31032999999999999</v>
      </c>
      <c r="P45" s="53">
        <v>170.20699999999999</v>
      </c>
      <c r="Q45" s="10" t="s">
        <v>402</v>
      </c>
      <c r="R45" s="131">
        <v>-12.372999999999999</v>
      </c>
      <c r="S45" s="131">
        <v>2017.5</v>
      </c>
      <c r="T45" s="130"/>
      <c r="U45" s="130"/>
      <c r="V45" s="130"/>
      <c r="W45" s="137"/>
      <c r="X45" s="131" t="s">
        <v>155</v>
      </c>
      <c r="Y45" s="131">
        <v>134160</v>
      </c>
      <c r="Z45" s="131">
        <v>447.67</v>
      </c>
      <c r="AA45" s="130"/>
      <c r="AB45" s="130"/>
      <c r="AC45" s="130"/>
      <c r="AD45" s="15" t="s">
        <v>28</v>
      </c>
      <c r="AE45" s="10" t="s">
        <v>404</v>
      </c>
      <c r="AF45" s="160">
        <v>0.18686</v>
      </c>
      <c r="AG45" s="153">
        <f>-1.4953/10000</f>
        <v>-1.4953000000000001E-4</v>
      </c>
      <c r="AH45" s="15"/>
      <c r="AI45" s="15"/>
      <c r="AJ45" s="5"/>
      <c r="AL45" s="319">
        <v>27</v>
      </c>
      <c r="AM45" s="100">
        <v>494</v>
      </c>
      <c r="AN45" s="99">
        <v>20</v>
      </c>
      <c r="AO45" s="100">
        <v>340</v>
      </c>
      <c r="AP45" s="105">
        <v>27</v>
      </c>
      <c r="AQ45" s="106">
        <v>297</v>
      </c>
      <c r="AR45" s="105">
        <v>27</v>
      </c>
      <c r="AS45" s="106">
        <v>258</v>
      </c>
    </row>
    <row r="46" spans="1:45" ht="16.5" customHeight="1" x14ac:dyDescent="0.2">
      <c r="A46" s="377"/>
      <c r="I46" s="4"/>
      <c r="J46" s="130" t="s">
        <v>29</v>
      </c>
      <c r="K46" s="131" t="s">
        <v>731</v>
      </c>
      <c r="L46" s="131">
        <v>0.33267000000000002</v>
      </c>
      <c r="M46" s="131">
        <v>0.24664</v>
      </c>
      <c r="N46" s="131">
        <v>658</v>
      </c>
      <c r="O46" s="131">
        <v>0.28571000000000002</v>
      </c>
      <c r="P46" s="132">
        <v>170.33500000000001</v>
      </c>
      <c r="Q46" s="131" t="s">
        <v>405</v>
      </c>
      <c r="R46" s="10">
        <v>-7.8243999999999998</v>
      </c>
      <c r="S46" s="10">
        <v>1191.9000000000001</v>
      </c>
      <c r="T46" s="10">
        <v>-0.49963000000000002</v>
      </c>
      <c r="U46" s="15">
        <f>3.9572*1E+23</f>
        <v>3.9571999999999996E+23</v>
      </c>
      <c r="V46" s="10">
        <v>-10</v>
      </c>
      <c r="W46" s="12"/>
      <c r="X46" s="10" t="s">
        <v>156</v>
      </c>
      <c r="Y46" s="10">
        <v>508210</v>
      </c>
      <c r="Z46" s="10">
        <v>-1368.7</v>
      </c>
      <c r="AA46" s="10">
        <v>3.1015000000000001</v>
      </c>
      <c r="AB46" s="15"/>
      <c r="AC46" s="10"/>
      <c r="AD46" s="130" t="s">
        <v>29</v>
      </c>
      <c r="AE46" s="131" t="s">
        <v>407</v>
      </c>
      <c r="AF46" s="162">
        <v>0.20469999999999999</v>
      </c>
      <c r="AG46" s="154">
        <f>-2.326/10000</f>
        <v>-2.3260000000000002E-4</v>
      </c>
      <c r="AH46" s="131"/>
      <c r="AI46" s="130"/>
      <c r="AJ46" s="8"/>
      <c r="AL46" s="319">
        <v>-9</v>
      </c>
      <c r="AM46" s="100">
        <v>385</v>
      </c>
      <c r="AN46" s="99">
        <v>-11</v>
      </c>
      <c r="AO46" s="100">
        <v>253</v>
      </c>
      <c r="AP46" s="105">
        <v>-9</v>
      </c>
      <c r="AQ46" s="106">
        <v>57</v>
      </c>
      <c r="AR46" s="105">
        <v>-10</v>
      </c>
      <c r="AS46" s="106">
        <v>216</v>
      </c>
    </row>
    <row r="47" spans="1:45" ht="17.25" customHeight="1" x14ac:dyDescent="0.25">
      <c r="A47" s="377"/>
      <c r="C47" s="68" t="s">
        <v>251</v>
      </c>
      <c r="D47" s="356">
        <f>IF(D45="",C36,D45)</f>
        <v>3.1061832646173105E-4</v>
      </c>
      <c r="E47" s="64" t="s">
        <v>685</v>
      </c>
      <c r="F47" s="59" t="str">
        <f>IF(D45="","     (from menu selection)","     (manual entry)")</f>
        <v xml:space="preserve">     (from menu selection)</v>
      </c>
      <c r="I47" s="4"/>
      <c r="J47" s="15" t="s">
        <v>30</v>
      </c>
      <c r="K47" s="10" t="s">
        <v>732</v>
      </c>
      <c r="L47" s="10">
        <v>1.6288</v>
      </c>
      <c r="M47" s="10">
        <v>0.27468999999999999</v>
      </c>
      <c r="N47" s="10">
        <v>514</v>
      </c>
      <c r="O47" s="10">
        <v>0.23178000000000001</v>
      </c>
      <c r="P47" s="53">
        <v>46.067999999999998</v>
      </c>
      <c r="Q47" s="10" t="s">
        <v>408</v>
      </c>
      <c r="R47" s="131">
        <v>7.875</v>
      </c>
      <c r="S47" s="131">
        <v>781.98</v>
      </c>
      <c r="T47" s="131">
        <v>-3.0417999999999998</v>
      </c>
      <c r="U47" s="130"/>
      <c r="V47" s="130"/>
      <c r="W47" s="137"/>
      <c r="X47" s="131" t="s">
        <v>157</v>
      </c>
      <c r="Y47" s="131">
        <v>102640</v>
      </c>
      <c r="Z47" s="131">
        <v>-139.63</v>
      </c>
      <c r="AA47" s="131">
        <v>-3.0341E-2</v>
      </c>
      <c r="AB47" s="130">
        <v>2.0303859999999999E-3</v>
      </c>
      <c r="AC47" s="130"/>
      <c r="AD47" s="15" t="s">
        <v>30</v>
      </c>
      <c r="AE47" s="10" t="s">
        <v>410</v>
      </c>
      <c r="AF47" s="162">
        <v>0.24679999999999999</v>
      </c>
      <c r="AG47" s="159">
        <f>-2.64/10000</f>
        <v>-2.6400000000000002E-4</v>
      </c>
      <c r="AH47" s="10"/>
      <c r="AI47" s="15"/>
      <c r="AJ47" s="5"/>
      <c r="AL47" s="319">
        <v>-114</v>
      </c>
      <c r="AM47" s="100">
        <v>241</v>
      </c>
      <c r="AN47" s="99">
        <v>-73</v>
      </c>
      <c r="AO47" s="100">
        <v>167</v>
      </c>
      <c r="AP47" s="105">
        <v>-114</v>
      </c>
      <c r="AQ47" s="106">
        <v>117</v>
      </c>
      <c r="AR47" s="105">
        <v>-114</v>
      </c>
      <c r="AS47" s="106">
        <v>80</v>
      </c>
    </row>
    <row r="48" spans="1:45" ht="17.25" customHeight="1" x14ac:dyDescent="0.2">
      <c r="A48" s="377"/>
      <c r="C48" s="129" t="s">
        <v>266</v>
      </c>
      <c r="I48" s="4"/>
      <c r="J48" s="130" t="s">
        <v>31</v>
      </c>
      <c r="K48" s="131" t="s">
        <v>733</v>
      </c>
      <c r="L48" s="131">
        <v>0.89959999999999996</v>
      </c>
      <c r="M48" s="131">
        <v>0.25856000000000001</v>
      </c>
      <c r="N48" s="131">
        <v>523.29999999999995</v>
      </c>
      <c r="O48" s="131">
        <v>0.27800000000000002</v>
      </c>
      <c r="P48" s="132">
        <v>88.105000000000004</v>
      </c>
      <c r="Q48" s="131" t="s">
        <v>411</v>
      </c>
      <c r="R48" s="10">
        <v>14.353999999999999</v>
      </c>
      <c r="S48" s="10">
        <v>-154.6</v>
      </c>
      <c r="T48" s="10">
        <v>-3.7887</v>
      </c>
      <c r="U48" s="15"/>
      <c r="V48" s="15"/>
      <c r="W48" s="12"/>
      <c r="X48" s="10" t="s">
        <v>158</v>
      </c>
      <c r="Y48" s="10">
        <v>226230</v>
      </c>
      <c r="Z48" s="10">
        <v>-624.79999999999995</v>
      </c>
      <c r="AA48" s="10">
        <v>1.472</v>
      </c>
      <c r="AB48" s="15"/>
      <c r="AC48" s="15"/>
      <c r="AD48" s="130" t="s">
        <v>31</v>
      </c>
      <c r="AE48" s="131" t="s">
        <v>413</v>
      </c>
      <c r="AF48" s="162">
        <v>0.25009999999999999</v>
      </c>
      <c r="AG48" s="154">
        <f>-3.563/10000</f>
        <v>-3.5630000000000004E-4</v>
      </c>
      <c r="AH48" s="131"/>
      <c r="AI48" s="130"/>
      <c r="AJ48" s="5"/>
      <c r="AL48" s="319">
        <v>-83</v>
      </c>
      <c r="AM48" s="100">
        <v>250</v>
      </c>
      <c r="AN48" s="99">
        <v>-53</v>
      </c>
      <c r="AO48" s="100">
        <v>200</v>
      </c>
      <c r="AP48" s="105">
        <v>-83</v>
      </c>
      <c r="AQ48" s="106">
        <v>133</v>
      </c>
      <c r="AR48" s="105">
        <v>-84</v>
      </c>
      <c r="AS48" s="106">
        <v>77</v>
      </c>
    </row>
    <row r="49" spans="1:45" ht="21.75" customHeight="1" x14ac:dyDescent="0.2">
      <c r="I49" s="4"/>
      <c r="J49" s="15" t="s">
        <v>32</v>
      </c>
      <c r="K49" s="10" t="s">
        <v>734</v>
      </c>
      <c r="L49" s="10">
        <v>0.48864000000000002</v>
      </c>
      <c r="M49" s="10">
        <v>0.23894000000000001</v>
      </c>
      <c r="N49" s="10">
        <v>698</v>
      </c>
      <c r="O49" s="10">
        <v>0.28421000000000002</v>
      </c>
      <c r="P49" s="53">
        <v>150.17500000000001</v>
      </c>
      <c r="Q49" s="10" t="s">
        <v>414</v>
      </c>
      <c r="R49" s="131">
        <v>-40.706000000000003</v>
      </c>
      <c r="S49" s="131">
        <v>3035</v>
      </c>
      <c r="T49" s="131">
        <v>4.2655000000000003</v>
      </c>
      <c r="U49" s="130"/>
      <c r="V49" s="130"/>
      <c r="W49" s="137"/>
      <c r="X49" s="131" t="s">
        <v>159</v>
      </c>
      <c r="Y49" s="131">
        <v>124500</v>
      </c>
      <c r="Z49" s="131">
        <v>370.6</v>
      </c>
      <c r="AA49" s="131"/>
      <c r="AB49" s="130"/>
      <c r="AC49" s="130"/>
      <c r="AD49" s="15" t="s">
        <v>32</v>
      </c>
      <c r="AE49" s="10" t="s">
        <v>416</v>
      </c>
      <c r="AF49" s="160">
        <v>0.20771000000000001</v>
      </c>
      <c r="AG49" s="153">
        <f>-2.1265/10000</f>
        <v>-2.1265000000000002E-4</v>
      </c>
      <c r="AH49" s="10"/>
      <c r="AI49" s="15"/>
      <c r="AJ49" s="5"/>
      <c r="AL49" s="319">
        <v>-35</v>
      </c>
      <c r="AM49" s="100">
        <v>425</v>
      </c>
      <c r="AN49" s="99">
        <v>-23</v>
      </c>
      <c r="AO49" s="100">
        <v>214</v>
      </c>
      <c r="AP49" s="105">
        <v>-34</v>
      </c>
      <c r="AQ49" s="106">
        <v>213</v>
      </c>
      <c r="AR49" s="105">
        <v>-35</v>
      </c>
      <c r="AS49" s="106">
        <v>276</v>
      </c>
    </row>
    <row r="50" spans="1:45" ht="15.75" customHeight="1" thickBot="1" x14ac:dyDescent="0.25">
      <c r="A50" s="377" t="s">
        <v>121</v>
      </c>
      <c r="I50" s="4"/>
      <c r="J50" s="130" t="s">
        <v>34</v>
      </c>
      <c r="K50" s="131" t="s">
        <v>735</v>
      </c>
      <c r="L50" s="131">
        <v>1.3149999999999999</v>
      </c>
      <c r="M50" s="131">
        <v>0.25124999999999997</v>
      </c>
      <c r="N50" s="131">
        <v>720</v>
      </c>
      <c r="O50" s="131">
        <v>0.21868000000000001</v>
      </c>
      <c r="P50" s="132">
        <v>62.067999999999998</v>
      </c>
      <c r="Q50" s="131" t="s">
        <v>417</v>
      </c>
      <c r="R50" s="10">
        <v>-20.515000000000001</v>
      </c>
      <c r="S50" s="10">
        <v>2468.5</v>
      </c>
      <c r="T50" s="10">
        <v>1.2435</v>
      </c>
      <c r="U50" s="15">
        <f>2.4998*1000000000000</f>
        <v>2499800000000</v>
      </c>
      <c r="V50" s="10">
        <v>-5</v>
      </c>
      <c r="W50" s="12"/>
      <c r="X50" s="10" t="s">
        <v>160</v>
      </c>
      <c r="Y50" s="10">
        <v>35540</v>
      </c>
      <c r="Z50" s="10">
        <v>436.78</v>
      </c>
      <c r="AA50" s="10">
        <v>-0.18486</v>
      </c>
      <c r="AB50" s="15"/>
      <c r="AC50" s="10"/>
      <c r="AD50" s="130" t="s">
        <v>34</v>
      </c>
      <c r="AE50" s="131" t="s">
        <v>419</v>
      </c>
      <c r="AF50" s="166">
        <v>8.8067000000000006E-2</v>
      </c>
      <c r="AG50" s="153">
        <f>9.4712/10000</f>
        <v>9.4711999999999997E-4</v>
      </c>
      <c r="AH50" s="131"/>
      <c r="AI50" s="130"/>
      <c r="AJ50" s="8"/>
      <c r="AL50" s="319">
        <v>-13</v>
      </c>
      <c r="AM50" s="100">
        <v>447</v>
      </c>
      <c r="AN50" s="99">
        <v>-13</v>
      </c>
      <c r="AO50" s="100">
        <v>303</v>
      </c>
      <c r="AP50" s="105">
        <v>-13</v>
      </c>
      <c r="AQ50" s="106">
        <v>220</v>
      </c>
      <c r="AR50" s="105">
        <v>-13</v>
      </c>
      <c r="AS50" s="106">
        <v>197</v>
      </c>
    </row>
    <row r="51" spans="1:45" ht="18" customHeight="1" thickBot="1" x14ac:dyDescent="0.25">
      <c r="A51" s="377"/>
      <c r="C51" s="381" t="s">
        <v>122</v>
      </c>
      <c r="D51" s="382"/>
      <c r="I51" s="4"/>
      <c r="J51" s="15" t="s">
        <v>33</v>
      </c>
      <c r="K51" s="10" t="s">
        <v>736</v>
      </c>
      <c r="L51" s="10">
        <v>0.78420000000000001</v>
      </c>
      <c r="M51" s="10">
        <v>0.20702000000000001</v>
      </c>
      <c r="N51" s="10">
        <v>593</v>
      </c>
      <c r="O51" s="10">
        <v>0.20254</v>
      </c>
      <c r="P51" s="53">
        <v>60.097999999999999</v>
      </c>
      <c r="Q51" s="10" t="s">
        <v>420</v>
      </c>
      <c r="R51" s="131">
        <v>-53.908000000000001</v>
      </c>
      <c r="S51" s="131">
        <v>4030.8</v>
      </c>
      <c r="T51" s="131">
        <v>5.9703999999999997</v>
      </c>
      <c r="U51" s="130"/>
      <c r="V51" s="130"/>
      <c r="W51" s="137"/>
      <c r="X51" s="131" t="s">
        <v>161</v>
      </c>
      <c r="Y51" s="131">
        <v>184440</v>
      </c>
      <c r="Z51" s="131">
        <v>-150.19999999999999</v>
      </c>
      <c r="AA51" s="131">
        <v>0.37043999999999999</v>
      </c>
      <c r="AB51" s="130"/>
      <c r="AC51" s="130"/>
      <c r="AD51" s="15" t="s">
        <v>33</v>
      </c>
      <c r="AE51" s="10" t="s">
        <v>421</v>
      </c>
      <c r="AF51" s="160">
        <v>0.36434</v>
      </c>
      <c r="AG51" s="154">
        <f>-4.433/10000</f>
        <v>-4.4329999999999999E-4</v>
      </c>
      <c r="AH51" s="10"/>
      <c r="AI51" s="15"/>
      <c r="AJ51" s="5"/>
      <c r="AL51" s="319">
        <v>12</v>
      </c>
      <c r="AM51" s="100">
        <v>320</v>
      </c>
      <c r="AN51" s="99">
        <v>11</v>
      </c>
      <c r="AO51" s="100">
        <v>210</v>
      </c>
      <c r="AP51" s="105">
        <v>11</v>
      </c>
      <c r="AQ51" s="106">
        <v>117</v>
      </c>
      <c r="AR51" s="105">
        <v>11</v>
      </c>
      <c r="AS51" s="106">
        <v>117</v>
      </c>
    </row>
    <row r="52" spans="1:45" ht="16.5" customHeight="1" x14ac:dyDescent="0.2">
      <c r="A52" s="377"/>
      <c r="C52" s="95">
        <f>X11</f>
        <v>2043.6201296180691</v>
      </c>
      <c r="D52" s="308" t="s">
        <v>688</v>
      </c>
      <c r="F52" s="410"/>
      <c r="G52" s="410"/>
      <c r="I52" s="4"/>
      <c r="J52" s="130" t="s">
        <v>35</v>
      </c>
      <c r="K52" s="131" t="s">
        <v>737</v>
      </c>
      <c r="L52" s="131">
        <v>1.0145999999999999</v>
      </c>
      <c r="M52" s="131">
        <v>0.27277000000000001</v>
      </c>
      <c r="N52" s="134">
        <v>560.09</v>
      </c>
      <c r="O52" s="131">
        <v>0.28290999999999999</v>
      </c>
      <c r="P52" s="132">
        <v>96.102000000000004</v>
      </c>
      <c r="Q52" s="131" t="s">
        <v>422</v>
      </c>
      <c r="R52" s="10">
        <v>-10.064</v>
      </c>
      <c r="S52" s="10">
        <v>1058.7</v>
      </c>
      <c r="T52" s="10">
        <v>-0.17161999999999999</v>
      </c>
      <c r="U52" s="15"/>
      <c r="V52" s="15"/>
      <c r="W52" s="12"/>
      <c r="X52" s="10" t="s">
        <v>162</v>
      </c>
      <c r="Y52" s="10">
        <v>-991200</v>
      </c>
      <c r="Z52" s="10">
        <v>11734</v>
      </c>
      <c r="AA52" s="10">
        <v>-40669</v>
      </c>
      <c r="AB52" s="15">
        <v>4.7333E-2</v>
      </c>
      <c r="AC52" s="15"/>
      <c r="AD52" s="130" t="s">
        <v>35</v>
      </c>
      <c r="AE52" s="131" t="s">
        <v>424</v>
      </c>
      <c r="AF52" s="160">
        <v>0.20962</v>
      </c>
      <c r="AG52" s="153">
        <f>-2.8034/10000</f>
        <v>-2.8034000000000002E-4</v>
      </c>
      <c r="AH52" s="131"/>
      <c r="AI52" s="130"/>
      <c r="AJ52" s="5"/>
      <c r="AL52" s="319">
        <v>-42</v>
      </c>
      <c r="AM52" s="100">
        <v>287</v>
      </c>
      <c r="AN52" s="99">
        <v>-41</v>
      </c>
      <c r="AO52" s="100">
        <v>180</v>
      </c>
      <c r="AP52" s="105">
        <v>-33</v>
      </c>
      <c r="AQ52" s="106">
        <v>47</v>
      </c>
      <c r="AR52" s="105">
        <v>-35</v>
      </c>
      <c r="AS52" s="106">
        <v>80</v>
      </c>
    </row>
    <row r="53" spans="1:45" ht="17.25" customHeight="1" thickBot="1" x14ac:dyDescent="0.3">
      <c r="A53" s="377"/>
      <c r="C53" s="305" t="s">
        <v>253</v>
      </c>
      <c r="D53" s="71" t="str">
        <f>IF(D$13="","(nothing selected)",X10)</f>
        <v xml:space="preserve"> -118 to 272</v>
      </c>
      <c r="E53" s="392" t="str">
        <f>IF(D$18&lt;AP10,"   Temperature is below range.",IF(D$18&gt;AQ10,"  Temperature is above range.",""))</f>
        <v/>
      </c>
      <c r="F53" s="393"/>
      <c r="G53" s="393"/>
      <c r="H53" s="393"/>
      <c r="I53" s="4"/>
      <c r="J53" s="15" t="s">
        <v>36</v>
      </c>
      <c r="K53" s="10" t="s">
        <v>738</v>
      </c>
      <c r="L53" s="10">
        <v>1.2485999999999999</v>
      </c>
      <c r="M53" s="10">
        <v>0.20352000000000001</v>
      </c>
      <c r="N53" s="10">
        <v>771</v>
      </c>
      <c r="O53" s="10">
        <v>0.25178</v>
      </c>
      <c r="P53" s="53">
        <v>45.040999999999997</v>
      </c>
      <c r="Q53" s="10" t="s">
        <v>425</v>
      </c>
      <c r="R53" s="131">
        <v>40.152999999999999</v>
      </c>
      <c r="S53" s="131">
        <v>-912.39</v>
      </c>
      <c r="T53" s="131">
        <v>-7.5663999999999998</v>
      </c>
      <c r="U53" s="130">
        <f>1.6873*1E+24</f>
        <v>1.6873000000000001E+24</v>
      </c>
      <c r="V53" s="131">
        <v>-10</v>
      </c>
      <c r="W53" s="137"/>
      <c r="X53" s="131" t="s">
        <v>163</v>
      </c>
      <c r="Y53" s="131">
        <v>63400</v>
      </c>
      <c r="Z53" s="131">
        <v>150.6</v>
      </c>
      <c r="AA53" s="131"/>
      <c r="AB53" s="130"/>
      <c r="AC53" s="131"/>
      <c r="AD53" s="15" t="s">
        <v>36</v>
      </c>
      <c r="AE53" s="10" t="s">
        <v>427</v>
      </c>
      <c r="AF53" s="160">
        <v>0.38469999999999999</v>
      </c>
      <c r="AG53" s="154">
        <f>-1.065/10000</f>
        <v>-1.065E-4</v>
      </c>
      <c r="AH53" s="10"/>
      <c r="AI53" s="15"/>
      <c r="AJ53" s="8"/>
      <c r="AL53" s="319">
        <v>3</v>
      </c>
      <c r="AM53" s="100">
        <v>498</v>
      </c>
      <c r="AN53" s="99">
        <v>0</v>
      </c>
      <c r="AO53" s="100">
        <v>220</v>
      </c>
      <c r="AP53" s="105">
        <v>18</v>
      </c>
      <c r="AQ53" s="106">
        <v>220</v>
      </c>
      <c r="AR53" s="105">
        <v>3</v>
      </c>
      <c r="AS53" s="106">
        <v>220</v>
      </c>
    </row>
    <row r="54" spans="1:45" ht="13.5" customHeight="1" x14ac:dyDescent="0.2">
      <c r="A54" s="377"/>
      <c r="I54" s="4"/>
      <c r="J54" s="130" t="s">
        <v>37</v>
      </c>
      <c r="K54" s="131" t="s">
        <v>739</v>
      </c>
      <c r="L54" s="131">
        <v>0.61258999999999997</v>
      </c>
      <c r="M54" s="131">
        <v>0.26211000000000001</v>
      </c>
      <c r="N54" s="131">
        <v>540.20000000000005</v>
      </c>
      <c r="O54" s="131">
        <v>0.28140999999999999</v>
      </c>
      <c r="P54" s="132">
        <v>100.202</v>
      </c>
      <c r="Q54" s="131" t="s">
        <v>428</v>
      </c>
      <c r="R54" s="131">
        <v>-9.4621999999999993</v>
      </c>
      <c r="S54" s="131">
        <v>877.07</v>
      </c>
      <c r="T54" s="131">
        <v>-0.23444999999999999</v>
      </c>
      <c r="U54" s="130">
        <f>1.4022*1E+22</f>
        <v>1.4021999999999998E+22</v>
      </c>
      <c r="V54" s="131">
        <v>-10</v>
      </c>
      <c r="W54" s="137"/>
      <c r="X54" s="131" t="s">
        <v>164</v>
      </c>
      <c r="Y54" s="131">
        <v>61.26</v>
      </c>
      <c r="Z54" s="131">
        <v>314410</v>
      </c>
      <c r="AA54" s="131">
        <v>1824.6</v>
      </c>
      <c r="AB54" s="130">
        <v>-2547.9</v>
      </c>
      <c r="AC54" s="131">
        <v>-10</v>
      </c>
      <c r="AD54" s="130" t="s">
        <v>37</v>
      </c>
      <c r="AE54" s="131" t="s">
        <v>430</v>
      </c>
      <c r="AF54" s="160">
        <v>0.215</v>
      </c>
      <c r="AG54" s="159">
        <f>-3.03/10000</f>
        <v>-3.0299999999999999E-4</v>
      </c>
      <c r="AH54" s="131"/>
      <c r="AI54" s="130"/>
      <c r="AJ54" s="8"/>
      <c r="AL54" s="319">
        <v>-90</v>
      </c>
      <c r="AM54" s="100">
        <v>267</v>
      </c>
      <c r="AN54" s="99">
        <v>-93</v>
      </c>
      <c r="AO54" s="100">
        <v>159</v>
      </c>
      <c r="AP54" s="105">
        <v>-91</v>
      </c>
      <c r="AQ54" s="106">
        <v>247</v>
      </c>
      <c r="AR54" s="105">
        <v>-91</v>
      </c>
      <c r="AS54" s="106">
        <v>99</v>
      </c>
    </row>
    <row r="55" spans="1:45" ht="17.25" customHeight="1" x14ac:dyDescent="0.25">
      <c r="A55" s="377"/>
      <c r="C55" s="59"/>
      <c r="I55" s="4"/>
      <c r="J55" s="15" t="s">
        <v>38</v>
      </c>
      <c r="K55" s="10" t="s">
        <v>740</v>
      </c>
      <c r="L55" s="10">
        <v>0.23289000000000001</v>
      </c>
      <c r="M55" s="10">
        <v>0.23658999999999999</v>
      </c>
      <c r="N55" s="10">
        <v>723</v>
      </c>
      <c r="O55" s="10">
        <v>0.28571000000000002</v>
      </c>
      <c r="P55" s="53">
        <v>226.441</v>
      </c>
      <c r="Q55" s="10" t="s">
        <v>431</v>
      </c>
      <c r="R55" s="10">
        <v>-20.181999999999999</v>
      </c>
      <c r="S55" s="10">
        <v>2203.5</v>
      </c>
      <c r="T55" s="10">
        <v>1.2289000000000001</v>
      </c>
      <c r="U55" s="15"/>
      <c r="V55" s="15"/>
      <c r="W55" s="12"/>
      <c r="X55" s="10" t="s">
        <v>165</v>
      </c>
      <c r="Y55" s="10">
        <v>370350</v>
      </c>
      <c r="Z55" s="10">
        <v>231.47</v>
      </c>
      <c r="AA55" s="10">
        <v>0.68632000000000004</v>
      </c>
      <c r="AB55" s="15"/>
      <c r="AC55" s="15"/>
      <c r="AD55" s="15" t="s">
        <v>38</v>
      </c>
      <c r="AE55" s="10" t="s">
        <v>432</v>
      </c>
      <c r="AF55" s="160">
        <v>0.20749000000000001</v>
      </c>
      <c r="AG55" s="153">
        <f>-2.1917/10000</f>
        <v>-2.1917E-4</v>
      </c>
      <c r="AH55" s="131"/>
      <c r="AI55" s="15"/>
      <c r="AJ55" s="5"/>
      <c r="AL55" s="319">
        <v>18</v>
      </c>
      <c r="AM55" s="100">
        <v>450</v>
      </c>
      <c r="AN55" s="99">
        <v>18</v>
      </c>
      <c r="AO55" s="100">
        <v>291</v>
      </c>
      <c r="AP55" s="105">
        <v>18</v>
      </c>
      <c r="AQ55" s="106">
        <v>287</v>
      </c>
      <c r="AR55" s="105">
        <v>18</v>
      </c>
      <c r="AS55" s="106">
        <v>287</v>
      </c>
    </row>
    <row r="56" spans="1:45" ht="14.25" customHeight="1" x14ac:dyDescent="0.25">
      <c r="A56" s="377"/>
      <c r="C56" s="380" t="s">
        <v>254</v>
      </c>
      <c r="D56" s="380"/>
      <c r="I56" s="4"/>
      <c r="J56" s="130" t="s">
        <v>39</v>
      </c>
      <c r="K56" s="131" t="s">
        <v>712</v>
      </c>
      <c r="L56" s="131">
        <v>0.70823999999999998</v>
      </c>
      <c r="M56" s="131">
        <v>0.26411000000000001</v>
      </c>
      <c r="N56" s="131">
        <v>507.6</v>
      </c>
      <c r="O56" s="131">
        <v>0.27537</v>
      </c>
      <c r="P56" s="132">
        <v>86.174999999999997</v>
      </c>
      <c r="Q56" s="131" t="s">
        <v>433</v>
      </c>
      <c r="R56" s="131">
        <v>-6.3276000000000003</v>
      </c>
      <c r="S56" s="131">
        <v>640</v>
      </c>
      <c r="T56" s="131">
        <v>-0.69399999999999995</v>
      </c>
      <c r="U56" s="130">
        <f>5.6884*1E+21</f>
        <v>5.6883999999999995E+21</v>
      </c>
      <c r="V56" s="131">
        <v>-10</v>
      </c>
      <c r="W56" s="137"/>
      <c r="X56" s="131" t="s">
        <v>166</v>
      </c>
      <c r="Y56" s="131">
        <v>172120</v>
      </c>
      <c r="Z56" s="131">
        <v>-183.78</v>
      </c>
      <c r="AA56" s="131">
        <v>0.88734000000000002</v>
      </c>
      <c r="AB56" s="130"/>
      <c r="AC56" s="131"/>
      <c r="AD56" s="130" t="s">
        <v>39</v>
      </c>
      <c r="AE56" s="131" t="s">
        <v>435</v>
      </c>
      <c r="AF56" s="160">
        <v>0.22492000000000001</v>
      </c>
      <c r="AG56" s="154">
        <f>-3.533/10000</f>
        <v>-3.5329999999999997E-4</v>
      </c>
      <c r="AH56" s="131"/>
      <c r="AI56" s="130"/>
      <c r="AJ56" s="8"/>
      <c r="AL56" s="319">
        <v>-95</v>
      </c>
      <c r="AM56" s="100">
        <v>235</v>
      </c>
      <c r="AN56" s="99">
        <v>-98</v>
      </c>
      <c r="AO56" s="100">
        <v>133</v>
      </c>
      <c r="AP56" s="105">
        <v>-96</v>
      </c>
      <c r="AQ56" s="106">
        <v>187</v>
      </c>
      <c r="AR56" s="105">
        <v>-95</v>
      </c>
      <c r="AS56" s="106">
        <v>97</v>
      </c>
    </row>
    <row r="57" spans="1:45" ht="19.5" customHeight="1" x14ac:dyDescent="0.25">
      <c r="A57" s="377"/>
      <c r="C57" s="380"/>
      <c r="D57" s="380"/>
      <c r="I57" s="4"/>
      <c r="J57" s="15" t="s">
        <v>40</v>
      </c>
      <c r="K57" s="10" t="s">
        <v>437</v>
      </c>
      <c r="L57" s="10">
        <v>1.0516000000000001</v>
      </c>
      <c r="M57" s="10">
        <v>0.16613</v>
      </c>
      <c r="N57" s="10">
        <v>653.15</v>
      </c>
      <c r="O57" s="10">
        <v>0.1898</v>
      </c>
      <c r="P57" s="53">
        <v>32.045000000000002</v>
      </c>
      <c r="Q57" s="10" t="s">
        <v>436</v>
      </c>
      <c r="R57" s="10">
        <v>-75.781000000000006</v>
      </c>
      <c r="S57" s="10">
        <v>4175.3999999999996</v>
      </c>
      <c r="T57" s="10">
        <v>9.6508000000000003</v>
      </c>
      <c r="U57" s="15">
        <f>-7.27/1000000000</f>
        <v>-7.2699999999999999E-9</v>
      </c>
      <c r="V57" s="10">
        <v>3</v>
      </c>
      <c r="W57" s="12"/>
      <c r="X57" s="10" t="s">
        <v>167</v>
      </c>
      <c r="Y57" s="10">
        <v>79815</v>
      </c>
      <c r="Z57" s="10">
        <v>50.929000000000002</v>
      </c>
      <c r="AA57" s="10">
        <v>4.3379000000000001E-2</v>
      </c>
      <c r="AB57" s="15"/>
      <c r="AC57" s="10"/>
      <c r="AD57" s="15" t="s">
        <v>40</v>
      </c>
      <c r="AE57" s="10" t="s">
        <v>438</v>
      </c>
      <c r="AF57" s="162">
        <v>1.3674999999999999</v>
      </c>
      <c r="AG57" s="153">
        <f>-1.5895/1000</f>
        <v>-1.5895E-3</v>
      </c>
      <c r="AH57" s="131"/>
      <c r="AI57" s="15"/>
      <c r="AJ57" s="8"/>
      <c r="AL57" s="319">
        <v>2</v>
      </c>
      <c r="AM57" s="100">
        <v>380</v>
      </c>
      <c r="AN57" s="99">
        <v>1</v>
      </c>
      <c r="AO57" s="100">
        <v>250</v>
      </c>
      <c r="AP57" s="105">
        <v>2</v>
      </c>
      <c r="AQ57" s="106">
        <v>380</v>
      </c>
      <c r="AR57" s="105">
        <v>2</v>
      </c>
      <c r="AS57" s="106">
        <v>350</v>
      </c>
    </row>
    <row r="58" spans="1:45" ht="14.25" customHeight="1" thickBot="1" x14ac:dyDescent="0.3">
      <c r="A58" s="377"/>
      <c r="E58" s="59" t="s">
        <v>270</v>
      </c>
      <c r="I58" s="4"/>
      <c r="J58" s="130" t="s">
        <v>41</v>
      </c>
      <c r="K58" s="131" t="s">
        <v>741</v>
      </c>
      <c r="L58" s="131">
        <v>1.2801</v>
      </c>
      <c r="M58" s="131">
        <v>0.2828</v>
      </c>
      <c r="N58" s="131">
        <v>471.85</v>
      </c>
      <c r="O58" s="131">
        <v>0.29720000000000002</v>
      </c>
      <c r="P58" s="132">
        <v>59.11</v>
      </c>
      <c r="Q58" s="131" t="s">
        <v>439</v>
      </c>
      <c r="R58" s="131">
        <v>-31.157</v>
      </c>
      <c r="S58" s="131">
        <v>1926</v>
      </c>
      <c r="T58" s="131">
        <v>2.9249999999999998</v>
      </c>
      <c r="U58" s="130"/>
      <c r="V58" s="130"/>
      <c r="W58" s="137"/>
      <c r="X58" s="131" t="s">
        <v>168</v>
      </c>
      <c r="Y58" s="131">
        <v>-32469</v>
      </c>
      <c r="Z58" s="131">
        <v>1977.1</v>
      </c>
      <c r="AA58" s="131">
        <v>-7.0145</v>
      </c>
      <c r="AB58" s="130">
        <v>8.6913000000000008E-3</v>
      </c>
      <c r="AC58" s="130"/>
      <c r="AD58" s="130" t="s">
        <v>41</v>
      </c>
      <c r="AE58" s="131" t="s">
        <v>441</v>
      </c>
      <c r="AF58" s="167">
        <v>0.23699999999999999</v>
      </c>
      <c r="AG58" s="154">
        <f>-3.32/10000</f>
        <v>-3.3199999999999999E-4</v>
      </c>
      <c r="AH58" s="131"/>
      <c r="AI58" s="130"/>
      <c r="AJ58" s="5"/>
      <c r="AL58" s="319">
        <v>-95</v>
      </c>
      <c r="AM58" s="100">
        <v>199</v>
      </c>
      <c r="AN58" s="99">
        <v>-23</v>
      </c>
      <c r="AO58" s="100">
        <v>180</v>
      </c>
      <c r="AP58" s="105">
        <v>-95</v>
      </c>
      <c r="AQ58" s="106">
        <v>47</v>
      </c>
      <c r="AR58" s="105">
        <v>-95</v>
      </c>
      <c r="AS58" s="106">
        <v>32</v>
      </c>
    </row>
    <row r="59" spans="1:45" ht="18" customHeight="1" x14ac:dyDescent="0.25">
      <c r="A59" s="377"/>
      <c r="C59" s="378" t="s">
        <v>199</v>
      </c>
      <c r="D59" s="379"/>
      <c r="E59" s="59" t="s">
        <v>271</v>
      </c>
      <c r="I59" s="4"/>
      <c r="J59" s="15" t="s">
        <v>42</v>
      </c>
      <c r="K59" s="10" t="s">
        <v>742</v>
      </c>
      <c r="L59" s="10">
        <v>0.87024999999999997</v>
      </c>
      <c r="M59" s="10">
        <v>0.24382999999999999</v>
      </c>
      <c r="N59" s="10">
        <v>662</v>
      </c>
      <c r="O59" s="10">
        <v>0.28571000000000002</v>
      </c>
      <c r="P59" s="53">
        <v>86.088999999999999</v>
      </c>
      <c r="Q59" s="10" t="s">
        <v>442</v>
      </c>
      <c r="R59" s="10">
        <v>-14.526999999999999</v>
      </c>
      <c r="S59" s="10">
        <v>1497.7</v>
      </c>
      <c r="T59" s="10">
        <v>0.51746999999999999</v>
      </c>
      <c r="U59" s="15"/>
      <c r="V59" s="15"/>
      <c r="W59" s="12"/>
      <c r="X59" s="10" t="s">
        <v>118</v>
      </c>
      <c r="Y59" s="10">
        <v>146290</v>
      </c>
      <c r="Z59" s="10">
        <v>-58.59</v>
      </c>
      <c r="AA59" s="10">
        <v>0.35820000000000002</v>
      </c>
      <c r="AB59" s="15"/>
      <c r="AC59" s="15"/>
      <c r="AD59" s="15" t="s">
        <v>42</v>
      </c>
      <c r="AE59" s="10" t="s">
        <v>443</v>
      </c>
      <c r="AF59" s="162">
        <v>0.2306</v>
      </c>
      <c r="AG59" s="153">
        <f>-2.5201/10000</f>
        <v>-2.5200999999999999E-4</v>
      </c>
      <c r="AH59" s="131"/>
      <c r="AI59" s="15"/>
      <c r="AJ59" s="5"/>
      <c r="AL59" s="319">
        <v>15</v>
      </c>
      <c r="AM59" s="100">
        <v>389</v>
      </c>
      <c r="AN59" s="99">
        <v>15</v>
      </c>
      <c r="AO59" s="100">
        <v>161</v>
      </c>
      <c r="AP59" s="105">
        <v>15</v>
      </c>
      <c r="AQ59" s="106">
        <v>161</v>
      </c>
      <c r="AR59" s="105">
        <v>15</v>
      </c>
      <c r="AS59" s="106">
        <v>257</v>
      </c>
    </row>
    <row r="60" spans="1:45" ht="14.25" customHeight="1" x14ac:dyDescent="0.25">
      <c r="A60" s="377"/>
      <c r="C60" s="7"/>
      <c r="D60" s="8"/>
      <c r="E60" s="59" t="s">
        <v>272</v>
      </c>
      <c r="I60" s="4"/>
      <c r="J60" s="130" t="s">
        <v>43</v>
      </c>
      <c r="K60" s="131" t="s">
        <v>743</v>
      </c>
      <c r="L60" s="131">
        <v>2.3267000000000002</v>
      </c>
      <c r="M60" s="131">
        <v>0.27073000000000003</v>
      </c>
      <c r="N60" s="131">
        <v>512.5</v>
      </c>
      <c r="O60" s="131">
        <v>0.24712999999999999</v>
      </c>
      <c r="P60" s="132">
        <v>32.042000000000002</v>
      </c>
      <c r="Q60" s="131" t="s">
        <v>444</v>
      </c>
      <c r="R60" s="131">
        <v>-25.317</v>
      </c>
      <c r="S60" s="131">
        <v>1789.2</v>
      </c>
      <c r="T60" s="131">
        <v>2.069</v>
      </c>
      <c r="U60" s="130"/>
      <c r="V60" s="130"/>
      <c r="W60" s="137"/>
      <c r="X60" s="131" t="s">
        <v>169</v>
      </c>
      <c r="Y60" s="131">
        <v>105800</v>
      </c>
      <c r="Z60" s="131">
        <v>-362.23</v>
      </c>
      <c r="AA60" s="131">
        <v>0.93789999999999996</v>
      </c>
      <c r="AB60" s="130"/>
      <c r="AC60" s="130"/>
      <c r="AD60" s="130" t="s">
        <v>43</v>
      </c>
      <c r="AE60" s="131" t="s">
        <v>444</v>
      </c>
      <c r="AF60" s="162">
        <v>0.28370000000000001</v>
      </c>
      <c r="AG60" s="159">
        <f>-2.81/10000</f>
        <v>-2.81E-4</v>
      </c>
      <c r="AH60" s="131"/>
      <c r="AI60" s="130"/>
      <c r="AJ60" s="5"/>
      <c r="AL60" s="319">
        <v>-98</v>
      </c>
      <c r="AM60" s="100">
        <v>240</v>
      </c>
      <c r="AN60" s="99">
        <v>-98</v>
      </c>
      <c r="AO60" s="100">
        <v>65</v>
      </c>
      <c r="AP60" s="105">
        <v>-98</v>
      </c>
      <c r="AQ60" s="106">
        <v>127</v>
      </c>
      <c r="AR60" s="105">
        <v>-98</v>
      </c>
      <c r="AS60" s="106">
        <v>65</v>
      </c>
    </row>
    <row r="61" spans="1:45" ht="16.5" customHeight="1" thickBot="1" x14ac:dyDescent="0.3">
      <c r="A61" s="377"/>
      <c r="C61" s="307" t="s">
        <v>687</v>
      </c>
      <c r="D61" s="84"/>
      <c r="E61" s="182" t="s">
        <v>273</v>
      </c>
      <c r="I61" s="4"/>
      <c r="J61" s="15" t="s">
        <v>44</v>
      </c>
      <c r="K61" s="10" t="s">
        <v>744</v>
      </c>
      <c r="L61" s="10">
        <v>1.1299999999999999</v>
      </c>
      <c r="M61" s="10">
        <v>0.25929999999999997</v>
      </c>
      <c r="N61" s="10">
        <v>506.55</v>
      </c>
      <c r="O61" s="10">
        <v>0.27639999999999998</v>
      </c>
      <c r="P61" s="53">
        <v>74.078999999999994</v>
      </c>
      <c r="Q61" s="10" t="s">
        <v>446</v>
      </c>
      <c r="R61" s="10">
        <v>13.557</v>
      </c>
      <c r="S61" s="10">
        <v>-187.3</v>
      </c>
      <c r="T61" s="10">
        <v>-3.6591999999999998</v>
      </c>
      <c r="U61" s="15"/>
      <c r="V61" s="15"/>
      <c r="W61" s="12"/>
      <c r="X61" s="10" t="s">
        <v>170</v>
      </c>
      <c r="Y61" s="10">
        <v>61260</v>
      </c>
      <c r="Z61" s="10">
        <v>270.89999999999998</v>
      </c>
      <c r="AA61" s="10"/>
      <c r="AB61" s="15"/>
      <c r="AC61" s="15"/>
      <c r="AD61" s="15" t="s">
        <v>44</v>
      </c>
      <c r="AE61" s="10" t="s">
        <v>448</v>
      </c>
      <c r="AF61" s="162">
        <v>0.2777</v>
      </c>
      <c r="AG61" s="159">
        <f>-4.17/10000</f>
        <v>-4.17E-4</v>
      </c>
      <c r="AH61" s="10"/>
      <c r="AI61" s="15"/>
      <c r="AJ61" s="5"/>
      <c r="AL61" s="319">
        <v>-98</v>
      </c>
      <c r="AM61" s="100">
        <v>234</v>
      </c>
      <c r="AN61" s="99">
        <v>-23</v>
      </c>
      <c r="AO61" s="100">
        <v>152</v>
      </c>
      <c r="AP61" s="105">
        <v>-20</v>
      </c>
      <c r="AQ61" s="106">
        <v>100</v>
      </c>
      <c r="AR61" s="105">
        <v>-98</v>
      </c>
      <c r="AS61" s="106">
        <v>113</v>
      </c>
    </row>
    <row r="62" spans="1:45" ht="12.75" customHeight="1" x14ac:dyDescent="0.2">
      <c r="A62" s="377"/>
      <c r="I62" s="4"/>
      <c r="J62" s="130" t="s">
        <v>48</v>
      </c>
      <c r="K62" s="131" t="s">
        <v>745</v>
      </c>
      <c r="L62" s="131">
        <v>0.77610000000000001</v>
      </c>
      <c r="M62" s="131">
        <v>0.25068000000000001</v>
      </c>
      <c r="N62" s="131">
        <v>566</v>
      </c>
      <c r="O62" s="131">
        <v>0.29772999999999999</v>
      </c>
      <c r="P62" s="132">
        <v>100.116</v>
      </c>
      <c r="Q62" s="131" t="s">
        <v>449</v>
      </c>
      <c r="R62" s="131">
        <v>-9.9000000000000005E-2</v>
      </c>
      <c r="S62" s="131">
        <v>496</v>
      </c>
      <c r="T62" s="131">
        <v>-1.5939000000000001</v>
      </c>
      <c r="U62" s="130"/>
      <c r="V62" s="130"/>
      <c r="W62" s="137"/>
      <c r="X62" s="131" t="s">
        <v>171</v>
      </c>
      <c r="Y62" s="131">
        <v>255100</v>
      </c>
      <c r="Z62" s="131">
        <v>-938.4</v>
      </c>
      <c r="AA62" s="131">
        <v>2413</v>
      </c>
      <c r="AB62" s="130"/>
      <c r="AC62" s="130"/>
      <c r="AD62" s="130" t="s">
        <v>48</v>
      </c>
      <c r="AE62" s="131" t="s">
        <v>451</v>
      </c>
      <c r="AF62" s="162">
        <v>0.25829999999999997</v>
      </c>
      <c r="AG62" s="159">
        <f>-3.79/10000</f>
        <v>-3.79E-4</v>
      </c>
      <c r="AH62" s="131"/>
      <c r="AI62" s="130"/>
      <c r="AJ62" s="5"/>
      <c r="AL62" s="319">
        <v>-48</v>
      </c>
      <c r="AM62" s="100">
        <v>293</v>
      </c>
      <c r="AN62" s="99">
        <v>-13</v>
      </c>
      <c r="AO62" s="100">
        <v>127</v>
      </c>
      <c r="AP62" s="105">
        <v>-48</v>
      </c>
      <c r="AQ62" s="106">
        <v>101</v>
      </c>
      <c r="AR62" s="105">
        <v>-109</v>
      </c>
      <c r="AS62" s="106">
        <v>55</v>
      </c>
    </row>
    <row r="63" spans="1:45" ht="17.25" customHeight="1" x14ac:dyDescent="0.25">
      <c r="A63" s="377"/>
      <c r="C63" s="68" t="s">
        <v>193</v>
      </c>
      <c r="D63" s="111">
        <f>IF(D11="Other Fluid",D61,C52)</f>
        <v>2043.6201296180691</v>
      </c>
      <c r="E63" s="85" t="s">
        <v>688</v>
      </c>
      <c r="F63" s="59" t="str">
        <f>IF(D$18="Other Fluid","     (manual entry)","     (from menu selection)")</f>
        <v xml:space="preserve">     (from menu selection)</v>
      </c>
      <c r="I63" s="4"/>
      <c r="J63" s="15" t="s">
        <v>49</v>
      </c>
      <c r="K63" s="10" t="s">
        <v>746</v>
      </c>
      <c r="L63" s="10">
        <v>0.92800000000000005</v>
      </c>
      <c r="M63" s="10">
        <v>0.28899999999999998</v>
      </c>
      <c r="N63" s="10">
        <v>497.1</v>
      </c>
      <c r="O63" s="10">
        <v>0.28599999999999998</v>
      </c>
      <c r="P63" s="53">
        <v>88.147999999999996</v>
      </c>
      <c r="Q63" s="10" t="s">
        <v>452</v>
      </c>
      <c r="R63" s="10">
        <v>-6.9210000000000003</v>
      </c>
      <c r="S63" s="10">
        <v>790.77300000000002</v>
      </c>
      <c r="T63" s="10">
        <v>-0.65400000000000003</v>
      </c>
      <c r="U63" s="15"/>
      <c r="V63" s="15"/>
      <c r="W63" s="12"/>
      <c r="X63" s="10" t="s">
        <v>172</v>
      </c>
      <c r="Y63" s="10">
        <v>134300</v>
      </c>
      <c r="Z63" s="10">
        <v>94.355999999999995</v>
      </c>
      <c r="AA63" s="10">
        <v>-3.2000000000000002E-3</v>
      </c>
      <c r="AB63" s="15">
        <v>9.794999999999999E-4</v>
      </c>
      <c r="AC63" s="15"/>
      <c r="AD63" s="15" t="s">
        <v>49</v>
      </c>
      <c r="AE63" s="10" t="s">
        <v>453</v>
      </c>
      <c r="AF63" s="162">
        <v>0.2253</v>
      </c>
      <c r="AG63" s="153">
        <f>-3.7273/10000</f>
        <v>-3.7272999999999999E-4</v>
      </c>
      <c r="AH63" s="10">
        <f>1.1728/10000000</f>
        <v>1.1728E-7</v>
      </c>
      <c r="AI63" s="15"/>
      <c r="AJ63" s="5"/>
      <c r="AL63" s="319">
        <v>-108</v>
      </c>
      <c r="AM63" s="100">
        <v>224</v>
      </c>
      <c r="AN63" s="99">
        <v>-108</v>
      </c>
      <c r="AO63" s="100">
        <v>177</v>
      </c>
      <c r="AP63" s="105">
        <v>-109</v>
      </c>
      <c r="AQ63" s="106">
        <v>55</v>
      </c>
      <c r="AR63" s="105">
        <v>-109</v>
      </c>
      <c r="AS63" s="106">
        <v>55</v>
      </c>
    </row>
    <row r="64" spans="1:45" ht="18" customHeight="1" x14ac:dyDescent="0.2">
      <c r="A64" s="377"/>
      <c r="C64" s="129" t="s">
        <v>517</v>
      </c>
      <c r="D64" s="309"/>
      <c r="E64" s="310"/>
      <c r="I64" s="4"/>
      <c r="J64" s="130" t="s">
        <v>45</v>
      </c>
      <c r="K64" s="131" t="s">
        <v>747</v>
      </c>
      <c r="L64" s="131">
        <v>0.73109000000000002</v>
      </c>
      <c r="M64" s="131">
        <v>0.26971000000000001</v>
      </c>
      <c r="N64" s="131">
        <v>572.1</v>
      </c>
      <c r="O64" s="131">
        <v>0.29185</v>
      </c>
      <c r="P64" s="132">
        <v>98.186000000000007</v>
      </c>
      <c r="Q64" s="131" t="s">
        <v>454</v>
      </c>
      <c r="R64" s="131">
        <v>-11.358000000000001</v>
      </c>
      <c r="S64" s="131">
        <v>1213.0999999999999</v>
      </c>
      <c r="T64" s="130"/>
      <c r="U64" s="130"/>
      <c r="V64" s="130"/>
      <c r="W64" s="137"/>
      <c r="X64" s="131" t="s">
        <v>173</v>
      </c>
      <c r="Y64" s="131">
        <v>131340</v>
      </c>
      <c r="Z64" s="131">
        <v>-63.1</v>
      </c>
      <c r="AA64" s="130">
        <v>0.8125</v>
      </c>
      <c r="AB64" s="130"/>
      <c r="AC64" s="130"/>
      <c r="AD64" s="130" t="s">
        <v>45</v>
      </c>
      <c r="AE64" s="131" t="s">
        <v>456</v>
      </c>
      <c r="AF64" s="162">
        <v>0.17910000000000001</v>
      </c>
      <c r="AG64" s="154">
        <f>-2.291/10000</f>
        <v>-2.2909999999999999E-4</v>
      </c>
      <c r="AH64" s="130"/>
      <c r="AI64" s="130"/>
      <c r="AJ64" s="5"/>
      <c r="AL64" s="319">
        <v>-147</v>
      </c>
      <c r="AM64" s="100">
        <v>299</v>
      </c>
      <c r="AN64" s="99">
        <v>-126</v>
      </c>
      <c r="AO64" s="100">
        <v>185</v>
      </c>
      <c r="AP64" s="105">
        <v>-127</v>
      </c>
      <c r="AQ64" s="106">
        <v>47</v>
      </c>
      <c r="AR64" s="105">
        <v>0</v>
      </c>
      <c r="AS64" s="106">
        <v>101</v>
      </c>
    </row>
    <row r="65" spans="1:45" ht="17.25" customHeight="1" x14ac:dyDescent="0.2">
      <c r="A65" s="377"/>
      <c r="I65" s="4"/>
      <c r="J65" s="15" t="s">
        <v>46</v>
      </c>
      <c r="K65" s="10" t="s">
        <v>457</v>
      </c>
      <c r="L65" s="10">
        <v>0.93767</v>
      </c>
      <c r="M65" s="10">
        <v>0.25035000000000002</v>
      </c>
      <c r="N65" s="10">
        <v>535.5</v>
      </c>
      <c r="O65" s="10">
        <v>0.29984</v>
      </c>
      <c r="P65" s="53">
        <v>72.105999999999995</v>
      </c>
      <c r="Q65" s="10" t="s">
        <v>457</v>
      </c>
      <c r="R65" s="10">
        <v>-1.0598000000000001</v>
      </c>
      <c r="S65" s="10">
        <v>520.67999999999995</v>
      </c>
      <c r="T65" s="10">
        <v>-1.4961</v>
      </c>
      <c r="U65" s="15"/>
      <c r="V65" s="15"/>
      <c r="W65" s="12"/>
      <c r="X65" s="10" t="s">
        <v>174</v>
      </c>
      <c r="Y65" s="10">
        <v>132300</v>
      </c>
      <c r="Z65" s="10">
        <v>200.87</v>
      </c>
      <c r="AA65" s="10">
        <v>-0.9597</v>
      </c>
      <c r="AB65" s="15">
        <v>1.9532999999999998E-3</v>
      </c>
      <c r="AC65" s="15"/>
      <c r="AD65" s="15" t="s">
        <v>46</v>
      </c>
      <c r="AE65" s="10" t="s">
        <v>459</v>
      </c>
      <c r="AF65" s="162">
        <v>0.21970000000000001</v>
      </c>
      <c r="AG65" s="154">
        <f>-2.505/10000</f>
        <v>-2.5049999999999996E-4</v>
      </c>
      <c r="AH65" s="10"/>
      <c r="AI65" s="15"/>
      <c r="AJ65" s="5"/>
      <c r="AL65" s="319">
        <v>-87</v>
      </c>
      <c r="AM65" s="100">
        <v>263</v>
      </c>
      <c r="AN65" s="99">
        <v>-87</v>
      </c>
      <c r="AO65" s="100">
        <v>263</v>
      </c>
      <c r="AP65" s="105">
        <v>-87</v>
      </c>
      <c r="AQ65" s="106">
        <v>100</v>
      </c>
      <c r="AR65" s="105">
        <v>-87</v>
      </c>
      <c r="AS65" s="106">
        <v>80</v>
      </c>
    </row>
    <row r="66" spans="1:45" ht="12.75" customHeight="1" x14ac:dyDescent="0.2">
      <c r="I66" s="4"/>
      <c r="J66" s="130" t="s">
        <v>47</v>
      </c>
      <c r="K66" s="131" t="s">
        <v>748</v>
      </c>
      <c r="L66" s="131">
        <v>0.71687000000000001</v>
      </c>
      <c r="M66" s="131">
        <v>0.26452999999999999</v>
      </c>
      <c r="N66" s="131">
        <v>574.6</v>
      </c>
      <c r="O66" s="131">
        <v>0.28917999999999999</v>
      </c>
      <c r="P66" s="132">
        <v>100.15900000000001</v>
      </c>
      <c r="Q66" s="131" t="s">
        <v>460</v>
      </c>
      <c r="R66" s="131">
        <v>-11.394</v>
      </c>
      <c r="S66" s="131">
        <v>1168.7</v>
      </c>
      <c r="T66" s="131">
        <v>-7.5389999999999997E-3</v>
      </c>
      <c r="U66" s="130"/>
      <c r="V66" s="130"/>
      <c r="W66" s="137"/>
      <c r="X66" s="131" t="s">
        <v>119</v>
      </c>
      <c r="Y66" s="131">
        <v>183650</v>
      </c>
      <c r="Z66" s="131">
        <v>-79.861999999999995</v>
      </c>
      <c r="AA66" s="131">
        <v>0.60768999999999995</v>
      </c>
      <c r="AB66" s="130"/>
      <c r="AC66" s="130"/>
      <c r="AD66" s="130" t="s">
        <v>47</v>
      </c>
      <c r="AE66" s="131" t="s">
        <v>462</v>
      </c>
      <c r="AF66" s="162">
        <v>0.2301</v>
      </c>
      <c r="AG66" s="153">
        <f>-2.8899/10000</f>
        <v>-2.8898999999999998E-4</v>
      </c>
      <c r="AH66" s="131"/>
      <c r="AI66" s="130"/>
      <c r="AJ66" s="5"/>
      <c r="AL66" s="319">
        <v>-84</v>
      </c>
      <c r="AM66" s="100">
        <v>301</v>
      </c>
      <c r="AN66" s="99">
        <v>-84</v>
      </c>
      <c r="AO66" s="100">
        <v>116</v>
      </c>
      <c r="AP66" s="105">
        <v>-84</v>
      </c>
      <c r="AQ66" s="106">
        <v>116</v>
      </c>
      <c r="AR66" s="105">
        <v>-84</v>
      </c>
      <c r="AS66" s="106">
        <v>178</v>
      </c>
    </row>
    <row r="67" spans="1:45" ht="13.5" thickBot="1" x14ac:dyDescent="0.25">
      <c r="A67" s="377" t="s">
        <v>842</v>
      </c>
      <c r="I67" s="4"/>
      <c r="J67" s="15" t="s">
        <v>72</v>
      </c>
      <c r="K67" s="10" t="s">
        <v>749</v>
      </c>
      <c r="L67" s="10">
        <v>0.68901999999999997</v>
      </c>
      <c r="M67" s="10">
        <v>0.26085999999999998</v>
      </c>
      <c r="N67" s="10">
        <v>617</v>
      </c>
      <c r="O67" s="10">
        <v>0.27478999999999998</v>
      </c>
      <c r="P67" s="53">
        <v>106.16500000000001</v>
      </c>
      <c r="Q67" s="10" t="s">
        <v>463</v>
      </c>
      <c r="R67" s="10">
        <v>-11.91</v>
      </c>
      <c r="S67" s="10">
        <v>1094.9000000000001</v>
      </c>
      <c r="T67" s="10">
        <v>0.13825000000000001</v>
      </c>
      <c r="U67" s="15"/>
      <c r="V67" s="15"/>
      <c r="W67" s="12"/>
      <c r="X67" s="10" t="s">
        <v>175</v>
      </c>
      <c r="Y67" s="10">
        <v>133860</v>
      </c>
      <c r="Z67" s="10">
        <v>78754</v>
      </c>
      <c r="AA67" s="10">
        <v>0.52264999999999995</v>
      </c>
      <c r="AB67" s="15"/>
      <c r="AC67" s="15"/>
      <c r="AD67" s="15" t="s">
        <v>72</v>
      </c>
      <c r="AE67" s="10" t="s">
        <v>465</v>
      </c>
      <c r="AF67" s="160">
        <v>0.20044000000000001</v>
      </c>
      <c r="AG67" s="153">
        <f>-2.3544/10000</f>
        <v>-2.3544000000000001E-4</v>
      </c>
      <c r="AH67" s="10"/>
      <c r="AI67" s="15"/>
      <c r="AJ67" s="5"/>
      <c r="AL67" s="319">
        <v>-48</v>
      </c>
      <c r="AM67" s="100">
        <v>344</v>
      </c>
      <c r="AN67" s="99">
        <v>-48</v>
      </c>
      <c r="AO67" s="100">
        <v>140</v>
      </c>
      <c r="AP67" s="105">
        <v>-56</v>
      </c>
      <c r="AQ67" s="106">
        <v>267</v>
      </c>
      <c r="AR67" s="105">
        <v>-48</v>
      </c>
      <c r="AS67" s="106">
        <v>140</v>
      </c>
    </row>
    <row r="68" spans="1:45" x14ac:dyDescent="0.2">
      <c r="A68" s="377"/>
      <c r="C68" s="378" t="s">
        <v>252</v>
      </c>
      <c r="D68" s="379"/>
      <c r="I68" s="4"/>
      <c r="J68" s="130" t="s">
        <v>50</v>
      </c>
      <c r="K68" s="131" t="s">
        <v>750</v>
      </c>
      <c r="L68" s="131">
        <v>0.46321000000000001</v>
      </c>
      <c r="M68" s="131">
        <v>0.25444</v>
      </c>
      <c r="N68" s="131">
        <v>594.6</v>
      </c>
      <c r="O68" s="131">
        <v>0.28571000000000002</v>
      </c>
      <c r="P68" s="132">
        <v>128.255</v>
      </c>
      <c r="Q68" s="131" t="s">
        <v>466</v>
      </c>
      <c r="R68" s="131">
        <v>-68.540000000000006</v>
      </c>
      <c r="S68" s="131">
        <v>3165.3</v>
      </c>
      <c r="T68" s="131">
        <v>9.0919000000000008</v>
      </c>
      <c r="U68" s="130"/>
      <c r="V68" s="130"/>
      <c r="W68" s="137"/>
      <c r="X68" s="131" t="s">
        <v>176</v>
      </c>
      <c r="Y68" s="131">
        <v>383080</v>
      </c>
      <c r="Z68" s="131">
        <v>-1139.8</v>
      </c>
      <c r="AA68" s="131">
        <v>2.7101000000000002</v>
      </c>
      <c r="AB68" s="130"/>
      <c r="AC68" s="130"/>
      <c r="AD68" s="130" t="s">
        <v>50</v>
      </c>
      <c r="AE68" s="131" t="s">
        <v>468</v>
      </c>
      <c r="AF68" s="167">
        <v>0.20899999999999999</v>
      </c>
      <c r="AG68" s="159">
        <f>-2.64/10000</f>
        <v>-2.6400000000000002E-4</v>
      </c>
      <c r="AH68" s="131"/>
      <c r="AI68" s="156"/>
      <c r="AJ68" s="5"/>
      <c r="AL68" s="319">
        <v>-53</v>
      </c>
      <c r="AM68" s="100">
        <v>321</v>
      </c>
      <c r="AN68" s="99">
        <v>-55</v>
      </c>
      <c r="AO68" s="100">
        <v>320</v>
      </c>
      <c r="AP68" s="105">
        <v>-53</v>
      </c>
      <c r="AQ68" s="106">
        <v>52</v>
      </c>
      <c r="AR68" s="105">
        <v>-53</v>
      </c>
      <c r="AS68" s="106">
        <v>151</v>
      </c>
    </row>
    <row r="69" spans="1:45" x14ac:dyDescent="0.2">
      <c r="A69" s="377"/>
      <c r="C69" s="172">
        <f>AE11</f>
        <v>0.13282385499999999</v>
      </c>
      <c r="D69" s="247" t="s">
        <v>689</v>
      </c>
      <c r="I69" s="4"/>
      <c r="J69" s="15" t="s">
        <v>51</v>
      </c>
      <c r="K69" s="10" t="s">
        <v>751</v>
      </c>
      <c r="L69" s="10">
        <v>0.52659999999999996</v>
      </c>
      <c r="M69" s="10">
        <v>0.25692999999999999</v>
      </c>
      <c r="N69" s="10">
        <v>568.70000000000005</v>
      </c>
      <c r="O69" s="10">
        <v>0.28571000000000002</v>
      </c>
      <c r="P69" s="53">
        <v>114.229</v>
      </c>
      <c r="Q69" s="10" t="s">
        <v>469</v>
      </c>
      <c r="R69" s="10">
        <v>-7.556</v>
      </c>
      <c r="S69" s="10">
        <v>881.09</v>
      </c>
      <c r="T69" s="10">
        <v>-0.52502000000000004</v>
      </c>
      <c r="U69" s="15">
        <f>4.6342*1E+22</f>
        <v>4.6342000000000003E+22</v>
      </c>
      <c r="V69" s="10">
        <v>-10</v>
      </c>
      <c r="W69" s="12"/>
      <c r="X69" s="10" t="s">
        <v>177</v>
      </c>
      <c r="Y69" s="10">
        <v>224830</v>
      </c>
      <c r="Z69" s="10">
        <v>-186.63</v>
      </c>
      <c r="AA69" s="10">
        <v>0.95891000000000004</v>
      </c>
      <c r="AB69" s="15"/>
      <c r="AC69" s="10"/>
      <c r="AD69" s="15" t="s">
        <v>51</v>
      </c>
      <c r="AE69" s="10" t="s">
        <v>471</v>
      </c>
      <c r="AF69" s="162">
        <v>0.21560000000000001</v>
      </c>
      <c r="AG69" s="153">
        <f>-2.9483/10000</f>
        <v>-2.9482999999999999E-4</v>
      </c>
      <c r="AH69" s="10"/>
      <c r="AI69" s="15"/>
      <c r="AJ69" s="8"/>
      <c r="AL69" s="319">
        <v>-57</v>
      </c>
      <c r="AM69" s="100">
        <v>296</v>
      </c>
      <c r="AN69" s="99">
        <v>-62</v>
      </c>
      <c r="AO69" s="100">
        <v>182</v>
      </c>
      <c r="AP69" s="105">
        <v>-57</v>
      </c>
      <c r="AQ69" s="106">
        <v>187</v>
      </c>
      <c r="AR69" s="105">
        <v>-57</v>
      </c>
      <c r="AS69" s="106">
        <v>126</v>
      </c>
    </row>
    <row r="70" spans="1:45" ht="17.25" customHeight="1" thickBot="1" x14ac:dyDescent="0.3">
      <c r="A70" s="377"/>
      <c r="C70" s="6" t="s">
        <v>253</v>
      </c>
      <c r="D70" s="78" t="str">
        <f>AE10</f>
        <v xml:space="preserve"> -84 to 77</v>
      </c>
      <c r="E70" s="392" t="str">
        <f>IF(D$18&lt;AR10,"   Temperature is below range.",IF(D$18&gt;AS10,"  Temperature is above range.",""))</f>
        <v/>
      </c>
      <c r="F70" s="393"/>
      <c r="G70" s="393"/>
      <c r="H70" s="393"/>
      <c r="I70" s="4"/>
      <c r="J70" s="130" t="s">
        <v>52</v>
      </c>
      <c r="K70" s="131" t="s">
        <v>752</v>
      </c>
      <c r="L70" s="131">
        <v>0.48250999999999999</v>
      </c>
      <c r="M70" s="131">
        <v>0.25196000000000002</v>
      </c>
      <c r="N70" s="131">
        <v>694.26</v>
      </c>
      <c r="O70" s="131">
        <v>0.26841999999999999</v>
      </c>
      <c r="P70" s="132">
        <v>144.21100000000001</v>
      </c>
      <c r="Q70" s="131" t="s">
        <v>472</v>
      </c>
      <c r="R70" s="131">
        <v>-60.795000000000002</v>
      </c>
      <c r="S70" s="131">
        <v>4617.8</v>
      </c>
      <c r="T70" s="131">
        <v>7.0279999999999996</v>
      </c>
      <c r="U70" s="130"/>
      <c r="V70" s="130"/>
      <c r="W70" s="137"/>
      <c r="X70" s="131" t="s">
        <v>178</v>
      </c>
      <c r="Y70" s="131">
        <v>205260</v>
      </c>
      <c r="Z70" s="131">
        <v>44.392000000000003</v>
      </c>
      <c r="AA70" s="131">
        <v>0.89559999999999995</v>
      </c>
      <c r="AB70" s="130"/>
      <c r="AC70" s="130"/>
      <c r="AD70" s="130" t="s">
        <v>52</v>
      </c>
      <c r="AE70" s="131" t="s">
        <v>472</v>
      </c>
      <c r="AF70" s="167">
        <v>0.20300000000000001</v>
      </c>
      <c r="AG70" s="168">
        <f>-2/10000</f>
        <v>-2.0000000000000001E-4</v>
      </c>
      <c r="AH70" s="131"/>
      <c r="AI70" s="130"/>
      <c r="AJ70" s="5"/>
      <c r="AL70" s="319">
        <v>17</v>
      </c>
      <c r="AM70" s="100">
        <v>421</v>
      </c>
      <c r="AN70" s="99">
        <v>17</v>
      </c>
      <c r="AO70" s="100">
        <v>240</v>
      </c>
      <c r="AP70" s="105">
        <v>17</v>
      </c>
      <c r="AQ70" s="106">
        <v>239</v>
      </c>
      <c r="AR70" s="105">
        <v>17</v>
      </c>
      <c r="AS70" s="106">
        <v>240</v>
      </c>
    </row>
    <row r="71" spans="1:45" x14ac:dyDescent="0.2">
      <c r="A71" s="377"/>
      <c r="I71" s="4"/>
      <c r="J71" s="179" t="s">
        <v>269</v>
      </c>
      <c r="K71" s="131"/>
      <c r="L71" s="131"/>
      <c r="M71" s="131"/>
      <c r="N71" s="131"/>
      <c r="O71" s="131"/>
      <c r="P71" s="132"/>
      <c r="Q71" s="131"/>
      <c r="R71" s="131"/>
      <c r="S71" s="131"/>
      <c r="T71" s="131"/>
      <c r="U71" s="130"/>
      <c r="V71" s="130"/>
      <c r="W71" s="137"/>
      <c r="X71" s="131"/>
      <c r="Y71" s="131"/>
      <c r="Z71" s="131"/>
      <c r="AA71" s="131"/>
      <c r="AB71" s="130"/>
      <c r="AC71" s="130"/>
      <c r="AD71" s="179" t="s">
        <v>269</v>
      </c>
      <c r="AE71" s="131"/>
      <c r="AF71" s="160"/>
      <c r="AG71" s="154"/>
      <c r="AH71" s="131"/>
      <c r="AI71" s="130"/>
      <c r="AJ71" s="5"/>
      <c r="AL71" s="319"/>
      <c r="AM71" s="100"/>
      <c r="AN71" s="99"/>
      <c r="AO71" s="100"/>
      <c r="AP71" s="105"/>
      <c r="AQ71" s="106"/>
      <c r="AR71" s="105"/>
      <c r="AS71" s="106"/>
    </row>
    <row r="72" spans="1:45" ht="15" x14ac:dyDescent="0.25">
      <c r="A72" s="377"/>
      <c r="C72" s="380" t="s">
        <v>254</v>
      </c>
      <c r="D72" s="380"/>
      <c r="I72" s="4"/>
      <c r="J72" s="15" t="s">
        <v>73</v>
      </c>
      <c r="K72" s="10" t="s">
        <v>753</v>
      </c>
      <c r="L72" s="10">
        <v>0.69962000000000002</v>
      </c>
      <c r="M72" s="10">
        <v>0.26143</v>
      </c>
      <c r="N72" s="10">
        <v>630.29999999999995</v>
      </c>
      <c r="O72" s="10">
        <v>0.27365</v>
      </c>
      <c r="P72" s="53">
        <v>106.16500000000001</v>
      </c>
      <c r="Q72" s="10" t="s">
        <v>474</v>
      </c>
      <c r="R72" s="10">
        <v>-15.489000000000001</v>
      </c>
      <c r="S72" s="10">
        <v>1393.5</v>
      </c>
      <c r="T72" s="10">
        <v>0.63710999999999995</v>
      </c>
      <c r="U72" s="15"/>
      <c r="V72" s="15"/>
      <c r="W72" s="12"/>
      <c r="X72" s="10" t="s">
        <v>179</v>
      </c>
      <c r="Y72" s="10">
        <v>36500</v>
      </c>
      <c r="Z72" s="10">
        <v>1017.5</v>
      </c>
      <c r="AA72" s="10">
        <v>-2.63</v>
      </c>
      <c r="AB72" s="15">
        <v>3.0200000000000001E-3</v>
      </c>
      <c r="AC72" s="15"/>
      <c r="AD72" s="15" t="s">
        <v>73</v>
      </c>
      <c r="AE72" s="10" t="s">
        <v>475</v>
      </c>
      <c r="AF72" s="177">
        <v>0.19989000000000001</v>
      </c>
      <c r="AG72" s="178">
        <f>-2.299/10000</f>
        <v>-2.299E-4</v>
      </c>
      <c r="AH72" s="10"/>
      <c r="AI72" s="15"/>
      <c r="AJ72" s="5"/>
      <c r="AL72" s="319">
        <v>-25</v>
      </c>
      <c r="AM72" s="100">
        <v>357</v>
      </c>
      <c r="AN72" s="99">
        <v>-25</v>
      </c>
      <c r="AO72" s="100">
        <v>145</v>
      </c>
      <c r="AP72" s="105">
        <v>-25</v>
      </c>
      <c r="AQ72" s="106">
        <v>144</v>
      </c>
      <c r="AR72" s="105">
        <v>-25</v>
      </c>
      <c r="AS72" s="106">
        <v>144</v>
      </c>
    </row>
    <row r="73" spans="1:45" ht="15.75" thickBot="1" x14ac:dyDescent="0.3">
      <c r="A73" s="377"/>
      <c r="E73" s="59" t="s">
        <v>270</v>
      </c>
      <c r="I73" s="4"/>
      <c r="J73" s="130" t="s">
        <v>55</v>
      </c>
      <c r="K73" s="131" t="s">
        <v>754</v>
      </c>
      <c r="L73" s="131">
        <v>0.25141999999999998</v>
      </c>
      <c r="M73" s="131">
        <v>0.23837</v>
      </c>
      <c r="N73" s="131">
        <v>708</v>
      </c>
      <c r="O73" s="131">
        <v>0.28571000000000002</v>
      </c>
      <c r="P73" s="132">
        <v>212.41499999999999</v>
      </c>
      <c r="Q73" s="131" t="s">
        <v>476</v>
      </c>
      <c r="R73" s="131">
        <v>-19.298999999999999</v>
      </c>
      <c r="S73" s="131">
        <v>2088.6</v>
      </c>
      <c r="T73" s="131">
        <v>1.1091</v>
      </c>
      <c r="U73" s="130"/>
      <c r="V73" s="130"/>
      <c r="W73" s="137"/>
      <c r="X73" s="131" t="s">
        <v>181</v>
      </c>
      <c r="Y73" s="131">
        <v>346910</v>
      </c>
      <c r="Z73" s="131">
        <v>219.54</v>
      </c>
      <c r="AA73" s="131">
        <v>0.65632000000000001</v>
      </c>
      <c r="AB73" s="130"/>
      <c r="AC73" s="130"/>
      <c r="AD73" s="130" t="s">
        <v>55</v>
      </c>
      <c r="AE73" s="131" t="s">
        <v>476</v>
      </c>
      <c r="AF73" s="160">
        <v>0.20649000000000001</v>
      </c>
      <c r="AG73" s="153">
        <f>-2.1911/10000</f>
        <v>-2.1911000000000001E-4</v>
      </c>
      <c r="AH73" s="131"/>
      <c r="AI73" s="130"/>
      <c r="AJ73" s="5"/>
      <c r="AL73" s="319">
        <v>10</v>
      </c>
      <c r="AM73" s="100">
        <v>436</v>
      </c>
      <c r="AN73" s="99">
        <v>10</v>
      </c>
      <c r="AO73" s="100">
        <v>271</v>
      </c>
      <c r="AP73" s="105">
        <v>10</v>
      </c>
      <c r="AQ73" s="106">
        <v>271</v>
      </c>
      <c r="AR73" s="105">
        <v>10</v>
      </c>
      <c r="AS73" s="106">
        <v>271</v>
      </c>
    </row>
    <row r="74" spans="1:45" ht="15" x14ac:dyDescent="0.25">
      <c r="A74" s="377"/>
      <c r="C74" s="378" t="s">
        <v>255</v>
      </c>
      <c r="D74" s="379"/>
      <c r="E74" s="59" t="s">
        <v>271</v>
      </c>
      <c r="I74" s="4"/>
      <c r="J74" s="15" t="s">
        <v>56</v>
      </c>
      <c r="K74" s="10" t="s">
        <v>755</v>
      </c>
      <c r="L74" s="10">
        <v>0.84946999999999995</v>
      </c>
      <c r="M74" s="10">
        <v>0.26726</v>
      </c>
      <c r="N74" s="10">
        <v>469.7</v>
      </c>
      <c r="O74" s="10">
        <v>0.27789000000000003</v>
      </c>
      <c r="P74" s="53">
        <v>72.149000000000001</v>
      </c>
      <c r="Q74" s="10" t="s">
        <v>477</v>
      </c>
      <c r="R74" s="10">
        <v>-53.509</v>
      </c>
      <c r="S74" s="10">
        <v>1836.6</v>
      </c>
      <c r="T74" s="10">
        <v>7.1409000000000002</v>
      </c>
      <c r="U74" s="89">
        <v>-1.9627E-5</v>
      </c>
      <c r="V74" s="10">
        <v>2</v>
      </c>
      <c r="W74" s="12"/>
      <c r="X74" s="10" t="s">
        <v>182</v>
      </c>
      <c r="Y74" s="10">
        <v>159080</v>
      </c>
      <c r="Z74" s="10">
        <v>-270.5</v>
      </c>
      <c r="AA74" s="10">
        <v>0.99536999999999998</v>
      </c>
      <c r="AB74" s="89"/>
      <c r="AC74" s="10"/>
      <c r="AD74" s="15" t="s">
        <v>56</v>
      </c>
      <c r="AE74" s="10" t="s">
        <v>479</v>
      </c>
      <c r="AF74" s="162">
        <v>0.25369999999999998</v>
      </c>
      <c r="AG74" s="159">
        <f>-5.76/10000</f>
        <v>-5.7600000000000001E-4</v>
      </c>
      <c r="AH74" s="131">
        <f>3.44/10000000</f>
        <v>3.4400000000000001E-7</v>
      </c>
      <c r="AI74" s="89"/>
      <c r="AJ74" s="8"/>
      <c r="AL74" s="319">
        <v>-130</v>
      </c>
      <c r="AM74" s="100">
        <v>197</v>
      </c>
      <c r="AN74" s="99">
        <v>-130</v>
      </c>
      <c r="AO74" s="100">
        <v>192</v>
      </c>
      <c r="AP74" s="105">
        <v>-130</v>
      </c>
      <c r="AQ74" s="106">
        <v>117</v>
      </c>
      <c r="AR74" s="105">
        <v>-130</v>
      </c>
      <c r="AS74" s="106">
        <v>172</v>
      </c>
    </row>
    <row r="75" spans="1:45" ht="15" x14ac:dyDescent="0.25">
      <c r="A75" s="377"/>
      <c r="C75" s="7"/>
      <c r="D75" s="8"/>
      <c r="E75" s="59" t="s">
        <v>272</v>
      </c>
      <c r="I75" s="4"/>
      <c r="J75" s="130" t="s">
        <v>57</v>
      </c>
      <c r="K75" s="131" t="s">
        <v>756</v>
      </c>
      <c r="L75" s="131">
        <v>1.3797999999999999</v>
      </c>
      <c r="M75" s="131">
        <v>0.31597999999999998</v>
      </c>
      <c r="N75" s="131">
        <v>694.25</v>
      </c>
      <c r="O75" s="131">
        <v>0.32768000000000003</v>
      </c>
      <c r="P75" s="132">
        <v>94.111000000000004</v>
      </c>
      <c r="Q75" s="131" t="s">
        <v>480</v>
      </c>
      <c r="R75" s="131">
        <v>-43.335000000000001</v>
      </c>
      <c r="S75" s="131">
        <v>3881.7</v>
      </c>
      <c r="T75" s="131">
        <v>4.3982999999999999</v>
      </c>
      <c r="U75" s="130">
        <f>3.0548*1E+24</f>
        <v>3.0548000000000002E+24</v>
      </c>
      <c r="V75" s="131">
        <v>-10</v>
      </c>
      <c r="W75" s="137"/>
      <c r="X75" s="131" t="s">
        <v>183</v>
      </c>
      <c r="Y75" s="131">
        <v>101720</v>
      </c>
      <c r="Z75" s="131">
        <v>317.61</v>
      </c>
      <c r="AA75" s="131"/>
      <c r="AB75" s="130"/>
      <c r="AC75" s="131"/>
      <c r="AD75" s="130" t="s">
        <v>57</v>
      </c>
      <c r="AE75" s="131" t="s">
        <v>482</v>
      </c>
      <c r="AF75" s="160">
        <v>0.18831000000000001</v>
      </c>
      <c r="AG75" s="168">
        <f>-1/10000</f>
        <v>-1E-4</v>
      </c>
      <c r="AH75" s="131"/>
      <c r="AI75" s="130"/>
      <c r="AJ75" s="8"/>
      <c r="AL75" s="319">
        <v>41</v>
      </c>
      <c r="AM75" s="100">
        <v>421</v>
      </c>
      <c r="AN75" s="99">
        <v>18</v>
      </c>
      <c r="AO75" s="100">
        <v>282</v>
      </c>
      <c r="AP75" s="105">
        <v>41</v>
      </c>
      <c r="AQ75" s="106">
        <v>152</v>
      </c>
      <c r="AR75" s="105">
        <v>41</v>
      </c>
      <c r="AS75" s="106">
        <v>182</v>
      </c>
    </row>
    <row r="76" spans="1:45" ht="15.75" thickBot="1" x14ac:dyDescent="0.3">
      <c r="A76" s="377"/>
      <c r="C76" s="307" t="s">
        <v>690</v>
      </c>
      <c r="D76" s="84"/>
      <c r="E76" s="182" t="s">
        <v>273</v>
      </c>
      <c r="I76" s="4"/>
      <c r="J76" s="15" t="s">
        <v>58</v>
      </c>
      <c r="K76" s="10" t="s">
        <v>757</v>
      </c>
      <c r="L76" s="10">
        <v>0.5393</v>
      </c>
      <c r="M76" s="10">
        <v>0.22703999999999999</v>
      </c>
      <c r="N76" s="10">
        <v>791</v>
      </c>
      <c r="O76" s="10">
        <v>0.248</v>
      </c>
      <c r="P76" s="53">
        <v>148.11600000000001</v>
      </c>
      <c r="Q76" s="10" t="s">
        <v>483</v>
      </c>
      <c r="R76" s="10">
        <v>195.25</v>
      </c>
      <c r="S76" s="10">
        <v>-11072</v>
      </c>
      <c r="T76" s="10">
        <v>-29.084</v>
      </c>
      <c r="U76" s="15"/>
      <c r="V76" s="15"/>
      <c r="W76" s="12"/>
      <c r="X76" s="10" t="s">
        <v>120</v>
      </c>
      <c r="Y76" s="10">
        <v>145400</v>
      </c>
      <c r="Z76" s="10">
        <v>252.4</v>
      </c>
      <c r="AA76" s="10"/>
      <c r="AB76" s="15"/>
      <c r="AC76" s="15"/>
      <c r="AD76" s="15" t="s">
        <v>58</v>
      </c>
      <c r="AE76" s="10" t="s">
        <v>483</v>
      </c>
      <c r="AF76" s="162">
        <v>0.22946</v>
      </c>
      <c r="AG76" s="153">
        <f>-2.1345/10000</f>
        <v>-2.1345000000000001E-4</v>
      </c>
      <c r="AH76" s="131"/>
      <c r="AI76" s="15"/>
      <c r="AJ76" s="5"/>
      <c r="AL76" s="319">
        <v>131</v>
      </c>
      <c r="AM76" s="100">
        <v>518</v>
      </c>
      <c r="AN76" s="99">
        <v>131</v>
      </c>
      <c r="AO76" s="100">
        <v>285</v>
      </c>
      <c r="AP76" s="105">
        <v>131</v>
      </c>
      <c r="AQ76" s="106">
        <v>285</v>
      </c>
      <c r="AR76" s="105">
        <v>131</v>
      </c>
      <c r="AS76" s="106">
        <v>285</v>
      </c>
    </row>
    <row r="77" spans="1:45" x14ac:dyDescent="0.2">
      <c r="A77" s="377"/>
      <c r="I77" s="4"/>
      <c r="J77" s="130" t="s">
        <v>61</v>
      </c>
      <c r="K77" s="131" t="s">
        <v>758</v>
      </c>
      <c r="L77" s="131">
        <v>1.0969</v>
      </c>
      <c r="M77" s="131">
        <v>0.25568000000000002</v>
      </c>
      <c r="N77" s="131">
        <v>600.80999999999995</v>
      </c>
      <c r="O77" s="131">
        <v>0.26856999999999998</v>
      </c>
      <c r="P77" s="132">
        <v>74.078999999999994</v>
      </c>
      <c r="Q77" s="131" t="s">
        <v>484</v>
      </c>
      <c r="R77" s="131">
        <v>-23.931999999999999</v>
      </c>
      <c r="S77" s="131">
        <v>1834.6</v>
      </c>
      <c r="T77" s="131">
        <v>1.9124000000000001</v>
      </c>
      <c r="U77" s="130"/>
      <c r="V77" s="130"/>
      <c r="W77" s="137"/>
      <c r="X77" s="131" t="s">
        <v>184</v>
      </c>
      <c r="Y77" s="131">
        <v>213660</v>
      </c>
      <c r="Z77" s="131">
        <v>-702.7</v>
      </c>
      <c r="AA77" s="131">
        <v>1.6605000000000001</v>
      </c>
      <c r="AB77" s="130"/>
      <c r="AC77" s="130"/>
      <c r="AD77" s="130" t="s">
        <v>61</v>
      </c>
      <c r="AE77" s="131" t="s">
        <v>485</v>
      </c>
      <c r="AF77" s="162">
        <v>0.19539999999999999</v>
      </c>
      <c r="AG77" s="159">
        <f>-1.64/10000</f>
        <v>-1.64E-4</v>
      </c>
      <c r="AH77" s="131"/>
      <c r="AI77" s="130"/>
      <c r="AJ77" s="5"/>
      <c r="AL77" s="319">
        <v>-21</v>
      </c>
      <c r="AM77" s="100">
        <v>328</v>
      </c>
      <c r="AN77" s="99">
        <v>-21</v>
      </c>
      <c r="AO77" s="100">
        <v>141</v>
      </c>
      <c r="AP77" s="105">
        <v>-21</v>
      </c>
      <c r="AQ77" s="106">
        <v>141</v>
      </c>
      <c r="AR77" s="105">
        <v>-21</v>
      </c>
      <c r="AS77" s="106">
        <v>270</v>
      </c>
    </row>
    <row r="78" spans="1:45" ht="18.75" customHeight="1" x14ac:dyDescent="0.25">
      <c r="A78" s="377"/>
      <c r="C78" s="68" t="s">
        <v>259</v>
      </c>
      <c r="D78" s="171">
        <f>IF(D26="Other Fluid",D76,C69)</f>
        <v>0.13282385499999999</v>
      </c>
      <c r="E78" s="85" t="s">
        <v>689</v>
      </c>
      <c r="F78" s="59" t="str">
        <f>IF(D$18="Other Fluid","     (manual entry)","     (from menu selection)")</f>
        <v xml:space="preserve">     (from menu selection)</v>
      </c>
      <c r="I78" s="4"/>
      <c r="J78" s="15" t="s">
        <v>62</v>
      </c>
      <c r="K78" s="10" t="s">
        <v>759</v>
      </c>
      <c r="L78" s="10">
        <v>0.57233000000000001</v>
      </c>
      <c r="M78" s="10">
        <v>0.25170999999999999</v>
      </c>
      <c r="N78" s="10">
        <v>638.35</v>
      </c>
      <c r="O78" s="10">
        <v>0.29615999999999998</v>
      </c>
      <c r="P78" s="53">
        <v>120.19199999999999</v>
      </c>
      <c r="Q78" s="10" t="s">
        <v>486</v>
      </c>
      <c r="R78" s="10">
        <v>-18.282</v>
      </c>
      <c r="S78" s="10">
        <v>1549.7</v>
      </c>
      <c r="T78" s="10">
        <v>1.0454000000000001</v>
      </c>
      <c r="U78" s="10"/>
      <c r="V78" s="15"/>
      <c r="W78" s="12"/>
      <c r="X78" s="10" t="s">
        <v>185</v>
      </c>
      <c r="Y78" s="10">
        <v>174380</v>
      </c>
      <c r="Z78" s="10">
        <v>-101.8</v>
      </c>
      <c r="AA78" s="10">
        <v>0.79</v>
      </c>
      <c r="AB78" s="10"/>
      <c r="AC78" s="15"/>
      <c r="AD78" s="15" t="s">
        <v>62</v>
      </c>
      <c r="AE78" s="10" t="s">
        <v>488</v>
      </c>
      <c r="AF78" s="160">
        <v>0.18706999999999999</v>
      </c>
      <c r="AG78" s="153">
        <f>-1.9846/10000</f>
        <v>-1.9845999999999999E-4</v>
      </c>
      <c r="AH78" s="10"/>
      <c r="AI78" s="10"/>
      <c r="AJ78" s="5"/>
      <c r="AL78" s="319">
        <v>-99</v>
      </c>
      <c r="AM78" s="100">
        <v>365</v>
      </c>
      <c r="AN78" s="99">
        <v>-73</v>
      </c>
      <c r="AO78" s="100">
        <v>159</v>
      </c>
      <c r="AP78" s="105">
        <v>-99</v>
      </c>
      <c r="AQ78" s="106">
        <v>159</v>
      </c>
      <c r="AR78" s="105">
        <v>-100</v>
      </c>
      <c r="AS78" s="106">
        <v>310</v>
      </c>
    </row>
    <row r="79" spans="1:45" ht="18.75" customHeight="1" x14ac:dyDescent="0.2">
      <c r="A79" s="377"/>
      <c r="C79" s="129" t="s">
        <v>267</v>
      </c>
      <c r="D79" s="311"/>
      <c r="E79" s="310"/>
      <c r="I79" s="4"/>
      <c r="J79" s="130" t="s">
        <v>74</v>
      </c>
      <c r="K79" s="131" t="s">
        <v>760</v>
      </c>
      <c r="L79" s="131">
        <v>0.67752000000000001</v>
      </c>
      <c r="M79" s="131">
        <v>0.25886999999999999</v>
      </c>
      <c r="N79" s="131">
        <v>616.20000000000005</v>
      </c>
      <c r="O79" s="131">
        <v>0.27595999999999998</v>
      </c>
      <c r="P79" s="132">
        <v>106.16500000000001</v>
      </c>
      <c r="Q79" s="131" t="s">
        <v>489</v>
      </c>
      <c r="R79" s="131">
        <v>-7.3810000000000002</v>
      </c>
      <c r="S79" s="131">
        <v>911.7</v>
      </c>
      <c r="T79" s="131">
        <v>-0.54152</v>
      </c>
      <c r="U79" s="130"/>
      <c r="V79" s="130"/>
      <c r="W79" s="137"/>
      <c r="X79" s="131" t="s">
        <v>180</v>
      </c>
      <c r="Y79" s="131">
        <v>-35500</v>
      </c>
      <c r="Z79" s="131">
        <v>1287.2</v>
      </c>
      <c r="AA79" s="131">
        <v>-2.5990000000000002</v>
      </c>
      <c r="AB79" s="130">
        <v>2.4260000000000002E-3</v>
      </c>
      <c r="AC79" s="130"/>
      <c r="AD79" s="130" t="s">
        <v>74</v>
      </c>
      <c r="AE79" s="131" t="s">
        <v>489</v>
      </c>
      <c r="AF79" s="160">
        <v>0.20003000000000001</v>
      </c>
      <c r="AG79" s="153">
        <f>-2.3573/10000</f>
        <v>-2.3572999999999999E-4</v>
      </c>
      <c r="AH79" s="131"/>
      <c r="AI79" s="130"/>
      <c r="AJ79" s="5"/>
      <c r="AL79" s="319">
        <v>13</v>
      </c>
      <c r="AM79" s="100">
        <v>343</v>
      </c>
      <c r="AN79" s="99">
        <v>13</v>
      </c>
      <c r="AO79" s="100">
        <v>140</v>
      </c>
      <c r="AP79" s="105">
        <v>13</v>
      </c>
      <c r="AQ79" s="106">
        <v>327</v>
      </c>
      <c r="AR79" s="105">
        <v>13</v>
      </c>
      <c r="AS79" s="106">
        <v>140</v>
      </c>
    </row>
    <row r="80" spans="1:45" ht="20.25" customHeight="1" x14ac:dyDescent="0.2">
      <c r="A80" s="377"/>
      <c r="I80" s="4"/>
      <c r="J80" s="15" t="s">
        <v>64</v>
      </c>
      <c r="K80" s="10" t="s">
        <v>761</v>
      </c>
      <c r="L80" s="10">
        <v>0.73970000000000002</v>
      </c>
      <c r="M80" s="10">
        <v>0.26029999999999998</v>
      </c>
      <c r="N80" s="10">
        <v>636</v>
      </c>
      <c r="O80" s="10">
        <v>0.3009</v>
      </c>
      <c r="P80" s="53">
        <v>104.149</v>
      </c>
      <c r="Q80" s="10" t="s">
        <v>491</v>
      </c>
      <c r="R80" s="10">
        <v>-22.675000000000001</v>
      </c>
      <c r="S80" s="10">
        <v>1758</v>
      </c>
      <c r="T80" s="10">
        <v>1.6700999999999999</v>
      </c>
      <c r="U80" s="15"/>
      <c r="V80" s="15"/>
      <c r="W80" s="12"/>
      <c r="X80" s="10" t="s">
        <v>186</v>
      </c>
      <c r="Y80" s="10">
        <v>113340</v>
      </c>
      <c r="Z80" s="10">
        <v>290.2</v>
      </c>
      <c r="AA80" s="10">
        <v>-0.60509999999999997</v>
      </c>
      <c r="AB80" s="15">
        <v>1.3567E-3</v>
      </c>
      <c r="AC80" s="15"/>
      <c r="AD80" s="15" t="s">
        <v>64</v>
      </c>
      <c r="AE80" s="10" t="s">
        <v>492</v>
      </c>
      <c r="AF80" s="160">
        <v>0.20215</v>
      </c>
      <c r="AG80" s="154">
        <f>-2.201/10000</f>
        <v>-2.2010000000000001E-4</v>
      </c>
      <c r="AH80" s="10"/>
      <c r="AI80" s="15"/>
      <c r="AJ80" s="5"/>
      <c r="AL80" s="319">
        <v>-30</v>
      </c>
      <c r="AM80" s="100">
        <v>363</v>
      </c>
      <c r="AN80" s="99">
        <v>-30</v>
      </c>
      <c r="AO80" s="100">
        <v>145</v>
      </c>
      <c r="AP80" s="105">
        <v>-31</v>
      </c>
      <c r="AQ80" s="106">
        <v>145</v>
      </c>
      <c r="AR80" s="105">
        <v>-31</v>
      </c>
      <c r="AS80" s="106">
        <v>145</v>
      </c>
    </row>
    <row r="81" spans="1:45" x14ac:dyDescent="0.2">
      <c r="A81" s="377"/>
      <c r="I81" s="4"/>
      <c r="J81" s="130" t="s">
        <v>65</v>
      </c>
      <c r="K81" s="131" t="s">
        <v>762</v>
      </c>
      <c r="L81" s="131">
        <v>1.2543</v>
      </c>
      <c r="M81" s="131">
        <v>0.28083999999999998</v>
      </c>
      <c r="N81" s="131">
        <v>540.15</v>
      </c>
      <c r="O81" s="131">
        <v>0.29120000000000001</v>
      </c>
      <c r="P81" s="132">
        <v>72.105999999999995</v>
      </c>
      <c r="Q81" s="131" t="s">
        <v>493</v>
      </c>
      <c r="R81" s="131">
        <v>-10.321</v>
      </c>
      <c r="S81" s="131">
        <v>900.92</v>
      </c>
      <c r="T81" s="131">
        <v>-6.9127999999999995E-2</v>
      </c>
      <c r="U81" s="130"/>
      <c r="V81" s="130"/>
      <c r="W81" s="137"/>
      <c r="X81" s="131" t="s">
        <v>187</v>
      </c>
      <c r="Y81" s="131">
        <v>171730</v>
      </c>
      <c r="Z81" s="131">
        <v>-800.47</v>
      </c>
      <c r="AA81" s="131">
        <v>2.8934000000000002</v>
      </c>
      <c r="AB81" s="130">
        <v>-2.5014999999999998E-3</v>
      </c>
      <c r="AC81" s="130"/>
      <c r="AD81" s="130" t="s">
        <v>65</v>
      </c>
      <c r="AE81" s="131" t="s">
        <v>494</v>
      </c>
      <c r="AF81" s="160">
        <v>0.19428000000000001</v>
      </c>
      <c r="AG81" s="159">
        <f>-2.49/10000</f>
        <v>-2.4900000000000004E-4</v>
      </c>
      <c r="AH81" s="131"/>
      <c r="AI81" s="130"/>
      <c r="AJ81" s="5"/>
      <c r="AL81" s="319">
        <v>-108</v>
      </c>
      <c r="AM81" s="100">
        <v>267</v>
      </c>
      <c r="AN81" s="99">
        <v>-108</v>
      </c>
      <c r="AO81" s="100">
        <v>100</v>
      </c>
      <c r="AP81" s="105">
        <v>-108</v>
      </c>
      <c r="AQ81" s="106">
        <v>66</v>
      </c>
      <c r="AR81" s="105">
        <v>-108</v>
      </c>
      <c r="AS81" s="106">
        <v>66</v>
      </c>
    </row>
    <row r="82" spans="1:45" x14ac:dyDescent="0.2">
      <c r="A82" s="377"/>
      <c r="I82" s="4"/>
      <c r="J82" s="15" t="s">
        <v>66</v>
      </c>
      <c r="K82" s="10" t="s">
        <v>763</v>
      </c>
      <c r="L82" s="10">
        <v>0.87919999999999998</v>
      </c>
      <c r="M82" s="10">
        <v>0.27135999999999999</v>
      </c>
      <c r="N82" s="10">
        <v>591.75</v>
      </c>
      <c r="O82" s="10">
        <v>0.29241</v>
      </c>
      <c r="P82" s="53">
        <v>92.138000000000005</v>
      </c>
      <c r="Q82" s="10" t="s">
        <v>495</v>
      </c>
      <c r="R82" s="10">
        <v>-226.08</v>
      </c>
      <c r="S82" s="10">
        <v>6805.7</v>
      </c>
      <c r="T82" s="10">
        <v>37.542000000000002</v>
      </c>
      <c r="U82" s="10">
        <v>-6.0852999999999997E-2</v>
      </c>
      <c r="V82" s="10">
        <v>1</v>
      </c>
      <c r="W82" s="12"/>
      <c r="X82" s="10" t="s">
        <v>188</v>
      </c>
      <c r="Y82" s="10">
        <v>140140</v>
      </c>
      <c r="Z82" s="10">
        <v>-152.30000000000001</v>
      </c>
      <c r="AA82" s="10">
        <v>0.69499999999999995</v>
      </c>
      <c r="AB82" s="10"/>
      <c r="AC82" s="10"/>
      <c r="AD82" s="15" t="s">
        <v>66</v>
      </c>
      <c r="AE82" s="10" t="s">
        <v>497</v>
      </c>
      <c r="AF82" s="160">
        <v>0.20463000000000001</v>
      </c>
      <c r="AG82" s="153">
        <f>-2.4252/10000</f>
        <v>-2.4251999999999998E-4</v>
      </c>
      <c r="AH82" s="10"/>
      <c r="AI82" s="10"/>
      <c r="AJ82" s="8"/>
      <c r="AL82" s="319">
        <v>-95</v>
      </c>
      <c r="AM82" s="100">
        <v>319</v>
      </c>
      <c r="AN82" s="99">
        <v>-95</v>
      </c>
      <c r="AO82" s="100">
        <v>111</v>
      </c>
      <c r="AP82" s="105">
        <v>-95</v>
      </c>
      <c r="AQ82" s="106">
        <v>227</v>
      </c>
      <c r="AR82" s="105">
        <v>-95</v>
      </c>
      <c r="AS82" s="106">
        <v>202</v>
      </c>
    </row>
    <row r="83" spans="1:45" x14ac:dyDescent="0.2">
      <c r="A83" s="377"/>
      <c r="I83" s="4"/>
      <c r="J83" s="130" t="s">
        <v>68</v>
      </c>
      <c r="K83" s="131" t="s">
        <v>707</v>
      </c>
      <c r="L83" s="131">
        <v>0.70350000000000001</v>
      </c>
      <c r="M83" s="131">
        <v>0.27385999999999999</v>
      </c>
      <c r="N83" s="131">
        <v>535.15</v>
      </c>
      <c r="O83" s="131">
        <v>0.28720000000000001</v>
      </c>
      <c r="P83" s="132">
        <v>101.19</v>
      </c>
      <c r="Q83" s="131" t="s">
        <v>498</v>
      </c>
      <c r="R83" s="131">
        <v>-3.7067000000000001</v>
      </c>
      <c r="S83" s="131">
        <v>585.78</v>
      </c>
      <c r="T83" s="131">
        <v>-1.0926</v>
      </c>
      <c r="U83" s="130"/>
      <c r="V83" s="130"/>
      <c r="W83" s="137"/>
      <c r="X83" s="131" t="s">
        <v>189</v>
      </c>
      <c r="Y83" s="131">
        <v>111480</v>
      </c>
      <c r="Z83" s="131">
        <v>368.13</v>
      </c>
      <c r="AA83" s="131"/>
      <c r="AB83" s="130"/>
      <c r="AC83" s="130"/>
      <c r="AD83" s="130" t="s">
        <v>68</v>
      </c>
      <c r="AE83" s="131" t="s">
        <v>500</v>
      </c>
      <c r="AF83" s="162">
        <v>0.1918</v>
      </c>
      <c r="AG83" s="154">
        <f>-2.453/10000</f>
        <v>-2.453E-4</v>
      </c>
      <c r="AH83" s="131"/>
      <c r="AI83" s="130"/>
      <c r="AJ83" s="5"/>
      <c r="AL83" s="319">
        <v>-115</v>
      </c>
      <c r="AM83" s="100">
        <v>262</v>
      </c>
      <c r="AN83" s="99">
        <v>-23</v>
      </c>
      <c r="AO83" s="100">
        <v>86</v>
      </c>
      <c r="AP83" s="105">
        <v>-73</v>
      </c>
      <c r="AQ83" s="106">
        <v>89</v>
      </c>
      <c r="AR83" s="105">
        <v>-115</v>
      </c>
      <c r="AS83" s="106">
        <v>210</v>
      </c>
    </row>
    <row r="84" spans="1:45" x14ac:dyDescent="0.2">
      <c r="I84" s="4"/>
      <c r="J84" s="15" t="s">
        <v>69</v>
      </c>
      <c r="K84" s="10" t="s">
        <v>764</v>
      </c>
      <c r="L84" s="10">
        <v>0.36703000000000002</v>
      </c>
      <c r="M84" s="10">
        <v>0.24876000000000001</v>
      </c>
      <c r="N84" s="10">
        <v>639</v>
      </c>
      <c r="O84" s="10">
        <v>0.28571000000000002</v>
      </c>
      <c r="P84" s="53">
        <v>156.30799999999999</v>
      </c>
      <c r="Q84" s="10" t="s">
        <v>501</v>
      </c>
      <c r="R84" s="10">
        <v>52.176000000000002</v>
      </c>
      <c r="S84" s="10">
        <v>-4951.8999999999996</v>
      </c>
      <c r="T84" s="10">
        <v>-8.5676000000000005</v>
      </c>
      <c r="U84" s="10">
        <v>570980</v>
      </c>
      <c r="V84" s="10">
        <v>-2</v>
      </c>
      <c r="W84" s="12"/>
      <c r="X84" s="10" t="s">
        <v>190</v>
      </c>
      <c r="Y84" s="10">
        <v>293980</v>
      </c>
      <c r="Z84" s="10">
        <v>-114.98</v>
      </c>
      <c r="AA84" s="10">
        <v>0.96936</v>
      </c>
      <c r="AB84" s="10"/>
      <c r="AC84" s="10"/>
      <c r="AD84" s="15" t="s">
        <v>69</v>
      </c>
      <c r="AE84" s="10" t="s">
        <v>503</v>
      </c>
      <c r="AF84" s="160">
        <v>0.20515</v>
      </c>
      <c r="AG84" s="153">
        <f>-2.3933/10000</f>
        <v>-2.3933E-4</v>
      </c>
      <c r="AH84" s="10"/>
      <c r="AI84" s="10"/>
      <c r="AJ84" s="8"/>
      <c r="AL84" s="319">
        <v>-25</v>
      </c>
      <c r="AM84" s="100">
        <v>366</v>
      </c>
      <c r="AN84" s="99">
        <v>-25</v>
      </c>
      <c r="AO84" s="100">
        <v>238</v>
      </c>
      <c r="AP84" s="105">
        <v>-26</v>
      </c>
      <c r="AQ84" s="106">
        <v>160</v>
      </c>
      <c r="AR84" s="105">
        <v>-26</v>
      </c>
      <c r="AS84" s="106">
        <v>196</v>
      </c>
    </row>
    <row r="85" spans="1:45" x14ac:dyDescent="0.2">
      <c r="C85" s="173" t="s">
        <v>268</v>
      </c>
      <c r="I85" s="4"/>
      <c r="J85" s="130" t="s">
        <v>70</v>
      </c>
      <c r="K85" s="131" t="s">
        <v>765</v>
      </c>
      <c r="L85" s="131">
        <v>1.5115000000000001</v>
      </c>
      <c r="M85" s="131">
        <v>0.2707</v>
      </c>
      <c r="N85" s="131">
        <v>432</v>
      </c>
      <c r="O85" s="131">
        <v>0.27160000000000001</v>
      </c>
      <c r="P85" s="132">
        <v>62.497999999999998</v>
      </c>
      <c r="Q85" s="131" t="s">
        <v>504</v>
      </c>
      <c r="R85" s="131">
        <v>0.26296999999999998</v>
      </c>
      <c r="S85" s="131">
        <v>276.55</v>
      </c>
      <c r="T85" s="131">
        <v>-1.7282</v>
      </c>
      <c r="U85" s="130"/>
      <c r="V85" s="130"/>
      <c r="W85" s="137"/>
      <c r="X85" s="131" t="s">
        <v>191</v>
      </c>
      <c r="Y85" s="131">
        <v>-10320</v>
      </c>
      <c r="Z85" s="131">
        <v>322.8</v>
      </c>
      <c r="AA85" s="131"/>
      <c r="AB85" s="130"/>
      <c r="AC85" s="130"/>
      <c r="AD85" s="130" t="s">
        <v>70</v>
      </c>
      <c r="AE85" s="131" t="s">
        <v>505</v>
      </c>
      <c r="AF85" s="162">
        <v>0.23330000000000001</v>
      </c>
      <c r="AG85" s="159">
        <f>-3.9223/10000</f>
        <v>-3.9222999999999998E-4</v>
      </c>
      <c r="AH85" s="131"/>
      <c r="AI85" s="130"/>
      <c r="AJ85" s="5"/>
      <c r="AL85" s="319">
        <v>-254</v>
      </c>
      <c r="AM85" s="100">
        <v>159</v>
      </c>
      <c r="AN85" s="99">
        <v>-143</v>
      </c>
      <c r="AO85" s="100">
        <v>127</v>
      </c>
      <c r="AP85" s="105">
        <v>-73</v>
      </c>
      <c r="AQ85" s="106">
        <v>127</v>
      </c>
      <c r="AR85" s="105">
        <v>-154</v>
      </c>
      <c r="AS85" s="106">
        <v>72</v>
      </c>
    </row>
    <row r="86" spans="1:45" ht="14.25" x14ac:dyDescent="0.2">
      <c r="C86" s="205"/>
      <c r="I86" s="4"/>
      <c r="J86" s="130" t="s">
        <v>71</v>
      </c>
      <c r="K86" s="131" t="s">
        <v>766</v>
      </c>
      <c r="L86" s="131">
        <v>-13.851000000000001</v>
      </c>
      <c r="M86" s="131">
        <v>0.64037999999999995</v>
      </c>
      <c r="N86" s="131">
        <v>-1.91E-3</v>
      </c>
      <c r="O86" s="130">
        <f>1.8211/1000000</f>
        <v>1.8211E-6</v>
      </c>
      <c r="P86" s="132">
        <v>18.015000000000001</v>
      </c>
      <c r="Q86" s="131" t="s">
        <v>506</v>
      </c>
      <c r="R86" s="131">
        <v>-52.843000000000004</v>
      </c>
      <c r="S86" s="131">
        <v>3703.6</v>
      </c>
      <c r="T86" s="131">
        <v>5.8659999999999997</v>
      </c>
      <c r="U86" s="130">
        <f>-5.879/1E+29</f>
        <v>-5.8789999999999996E-29</v>
      </c>
      <c r="V86" s="131">
        <v>10</v>
      </c>
      <c r="W86" s="137"/>
      <c r="X86" s="131" t="s">
        <v>192</v>
      </c>
      <c r="Y86" s="131">
        <v>276370</v>
      </c>
      <c r="Z86" s="131">
        <v>-2090.1</v>
      </c>
      <c r="AA86" s="131">
        <v>8.125</v>
      </c>
      <c r="AB86" s="130">
        <v>-1.4116E-2</v>
      </c>
      <c r="AC86" s="131">
        <f>9.37/1000000</f>
        <v>9.3699999999999984E-6</v>
      </c>
      <c r="AD86" s="130" t="s">
        <v>71</v>
      </c>
      <c r="AE86" s="131" t="s">
        <v>508</v>
      </c>
      <c r="AF86" s="162">
        <v>-0.432</v>
      </c>
      <c r="AG86" s="159">
        <v>5.7254999999999997E-3</v>
      </c>
      <c r="AH86" s="131">
        <f>-8.078/1000000</f>
        <v>-8.0779999999999996E-6</v>
      </c>
      <c r="AI86" s="130">
        <f>1.861/1000000000</f>
        <v>1.8610000000000001E-9</v>
      </c>
      <c r="AJ86" s="8"/>
      <c r="AL86" s="319">
        <v>0</v>
      </c>
      <c r="AM86" s="100">
        <v>80</v>
      </c>
      <c r="AN86" s="99">
        <v>0</v>
      </c>
      <c r="AO86" s="100">
        <v>373</v>
      </c>
      <c r="AP86" s="105">
        <v>0</v>
      </c>
      <c r="AQ86" s="106">
        <v>260</v>
      </c>
      <c r="AR86" s="105">
        <v>0</v>
      </c>
      <c r="AS86" s="106">
        <v>360</v>
      </c>
    </row>
    <row r="87" spans="1:45" ht="12.75" customHeight="1" thickBot="1" x14ac:dyDescent="0.25">
      <c r="I87" s="6"/>
      <c r="J87" s="149"/>
      <c r="K87" s="92"/>
      <c r="L87" s="40"/>
      <c r="M87" s="40"/>
      <c r="N87" s="40"/>
      <c r="O87" s="40"/>
      <c r="P87" s="40"/>
      <c r="Q87" s="22"/>
      <c r="R87" s="22"/>
      <c r="S87" s="22"/>
      <c r="T87" s="22"/>
      <c r="U87" s="22"/>
      <c r="V87" s="22"/>
      <c r="W87" s="93"/>
      <c r="X87" s="22"/>
      <c r="Y87" s="22"/>
      <c r="Z87" s="22"/>
      <c r="AA87" s="22"/>
      <c r="AB87" s="22"/>
      <c r="AC87" s="22"/>
      <c r="AD87" s="138"/>
      <c r="AE87" s="22"/>
      <c r="AF87" s="22"/>
      <c r="AG87" s="22"/>
      <c r="AH87" s="22"/>
      <c r="AI87" s="22"/>
      <c r="AJ87" s="169"/>
      <c r="AL87" s="101"/>
      <c r="AM87" s="102"/>
      <c r="AN87" s="101"/>
      <c r="AO87" s="102"/>
      <c r="AP87" s="101"/>
      <c r="AQ87" s="102"/>
      <c r="AR87" s="101"/>
      <c r="AS87" s="102"/>
    </row>
    <row r="88" spans="1:45" x14ac:dyDescent="0.2">
      <c r="J88"/>
      <c r="K88"/>
    </row>
    <row r="89" spans="1:45" ht="14.25" customHeight="1" thickBot="1" x14ac:dyDescent="0.25"/>
    <row r="90" spans="1:45" ht="13.5" thickBot="1" x14ac:dyDescent="0.25">
      <c r="B90" s="27"/>
      <c r="C90" s="371" t="s">
        <v>583</v>
      </c>
      <c r="D90" s="372"/>
      <c r="E90" s="372"/>
      <c r="F90" s="372"/>
      <c r="G90" s="373"/>
    </row>
    <row r="91" spans="1:45" ht="14.25" customHeight="1" x14ac:dyDescent="0.2">
      <c r="B91" s="27"/>
      <c r="C91" s="19"/>
      <c r="D91" s="270"/>
      <c r="E91" s="270"/>
      <c r="F91" s="270"/>
      <c r="G91" s="21"/>
      <c r="J91" s="205" t="s">
        <v>841</v>
      </c>
    </row>
    <row r="92" spans="1:45" ht="14.25" x14ac:dyDescent="0.2">
      <c r="B92" s="27"/>
      <c r="C92" s="39" t="s">
        <v>584</v>
      </c>
      <c r="D92" s="29"/>
      <c r="E92" s="29"/>
      <c r="F92" s="29"/>
      <c r="G92" s="30"/>
    </row>
    <row r="93" spans="1:45" ht="14.25" x14ac:dyDescent="0.2">
      <c r="B93" s="27"/>
      <c r="C93" s="39" t="s">
        <v>585</v>
      </c>
      <c r="D93" s="29"/>
      <c r="E93" s="29"/>
      <c r="F93" s="29"/>
      <c r="G93" s="30"/>
    </row>
    <row r="94" spans="1:45" ht="14.25" x14ac:dyDescent="0.2">
      <c r="B94" s="27"/>
      <c r="C94" s="39" t="s">
        <v>586</v>
      </c>
      <c r="D94" s="29"/>
      <c r="E94" s="29"/>
      <c r="F94" s="29"/>
      <c r="G94" s="30"/>
    </row>
    <row r="95" spans="1:45" ht="14.25" customHeight="1" x14ac:dyDescent="0.2">
      <c r="B95" s="27"/>
      <c r="C95" s="374" t="s">
        <v>873</v>
      </c>
      <c r="D95" s="375"/>
      <c r="E95" s="375"/>
      <c r="F95" s="375"/>
      <c r="G95" s="376"/>
    </row>
    <row r="96" spans="1:45" ht="14.25" x14ac:dyDescent="0.2">
      <c r="B96" s="27"/>
      <c r="C96" s="39"/>
      <c r="D96" s="29"/>
      <c r="E96" s="29"/>
      <c r="F96" s="29"/>
      <c r="G96" s="30"/>
    </row>
    <row r="97" spans="3:7" ht="14.25" x14ac:dyDescent="0.2">
      <c r="C97" s="39" t="s">
        <v>587</v>
      </c>
      <c r="D97" s="29"/>
      <c r="E97" s="29"/>
      <c r="F97" s="29"/>
      <c r="G97" s="30"/>
    </row>
    <row r="98" spans="3:7" x14ac:dyDescent="0.2">
      <c r="C98" s="28"/>
      <c r="D98" s="29"/>
      <c r="E98" s="29"/>
      <c r="F98" s="29"/>
      <c r="G98" s="30"/>
    </row>
    <row r="99" spans="3:7" x14ac:dyDescent="0.2">
      <c r="C99" s="368" t="s">
        <v>588</v>
      </c>
      <c r="D99" s="369"/>
      <c r="E99" s="369"/>
      <c r="F99" s="369"/>
      <c r="G99" s="370"/>
    </row>
    <row r="100" spans="3:7" x14ac:dyDescent="0.2">
      <c r="C100" s="368"/>
      <c r="D100" s="369"/>
      <c r="E100" s="369"/>
      <c r="F100" s="369"/>
      <c r="G100" s="370"/>
    </row>
    <row r="101" spans="3:7" ht="18.75" x14ac:dyDescent="0.25">
      <c r="C101" s="271" t="s">
        <v>843</v>
      </c>
      <c r="D101" s="29"/>
      <c r="E101" s="29"/>
      <c r="F101" s="29"/>
      <c r="G101" s="30"/>
    </row>
    <row r="102" spans="3:7" ht="14.25" customHeight="1" x14ac:dyDescent="0.2">
      <c r="C102" s="28"/>
      <c r="D102" s="29"/>
      <c r="E102" s="29"/>
      <c r="F102" s="29"/>
      <c r="G102" s="30"/>
    </row>
    <row r="103" spans="3:7" ht="14.25" customHeight="1" x14ac:dyDescent="0.25">
      <c r="C103" s="39" t="s">
        <v>589</v>
      </c>
      <c r="D103" s="272" t="s">
        <v>590</v>
      </c>
      <c r="E103" s="273"/>
      <c r="F103" s="272" t="s">
        <v>844</v>
      </c>
      <c r="G103" s="274"/>
    </row>
    <row r="104" spans="3:7" ht="26.25" customHeight="1" x14ac:dyDescent="0.2">
      <c r="C104" s="39"/>
      <c r="D104" s="29"/>
      <c r="E104" s="29"/>
      <c r="F104" s="29"/>
      <c r="G104" s="30"/>
    </row>
    <row r="105" spans="3:7" x14ac:dyDescent="0.2">
      <c r="C105" s="368" t="s">
        <v>591</v>
      </c>
      <c r="D105" s="369"/>
      <c r="E105" s="369"/>
      <c r="F105" s="369"/>
      <c r="G105" s="370"/>
    </row>
    <row r="106" spans="3:7" ht="10.5" customHeight="1" x14ac:dyDescent="0.2">
      <c r="C106" s="39"/>
      <c r="D106" s="29"/>
      <c r="E106" s="29"/>
      <c r="F106" s="29"/>
      <c r="G106" s="30"/>
    </row>
    <row r="107" spans="3:7" ht="18.75" x14ac:dyDescent="0.25">
      <c r="C107" s="271" t="s">
        <v>845</v>
      </c>
      <c r="D107" s="29"/>
      <c r="E107" s="273" t="s">
        <v>589</v>
      </c>
      <c r="F107" s="272" t="s">
        <v>848</v>
      </c>
      <c r="G107" s="30"/>
    </row>
    <row r="108" spans="3:7" ht="23.25" customHeight="1" x14ac:dyDescent="0.2">
      <c r="C108" s="39"/>
      <c r="D108" s="29"/>
      <c r="E108" s="29"/>
      <c r="F108" s="29"/>
      <c r="G108" s="30"/>
    </row>
    <row r="109" spans="3:7" x14ac:dyDescent="0.2">
      <c r="C109" s="368" t="s">
        <v>592</v>
      </c>
      <c r="D109" s="369"/>
      <c r="E109" s="369"/>
      <c r="F109" s="369"/>
      <c r="G109" s="370"/>
    </row>
    <row r="110" spans="3:7" ht="10.5" customHeight="1" x14ac:dyDescent="0.2">
      <c r="C110" s="28"/>
      <c r="D110" s="29"/>
      <c r="E110" s="29"/>
      <c r="F110" s="29"/>
      <c r="G110" s="30"/>
    </row>
    <row r="111" spans="3:7" ht="17.25" x14ac:dyDescent="0.25">
      <c r="C111" s="275" t="s">
        <v>846</v>
      </c>
      <c r="D111" s="29"/>
      <c r="E111" s="42" t="s">
        <v>593</v>
      </c>
      <c r="F111" s="276" t="s">
        <v>847</v>
      </c>
      <c r="G111" s="30"/>
    </row>
    <row r="112" spans="3:7" x14ac:dyDescent="0.2">
      <c r="C112" s="28"/>
      <c r="D112" s="29"/>
      <c r="E112" s="29"/>
      <c r="F112" s="29"/>
      <c r="G112" s="30"/>
    </row>
    <row r="113" spans="3:7" ht="15" x14ac:dyDescent="0.25">
      <c r="C113" s="275"/>
      <c r="D113" s="29"/>
      <c r="E113" s="42"/>
      <c r="F113" s="276"/>
      <c r="G113" s="30"/>
    </row>
    <row r="114" spans="3:7" x14ac:dyDescent="0.2">
      <c r="C114" s="368" t="s">
        <v>594</v>
      </c>
      <c r="D114" s="369"/>
      <c r="E114" s="369"/>
      <c r="F114" s="369"/>
      <c r="G114" s="370"/>
    </row>
    <row r="115" spans="3:7" ht="9.75" customHeight="1" x14ac:dyDescent="0.2">
      <c r="C115" s="28"/>
      <c r="D115" s="29"/>
      <c r="E115" s="29"/>
      <c r="F115" s="29"/>
      <c r="G115" s="30"/>
    </row>
    <row r="116" spans="3:7" ht="16.5" x14ac:dyDescent="0.2">
      <c r="C116" s="39" t="s">
        <v>595</v>
      </c>
      <c r="D116" s="29"/>
      <c r="E116" s="29"/>
      <c r="F116" s="29"/>
      <c r="G116" s="30"/>
    </row>
    <row r="117" spans="3:7" x14ac:dyDescent="0.2">
      <c r="C117" s="28"/>
      <c r="D117" s="42"/>
      <c r="E117" s="29"/>
      <c r="F117" s="29"/>
      <c r="G117" s="30"/>
    </row>
    <row r="118" spans="3:7" ht="11.25" customHeight="1" x14ac:dyDescent="0.2">
      <c r="C118" s="28"/>
      <c r="D118" s="42" t="s">
        <v>596</v>
      </c>
      <c r="E118" s="29" t="s">
        <v>849</v>
      </c>
      <c r="F118" s="29"/>
      <c r="G118" s="30"/>
    </row>
    <row r="119" spans="3:7" x14ac:dyDescent="0.2">
      <c r="C119" s="368"/>
      <c r="D119" s="369"/>
      <c r="E119" s="369"/>
      <c r="F119" s="369"/>
      <c r="G119" s="370"/>
    </row>
    <row r="120" spans="3:7" x14ac:dyDescent="0.2">
      <c r="C120" s="28"/>
      <c r="D120" s="29"/>
      <c r="E120" s="29"/>
      <c r="F120" s="29"/>
      <c r="G120" s="30"/>
    </row>
    <row r="121" spans="3:7" x14ac:dyDescent="0.2">
      <c r="C121" s="368" t="s">
        <v>597</v>
      </c>
      <c r="D121" s="369"/>
      <c r="E121" s="369"/>
      <c r="F121" s="369"/>
      <c r="G121" s="370"/>
    </row>
    <row r="122" spans="3:7" ht="9" customHeight="1" x14ac:dyDescent="0.2">
      <c r="C122" s="28"/>
      <c r="D122" s="29"/>
      <c r="E122" s="29"/>
      <c r="F122" s="29"/>
      <c r="G122" s="30"/>
    </row>
    <row r="123" spans="3:7" ht="16.5" x14ac:dyDescent="0.2">
      <c r="C123" s="39" t="s">
        <v>851</v>
      </c>
      <c r="D123" s="42"/>
      <c r="E123" s="42" t="s">
        <v>598</v>
      </c>
      <c r="F123" s="29" t="s">
        <v>850</v>
      </c>
      <c r="G123" s="30"/>
    </row>
    <row r="124" spans="3:7" ht="20.25" customHeight="1" thickBot="1" x14ac:dyDescent="0.25">
      <c r="C124" s="277"/>
      <c r="D124" s="45"/>
      <c r="E124" s="278"/>
      <c r="F124" s="45"/>
      <c r="G124" s="279"/>
    </row>
  </sheetData>
  <sheetProtection sheet="1" objects="1" scenarios="1" formatCells="0"/>
  <mergeCells count="53">
    <mergeCell ref="E70:H70"/>
    <mergeCell ref="AL8:AS8"/>
    <mergeCell ref="F12:H12"/>
    <mergeCell ref="AT11:AU11"/>
    <mergeCell ref="Y11:AC11"/>
    <mergeCell ref="AL9:AM9"/>
    <mergeCell ref="AN9:AO9"/>
    <mergeCell ref="AP9:AQ9"/>
    <mergeCell ref="AF11:AJ11"/>
    <mergeCell ref="AR9:AS9"/>
    <mergeCell ref="E53:H53"/>
    <mergeCell ref="F52:G52"/>
    <mergeCell ref="Q2:U2"/>
    <mergeCell ref="L11:P11"/>
    <mergeCell ref="R11:V11"/>
    <mergeCell ref="J9:V9"/>
    <mergeCell ref="J3:L3"/>
    <mergeCell ref="M3:O3"/>
    <mergeCell ref="Q3:S3"/>
    <mergeCell ref="U3:W3"/>
    <mergeCell ref="J2:O2"/>
    <mergeCell ref="B2:F2"/>
    <mergeCell ref="B4:F4"/>
    <mergeCell ref="B3:F3"/>
    <mergeCell ref="C26:D26"/>
    <mergeCell ref="E37:H37"/>
    <mergeCell ref="C24:D24"/>
    <mergeCell ref="C35:D35"/>
    <mergeCell ref="C23:D23"/>
    <mergeCell ref="A67:A83"/>
    <mergeCell ref="C68:D68"/>
    <mergeCell ref="C72:D72"/>
    <mergeCell ref="C74:D74"/>
    <mergeCell ref="C11:D11"/>
    <mergeCell ref="A50:A65"/>
    <mergeCell ref="C51:D51"/>
    <mergeCell ref="C59:D59"/>
    <mergeCell ref="C57:D57"/>
    <mergeCell ref="A33:A48"/>
    <mergeCell ref="C56:D56"/>
    <mergeCell ref="A11:A31"/>
    <mergeCell ref="C43:D43"/>
    <mergeCell ref="C41:D41"/>
    <mergeCell ref="C40:D40"/>
    <mergeCell ref="C109:G109"/>
    <mergeCell ref="C114:G114"/>
    <mergeCell ref="C119:G119"/>
    <mergeCell ref="C121:G121"/>
    <mergeCell ref="C90:G90"/>
    <mergeCell ref="C95:G95"/>
    <mergeCell ref="C99:G99"/>
    <mergeCell ref="C100:G100"/>
    <mergeCell ref="C105:G105"/>
  </mergeCells>
  <phoneticPr fontId="19" type="noConversion"/>
  <dataValidations xWindow="489" yWindow="442" count="6">
    <dataValidation type="decimal" operator="greaterThan" allowBlank="1" showInputMessage="1" showErrorMessage="1" errorTitle="Invalid Entry" error="Please enter a value greater than 0." promptTitle="Enter Viscosity" prompt="This is a pre-calculated fluid viscosity you have obtained from another source. Any value you enter here will override the selection above." sqref="D45 D61 D76" xr:uid="{00000000-0002-0000-0200-000000000000}">
      <formula1>0</formula1>
    </dataValidation>
    <dataValidation allowBlank="1" showInputMessage="1" showErrorMessage="1" promptTitle="Fluid Density Calculation" prompt="Based on variables for density." sqref="K11" xr:uid="{00000000-0002-0000-0200-000001000000}"/>
    <dataValidation type="decimal" operator="greaterThan" allowBlank="1" showErrorMessage="1" errorTitle="Invalid Entry" error="Please enter a numerical value only." promptTitle="Temperature" prompt="Enter the temperature of your liquid. The temperature should generally be within the range of the liquid, as specified above." sqref="D16:D18" xr:uid="{00000000-0002-0000-0200-000002000000}">
      <formula1>-10000</formula1>
    </dataValidation>
    <dataValidation type="decimal" operator="greaterThan" allowBlank="1" showInputMessage="1" showErrorMessage="1" errorTitle="Invalid Entry" error="Please enter a value greater than 0." promptTitle="Enter density" prompt="This is a pre-calculated fluid density you have obtained from another source. Any value you enter here will override the selections above." sqref="D28" xr:uid="{00000000-0002-0000-0200-000003000000}">
      <formula1>0</formula1>
    </dataValidation>
    <dataValidation allowBlank="1" showInputMessage="1" showErrorMessage="1" promptTitle="Fluid Specific Heat Calculation" prompt="Based on variables for specific heat_x000a_." sqref="C52" xr:uid="{00000000-0002-0000-0200-000004000000}"/>
    <dataValidation type="list" allowBlank="1" showErrorMessage="1" promptTitle="Liquid Selection" prompt="If your liquid is not listed here or if you have a fluid density calculated from elsewhere, you may instead enter it in the next section, thereby ignoring this selection menu." sqref="D13" xr:uid="{00000000-0002-0000-0200-000005000000}">
      <formula1>$J$13:$J$87</formula1>
    </dataValidation>
  </dataValidations>
  <hyperlinks>
    <hyperlink ref="J2" r:id="rId1" location="p200139d89822_98001" display="Table 2-32 in Perry's Chemical Engineers' Handbook, 8th Ed." xr:uid="{86F9594E-DB97-4BA8-AE83-CDAFE69E3827}"/>
    <hyperlink ref="J2:N2" r:id="rId2" location="c9780071834087ch02" display="Perry's Chemical Engineers' Handbook, 9th Ed, Ch. 2, Physical and Chemical Data" xr:uid="{23C998FA-563C-4D32-A7BD-93711D8FF593}"/>
    <hyperlink ref="J3:L3" r:id="rId3" location="ch02table139" display="Liquid Viscosity:  Table 2-139" xr:uid="{E310017B-CF54-4A0F-BDC4-605E45EDD806}"/>
    <hyperlink ref="M3:O3" r:id="rId4" location="ch02table32" display="Liquid Density:  Table 2-32" xr:uid="{453526C1-4ECF-4C7F-9F4A-7F45D55BD337}"/>
    <hyperlink ref="Q3:S3" r:id="rId5" location="ch02table147" display="Liquid Thermal Conductivity:  Table 2-147" xr:uid="{1D0E6032-10C6-45A9-8226-5197F2BEAC7D}"/>
    <hyperlink ref="U3:W3" r:id="rId6" location="ch02table72" display="Liquid Sp. Heat:  Table 2-72" xr:uid="{EA89DB7A-D81F-4858-8202-43C04EB308A6}"/>
    <hyperlink ref="C95" r:id="rId7" location="p200139d89822_98001" display="Table 2-32 in Perry's Chemical Engineers' Handbook, 8th Ed." xr:uid="{479784C9-78F8-4827-A925-3770301193EF}"/>
    <hyperlink ref="C95:G95" r:id="rId8" location="c9780071834087ch02" display="Perry's Chemical Engineers' Handbook, 9th Ed., Ch. 2, Physical and Chemical Data" xr:uid="{D10D3976-214D-4A45-9DB4-DC2EDE6AA1F8}"/>
  </hyperlinks>
  <pageMargins left="0.75" right="0.75" top="1" bottom="1" header="0.5" footer="0.5"/>
  <pageSetup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24"/>
  <sheetViews>
    <sheetView showGridLines="0" workbookViewId="0"/>
  </sheetViews>
  <sheetFormatPr defaultRowHeight="12.75" x14ac:dyDescent="0.2"/>
  <cols>
    <col min="3" max="3" width="30.7109375" customWidth="1"/>
    <col min="4" max="4" width="20" customWidth="1"/>
    <col min="5" max="5" width="11.5703125" customWidth="1"/>
    <col min="6" max="7" width="12.85546875" customWidth="1"/>
    <col min="9" max="9" width="5.140625" customWidth="1"/>
    <col min="10" max="10" width="20.140625" customWidth="1"/>
    <col min="11" max="11" width="11.140625" customWidth="1"/>
    <col min="15" max="15" width="8.7109375" customWidth="1"/>
    <col min="16" max="16" width="12" customWidth="1"/>
    <col min="17" max="17" width="12.140625" customWidth="1"/>
    <col min="18" max="18" width="10" customWidth="1"/>
    <col min="24" max="24" width="12" customWidth="1"/>
    <col min="30" max="30" width="20.7109375" customWidth="1"/>
    <col min="31" max="31" width="12.5703125" customWidth="1"/>
    <col min="33" max="33" width="13" customWidth="1"/>
    <col min="34" max="34" width="10.85546875" customWidth="1"/>
    <col min="37" max="37" width="4.7109375" customWidth="1"/>
  </cols>
  <sheetData>
    <row r="1" spans="1:47" ht="15" thickBot="1" x14ac:dyDescent="0.25">
      <c r="J1" s="57" t="s">
        <v>231</v>
      </c>
      <c r="K1" s="58"/>
      <c r="L1" s="58"/>
      <c r="M1" s="58"/>
      <c r="N1" s="58"/>
      <c r="Q1" s="57"/>
      <c r="R1" s="1"/>
      <c r="S1" s="1"/>
      <c r="T1" s="1"/>
      <c r="U1" s="1"/>
      <c r="V1" s="1"/>
    </row>
    <row r="2" spans="1:47" ht="25.5" customHeight="1" x14ac:dyDescent="0.25">
      <c r="B2" s="383" t="s">
        <v>248</v>
      </c>
      <c r="C2" s="384"/>
      <c r="D2" s="384"/>
      <c r="E2" s="384"/>
      <c r="F2" s="385"/>
      <c r="J2" s="395" t="s">
        <v>869</v>
      </c>
      <c r="K2" s="395"/>
      <c r="L2" s="395"/>
      <c r="M2" s="395"/>
      <c r="N2" s="395"/>
      <c r="O2" s="395"/>
      <c r="P2" s="395"/>
      <c r="Q2" s="396"/>
      <c r="R2" s="396"/>
      <c r="S2" s="396"/>
      <c r="T2" s="396"/>
      <c r="U2" s="396"/>
      <c r="V2" s="1"/>
    </row>
    <row r="3" spans="1:47" ht="20.25" customHeight="1" x14ac:dyDescent="0.25">
      <c r="B3" s="389" t="s">
        <v>208</v>
      </c>
      <c r="C3" s="390"/>
      <c r="D3" s="390"/>
      <c r="E3" s="390"/>
      <c r="F3" s="391"/>
      <c r="I3" s="395" t="s">
        <v>870</v>
      </c>
      <c r="J3" s="395"/>
      <c r="K3" s="395"/>
      <c r="L3" s="401" t="s">
        <v>230</v>
      </c>
      <c r="M3" s="401"/>
      <c r="N3" s="401"/>
      <c r="P3" s="402" t="s">
        <v>871</v>
      </c>
      <c r="Q3" s="402"/>
      <c r="R3" s="402"/>
      <c r="S3" s="58"/>
      <c r="T3" s="402" t="s">
        <v>872</v>
      </c>
      <c r="U3" s="402"/>
      <c r="V3" s="402"/>
    </row>
    <row r="4" spans="1:47" ht="21.75" customHeight="1" thickBot="1" x14ac:dyDescent="0.3">
      <c r="B4" s="411" t="s">
        <v>672</v>
      </c>
      <c r="C4" s="412"/>
      <c r="D4" s="412"/>
      <c r="E4" s="412"/>
      <c r="F4" s="413"/>
      <c r="J4" s="2"/>
      <c r="K4" s="2"/>
      <c r="Q4" s="1"/>
      <c r="R4" s="58"/>
      <c r="S4" s="58"/>
      <c r="T4" s="58"/>
      <c r="U4" s="58"/>
      <c r="V4" s="1"/>
    </row>
    <row r="5" spans="1:47" ht="15.75" x14ac:dyDescent="0.25">
      <c r="E5" s="9"/>
      <c r="F5" s="9"/>
      <c r="J5" s="79" t="s">
        <v>274</v>
      </c>
      <c r="K5" s="2"/>
      <c r="Q5" s="1"/>
      <c r="R5" s="58"/>
      <c r="S5" s="58"/>
      <c r="T5" s="58"/>
      <c r="U5" s="58"/>
      <c r="V5" s="1"/>
    </row>
    <row r="6" spans="1:47" ht="15.75" x14ac:dyDescent="0.25">
      <c r="A6" s="3"/>
      <c r="B6" s="60"/>
      <c r="D6" s="3"/>
      <c r="E6" s="9"/>
      <c r="F6" s="9"/>
      <c r="J6" s="79" t="s">
        <v>275</v>
      </c>
      <c r="K6" s="2"/>
      <c r="Q6" s="1"/>
      <c r="R6" s="58"/>
      <c r="S6" s="58"/>
      <c r="T6" s="58"/>
      <c r="U6" s="58"/>
      <c r="V6" s="1"/>
    </row>
    <row r="7" spans="1:47" ht="16.5" thickBot="1" x14ac:dyDescent="0.3">
      <c r="B7" s="60" t="s">
        <v>858</v>
      </c>
      <c r="E7" s="9"/>
      <c r="F7" s="9"/>
      <c r="J7" s="2"/>
      <c r="K7" s="2"/>
      <c r="Q7" s="1"/>
      <c r="R7" s="58"/>
      <c r="S7" s="58"/>
      <c r="T7" s="58"/>
      <c r="U7" s="58"/>
      <c r="V7" s="1"/>
      <c r="AD7" s="176"/>
    </row>
    <row r="8" spans="1:47" ht="15.75" x14ac:dyDescent="0.25">
      <c r="B8" s="61" t="s">
        <v>281</v>
      </c>
      <c r="D8" s="3"/>
      <c r="E8" s="9"/>
      <c r="F8" s="9"/>
      <c r="I8" s="50"/>
      <c r="J8" s="90"/>
      <c r="K8" s="90"/>
      <c r="L8" s="51"/>
      <c r="M8" s="51"/>
      <c r="N8" s="51"/>
      <c r="O8" s="51"/>
      <c r="P8" s="51"/>
      <c r="Q8" s="91"/>
      <c r="R8" s="91"/>
      <c r="S8" s="91"/>
      <c r="T8" s="91"/>
      <c r="U8" s="91"/>
      <c r="V8" s="91"/>
      <c r="W8" s="51"/>
      <c r="X8" s="51"/>
      <c r="Y8" s="51"/>
      <c r="Z8" s="51"/>
      <c r="AA8" s="51"/>
      <c r="AB8" s="51"/>
      <c r="AC8" s="51"/>
      <c r="AD8" s="175"/>
      <c r="AE8" s="51"/>
      <c r="AF8" s="51"/>
      <c r="AG8" s="51"/>
      <c r="AH8" s="51"/>
      <c r="AI8" s="51"/>
      <c r="AJ8" s="52"/>
      <c r="AL8" s="403" t="s">
        <v>195</v>
      </c>
      <c r="AM8" s="404"/>
      <c r="AN8" s="404"/>
      <c r="AO8" s="404"/>
      <c r="AP8" s="404"/>
      <c r="AQ8" s="404"/>
      <c r="AR8" s="404"/>
      <c r="AS8" s="405"/>
    </row>
    <row r="9" spans="1:47" ht="15.75" x14ac:dyDescent="0.25">
      <c r="B9" s="60" t="s">
        <v>280</v>
      </c>
      <c r="E9" s="9"/>
      <c r="F9" s="9"/>
      <c r="I9" s="4"/>
      <c r="J9" s="399" t="s">
        <v>84</v>
      </c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11"/>
      <c r="X9" s="11"/>
      <c r="Y9" s="11"/>
      <c r="Z9" s="11"/>
      <c r="AA9" s="11"/>
      <c r="AB9" s="11"/>
      <c r="AC9" s="11"/>
      <c r="AD9" s="15"/>
      <c r="AE9" s="11"/>
      <c r="AF9" s="11"/>
      <c r="AG9" s="11"/>
      <c r="AH9" s="11"/>
      <c r="AI9" s="11"/>
      <c r="AJ9" s="150"/>
      <c r="AL9" s="403" t="s">
        <v>196</v>
      </c>
      <c r="AM9" s="405"/>
      <c r="AN9" s="403" t="s">
        <v>197</v>
      </c>
      <c r="AO9" s="405"/>
      <c r="AP9" s="403" t="s">
        <v>198</v>
      </c>
      <c r="AQ9" s="405"/>
      <c r="AR9" s="403" t="s">
        <v>257</v>
      </c>
      <c r="AS9" s="405"/>
      <c r="AT9" s="126" t="s">
        <v>228</v>
      </c>
    </row>
    <row r="10" spans="1:47" ht="15.75" thickBot="1" x14ac:dyDescent="0.25">
      <c r="D10" s="3"/>
      <c r="E10" s="9"/>
      <c r="F10" s="9"/>
      <c r="I10" s="4"/>
      <c r="J10" s="86"/>
      <c r="K10" s="13" t="str">
        <f>VLOOKUP($D$13,$J$13:$P$86,2)</f>
        <v xml:space="preserve"> 0 to 80</v>
      </c>
      <c r="L10" s="13">
        <f>VLOOKUP($D$13,$J$13:$P$86,3)</f>
        <v>-13.851000000000001</v>
      </c>
      <c r="M10" s="13">
        <f>VLOOKUP($D$13,$J$13:$P$86,4)</f>
        <v>0.64037999999999995</v>
      </c>
      <c r="N10" s="13">
        <f>VLOOKUP($D$13,$J$13:$P$86,5)</f>
        <v>-1.91E-3</v>
      </c>
      <c r="O10" s="13">
        <f>VLOOKUP($D$13,$J$13:$P$86,6)</f>
        <v>1.8211E-6</v>
      </c>
      <c r="P10" s="13">
        <f>VLOOKUP($D$13,$J$13:$P$86,7)</f>
        <v>18.015000000000001</v>
      </c>
      <c r="Q10" s="87" t="str">
        <f>VLOOKUP($D$13,$J$13:$V$86,8)</f>
        <v xml:space="preserve"> 0 to 373</v>
      </c>
      <c r="R10" s="13">
        <f>VLOOKUP($D$13,$J$13:$V$86,9)</f>
        <v>-52.843000000000004</v>
      </c>
      <c r="S10" s="13">
        <f>VLOOKUP($D$13,$J$13:$V$86,10)</f>
        <v>3703.6</v>
      </c>
      <c r="T10" s="13">
        <f>VLOOKUP($D$13,$J$13:$V$86,11)</f>
        <v>5.8659999999999997</v>
      </c>
      <c r="U10" s="13">
        <f>VLOOKUP($D$13,$J$13:$V$86,12)</f>
        <v>-5.8789999999999996E-29</v>
      </c>
      <c r="V10" s="13">
        <f>VLOOKUP($D$13,$J$13:$V$86,13)</f>
        <v>10</v>
      </c>
      <c r="W10" s="17"/>
      <c r="X10" s="13" t="str">
        <f>VLOOKUP($D$13,$J$13:$AC$86,15)</f>
        <v xml:space="preserve"> 32 to 500</v>
      </c>
      <c r="Y10" s="13">
        <f>VLOOKUP($D$13,$J$13:$AC$86,16)</f>
        <v>276370</v>
      </c>
      <c r="Z10" s="13">
        <f>VLOOKUP($D$13,$J$13:$AC$86,17)</f>
        <v>-2090.1</v>
      </c>
      <c r="AA10" s="13">
        <f>VLOOKUP($D$13,$J$13:$AC$86,18)</f>
        <v>8.125</v>
      </c>
      <c r="AB10" s="13">
        <f>VLOOKUP($D$13,$J$13:$AC$86,19)</f>
        <v>-1.4116E-2</v>
      </c>
      <c r="AC10" s="88">
        <f>VLOOKUP($D$13,$J$13:$AC$86,20)</f>
        <v>9.3699999999999984E-6</v>
      </c>
      <c r="AD10" s="170"/>
      <c r="AE10" s="13" t="str">
        <f>VLOOKUP($D$13,$J$13:$AJ$87,22)</f>
        <v xml:space="preserve"> 0 to 360</v>
      </c>
      <c r="AF10" s="13">
        <f>VLOOKUP($D$13,$J$13:$AJ$87,23)</f>
        <v>-0.432</v>
      </c>
      <c r="AG10" s="13">
        <f>VLOOKUP($D$13,$J$13:$AJ$87,24)</f>
        <v>5.7254999999999997E-3</v>
      </c>
      <c r="AH10" s="13">
        <f>VLOOKUP($D$13,$J$13:$AJ$87,25)</f>
        <v>-8.0779999999999996E-6</v>
      </c>
      <c r="AI10" s="13">
        <f>VLOOKUP($D$13,$J$13:$AJ$87,26)</f>
        <v>1.8610000000000001E-9</v>
      </c>
      <c r="AJ10" s="151"/>
      <c r="AL10" s="96">
        <f>VLOOKUP($D$13,$J$13:$AQ$86,29)</f>
        <v>0</v>
      </c>
      <c r="AM10" s="96">
        <f>VLOOKUP($D$13,$J$13:$AQ$86,30)</f>
        <v>80</v>
      </c>
      <c r="AN10" s="96">
        <f>VLOOKUP($D$13,$J$13:$AQ$86,31)</f>
        <v>0</v>
      </c>
      <c r="AO10" s="96">
        <f>VLOOKUP($D$13,$J$13:$AQ$86,32)</f>
        <v>373</v>
      </c>
      <c r="AP10" s="96">
        <f>VLOOKUP($D$13,$J$13:$AQ$86,33)</f>
        <v>0</v>
      </c>
      <c r="AQ10" s="96">
        <f>VLOOKUP($D$13,$J$13:$AQ$86,34)</f>
        <v>260</v>
      </c>
      <c r="AR10" s="96">
        <f>VLOOKUP($D$13,$J$13:$AS$87,35)</f>
        <v>0</v>
      </c>
      <c r="AS10" s="96">
        <f>VLOOKUP($D$13,$J$13:$AS$87,36)</f>
        <v>360</v>
      </c>
      <c r="AT10" s="127">
        <f>(D18+273.15)</f>
        <v>302.14999999999998</v>
      </c>
    </row>
    <row r="11" spans="1:47" ht="15" x14ac:dyDescent="0.2">
      <c r="A11" s="377" t="s">
        <v>107</v>
      </c>
      <c r="C11" s="378" t="s">
        <v>194</v>
      </c>
      <c r="D11" s="379"/>
      <c r="F11" s="362" t="s">
        <v>103</v>
      </c>
      <c r="G11" s="362"/>
      <c r="H11" s="362"/>
      <c r="I11" s="4"/>
      <c r="J11" s="23" t="s">
        <v>83</v>
      </c>
      <c r="K11" s="83">
        <f>IF(D13="Water",P10*(17.863+(58.606*(1-((D18+273.15)/(647.096)))^0.35)-(95.396*(1-((D18+273.15)/(647.096)))^(2/3))+(213.89*(1-((D18+273.15)/(647.096))))-(141.26*(1-((D18+273.15)/(647.096)))^(4/3))),P10*L10/(M10^(1+(1-(((D18+273.15))/N10))^O10)))</f>
        <v>993.19195752472922</v>
      </c>
      <c r="L11" s="397" t="s">
        <v>80</v>
      </c>
      <c r="M11" s="397"/>
      <c r="N11" s="397"/>
      <c r="O11" s="397"/>
      <c r="P11" s="398"/>
      <c r="Q11" s="24">
        <f>EXP(R10+(S10/((D18+273.15)))+(T10*LN((D18+273.15)))+(U10*((D18+273.15))^V10))</f>
        <v>8.3706644445707837E-4</v>
      </c>
      <c r="R11" s="397" t="s">
        <v>81</v>
      </c>
      <c r="S11" s="397"/>
      <c r="T11" s="397"/>
      <c r="U11" s="397"/>
      <c r="V11" s="397"/>
      <c r="W11" s="12"/>
      <c r="X11" s="94">
        <f>IF(D13="Heptane",(1/P10)*(((Y10^2)/AT12)+Z10-(2*Y10*AA10*AT12)-(Y10*AB10*(AT12^2))-(((AA10^2)*AT12^3)/3)-(AA10*AB10*(AT12^4))-((AC10^2)*(AT12^5)/5)),(1/P10)*(Y10+(Z10*((D18+273.15)))+(AA10*(((D18+273.15))^2))+(AB10*(((D18+273.15))^3))+(AC10*(((D18+273.15))^4))))</f>
        <v>4181.2991010935575</v>
      </c>
      <c r="Y11" s="397" t="s">
        <v>124</v>
      </c>
      <c r="Z11" s="397"/>
      <c r="AA11" s="397"/>
      <c r="AB11" s="397"/>
      <c r="AC11" s="397"/>
      <c r="AD11" s="15"/>
      <c r="AE11" s="94">
        <f>(AF10+(AG10*((D18+273.15)))+(AH10*(((D18+273.15))^2))+(AI10*(((D18+273.15))^3))+(AJ10*(((D18+273.15))^4)))</f>
        <v>0.61181693566556583</v>
      </c>
      <c r="AF11" s="397" t="s">
        <v>256</v>
      </c>
      <c r="AG11" s="397"/>
      <c r="AH11" s="397"/>
      <c r="AI11" s="397"/>
      <c r="AJ11" s="409"/>
      <c r="AL11" s="107"/>
      <c r="AM11" s="109"/>
      <c r="AN11" s="107"/>
      <c r="AO11" s="109"/>
      <c r="AP11" s="108"/>
      <c r="AQ11" s="109"/>
      <c r="AR11" s="108"/>
      <c r="AS11" s="109"/>
      <c r="AT11" s="407" t="s">
        <v>229</v>
      </c>
      <c r="AU11" s="408"/>
    </row>
    <row r="12" spans="1:47" ht="15" x14ac:dyDescent="0.2">
      <c r="A12" s="377"/>
      <c r="C12" s="4"/>
      <c r="D12" s="5"/>
      <c r="F12" s="406" t="s">
        <v>104</v>
      </c>
      <c r="G12" s="406"/>
      <c r="H12" s="406"/>
      <c r="I12" s="4"/>
      <c r="J12" s="14"/>
      <c r="K12" s="16" t="s">
        <v>307</v>
      </c>
      <c r="L12" s="10" t="s">
        <v>75</v>
      </c>
      <c r="M12" s="10" t="s">
        <v>76</v>
      </c>
      <c r="N12" s="10" t="s">
        <v>77</v>
      </c>
      <c r="O12" s="10" t="s">
        <v>78</v>
      </c>
      <c r="P12" s="53" t="s">
        <v>79</v>
      </c>
      <c r="Q12" s="16" t="s">
        <v>307</v>
      </c>
      <c r="R12" s="10" t="s">
        <v>75</v>
      </c>
      <c r="S12" s="10" t="s">
        <v>76</v>
      </c>
      <c r="T12" s="10" t="s">
        <v>77</v>
      </c>
      <c r="U12" s="10" t="s">
        <v>78</v>
      </c>
      <c r="V12" s="10" t="s">
        <v>82</v>
      </c>
      <c r="W12" s="12"/>
      <c r="X12" s="16" t="s">
        <v>307</v>
      </c>
      <c r="Y12" s="10" t="s">
        <v>75</v>
      </c>
      <c r="Z12" s="10" t="s">
        <v>76</v>
      </c>
      <c r="AA12" s="10" t="s">
        <v>77</v>
      </c>
      <c r="AB12" s="10" t="s">
        <v>78</v>
      </c>
      <c r="AC12" s="10" t="s">
        <v>82</v>
      </c>
      <c r="AD12" s="15"/>
      <c r="AE12" s="16" t="s">
        <v>307</v>
      </c>
      <c r="AF12" s="10" t="s">
        <v>75</v>
      </c>
      <c r="AG12" s="10" t="s">
        <v>76</v>
      </c>
      <c r="AH12" s="10" t="s">
        <v>77</v>
      </c>
      <c r="AI12" s="10" t="s">
        <v>78</v>
      </c>
      <c r="AJ12" s="8"/>
      <c r="AL12" s="101"/>
      <c r="AM12" s="102"/>
      <c r="AN12" s="101"/>
      <c r="AO12" s="102"/>
      <c r="AP12" s="110"/>
      <c r="AQ12" s="102"/>
      <c r="AR12" s="110"/>
      <c r="AS12" s="102"/>
      <c r="AT12" s="128">
        <f>1-(AT10/540.2)</f>
        <v>0.44067012217697155</v>
      </c>
    </row>
    <row r="13" spans="1:47" x14ac:dyDescent="0.2">
      <c r="A13" s="377"/>
      <c r="C13" s="146" t="s">
        <v>261</v>
      </c>
      <c r="D13" s="70" t="s">
        <v>71</v>
      </c>
      <c r="I13" s="4"/>
      <c r="J13" s="130" t="s">
        <v>67</v>
      </c>
      <c r="K13" s="131" t="s">
        <v>700</v>
      </c>
      <c r="L13" s="131">
        <v>0.90620000000000001</v>
      </c>
      <c r="M13" s="131">
        <v>0.25474999999999998</v>
      </c>
      <c r="N13" s="131">
        <v>602</v>
      </c>
      <c r="O13" s="131">
        <v>0.31</v>
      </c>
      <c r="P13" s="132">
        <v>133.404</v>
      </c>
      <c r="Q13" s="131" t="s">
        <v>308</v>
      </c>
      <c r="R13" s="131">
        <v>0.38800000000000001</v>
      </c>
      <c r="S13" s="131">
        <v>736.5</v>
      </c>
      <c r="T13" s="131">
        <v>-1.7062999999999999</v>
      </c>
      <c r="U13" s="130"/>
      <c r="V13" s="130"/>
      <c r="W13" s="137"/>
      <c r="X13" s="133" t="s">
        <v>125</v>
      </c>
      <c r="Y13" s="131">
        <v>103350</v>
      </c>
      <c r="Z13" s="131">
        <v>159.30000000000001</v>
      </c>
      <c r="AA13" s="131"/>
      <c r="AB13" s="130"/>
      <c r="AC13" s="130"/>
      <c r="AD13" s="130" t="s">
        <v>67</v>
      </c>
      <c r="AE13" s="131" t="s">
        <v>310</v>
      </c>
      <c r="AF13" s="152">
        <v>0.20730999999999999</v>
      </c>
      <c r="AG13" s="153">
        <f>-2.4997/10000</f>
        <v>-2.4996999999999997E-4</v>
      </c>
      <c r="AH13" s="131"/>
      <c r="AI13" s="130"/>
      <c r="AJ13" s="5"/>
      <c r="AL13" s="318">
        <v>-36</v>
      </c>
      <c r="AM13" s="98">
        <v>329</v>
      </c>
      <c r="AN13" s="97">
        <v>-36</v>
      </c>
      <c r="AO13" s="98">
        <v>114</v>
      </c>
      <c r="AP13" s="103">
        <v>-36</v>
      </c>
      <c r="AQ13" s="104">
        <v>27</v>
      </c>
      <c r="AR13" s="103">
        <v>-37</v>
      </c>
      <c r="AS13" s="104">
        <v>209</v>
      </c>
    </row>
    <row r="14" spans="1:47" ht="14.25" x14ac:dyDescent="0.2">
      <c r="A14" s="377"/>
      <c r="C14" s="243" t="s">
        <v>253</v>
      </c>
      <c r="D14" s="71" t="str">
        <f>IF(D$13="","(nothing selected)",K10)</f>
        <v xml:space="preserve"> 0 to 80</v>
      </c>
      <c r="I14" s="4"/>
      <c r="J14" s="130" t="s">
        <v>10</v>
      </c>
      <c r="K14" s="10" t="s">
        <v>701</v>
      </c>
      <c r="L14" s="131">
        <v>1.1870000000000001</v>
      </c>
      <c r="M14" s="131">
        <v>0.26113999999999998</v>
      </c>
      <c r="N14" s="131">
        <v>452</v>
      </c>
      <c r="O14" s="131">
        <v>0.30649999999999999</v>
      </c>
      <c r="P14" s="132">
        <v>54.09</v>
      </c>
      <c r="Q14" s="10" t="s">
        <v>311</v>
      </c>
      <c r="R14" s="10">
        <v>-10.143000000000001</v>
      </c>
      <c r="S14" s="10">
        <v>472.79</v>
      </c>
      <c r="T14" s="10">
        <v>-2.8240999999999999E-2</v>
      </c>
      <c r="U14" s="10"/>
      <c r="V14" s="10"/>
      <c r="W14" s="12"/>
      <c r="X14" s="10" t="s">
        <v>126</v>
      </c>
      <c r="Y14" s="10">
        <v>135150</v>
      </c>
      <c r="Z14" s="10">
        <v>-311.14</v>
      </c>
      <c r="AA14" s="10">
        <v>0.97006999999999999</v>
      </c>
      <c r="AB14" s="10">
        <v>-1.5229999999999999E-4</v>
      </c>
      <c r="AC14" s="10"/>
      <c r="AD14" s="130" t="s">
        <v>10</v>
      </c>
      <c r="AE14" s="10" t="s">
        <v>311</v>
      </c>
      <c r="AF14" s="152">
        <v>0.21965999999999999</v>
      </c>
      <c r="AG14" s="154">
        <f>-3.436/10000</f>
        <v>-3.436E-4</v>
      </c>
      <c r="AH14" s="155"/>
      <c r="AI14" s="10"/>
      <c r="AJ14" s="8"/>
      <c r="AL14" s="319">
        <v>-137</v>
      </c>
      <c r="AM14" s="100">
        <v>179</v>
      </c>
      <c r="AN14" s="99">
        <v>-136</v>
      </c>
      <c r="AO14" s="100">
        <v>11</v>
      </c>
      <c r="AP14" s="105">
        <v>-136</v>
      </c>
      <c r="AQ14" s="106">
        <v>17</v>
      </c>
      <c r="AR14" s="105">
        <v>-136</v>
      </c>
      <c r="AS14" s="106">
        <v>11</v>
      </c>
    </row>
    <row r="15" spans="1:47" ht="15" x14ac:dyDescent="0.25">
      <c r="A15" s="377"/>
      <c r="C15" s="4"/>
      <c r="D15" s="62"/>
      <c r="E15" s="59" t="s">
        <v>855</v>
      </c>
      <c r="I15" s="4"/>
      <c r="J15" s="130" t="s">
        <v>63</v>
      </c>
      <c r="K15" s="131" t="s">
        <v>702</v>
      </c>
      <c r="L15" s="131">
        <v>1.0923</v>
      </c>
      <c r="M15" s="131">
        <v>0.26106000000000001</v>
      </c>
      <c r="N15" s="131">
        <v>626</v>
      </c>
      <c r="O15" s="131">
        <v>0.20458999999999999</v>
      </c>
      <c r="P15" s="132">
        <v>76.093999999999994</v>
      </c>
      <c r="Q15" s="131" t="s">
        <v>313</v>
      </c>
      <c r="R15" s="131">
        <v>-804.54</v>
      </c>
      <c r="S15" s="131">
        <v>30487</v>
      </c>
      <c r="T15" s="131">
        <v>130.79</v>
      </c>
      <c r="U15" s="131">
        <v>-0.15448999999999999</v>
      </c>
      <c r="V15" s="131">
        <v>1</v>
      </c>
      <c r="W15" s="137"/>
      <c r="X15" s="133" t="s">
        <v>127</v>
      </c>
      <c r="Y15" s="131">
        <v>58080</v>
      </c>
      <c r="Z15" s="131">
        <v>445.2</v>
      </c>
      <c r="AA15" s="131"/>
      <c r="AB15" s="131"/>
      <c r="AC15" s="131"/>
      <c r="AD15" s="130" t="s">
        <v>63</v>
      </c>
      <c r="AE15" s="131" t="s">
        <v>315</v>
      </c>
      <c r="AF15" s="152">
        <v>0.214</v>
      </c>
      <c r="AG15" s="154">
        <f>-1.834/10000</f>
        <v>-1.8340000000000001E-4</v>
      </c>
      <c r="AH15" s="131"/>
      <c r="AI15" s="131"/>
      <c r="AJ15" s="8"/>
      <c r="AL15" s="319">
        <v>-60</v>
      </c>
      <c r="AM15" s="100">
        <v>352</v>
      </c>
      <c r="AN15" s="99">
        <v>-60</v>
      </c>
      <c r="AO15" s="100">
        <v>228</v>
      </c>
      <c r="AP15" s="105">
        <v>-60</v>
      </c>
      <c r="AQ15" s="106">
        <v>188</v>
      </c>
      <c r="AR15" s="105">
        <v>-60</v>
      </c>
      <c r="AS15" s="106">
        <v>727</v>
      </c>
    </row>
    <row r="16" spans="1:47" ht="15.75" thickBot="1" x14ac:dyDescent="0.3">
      <c r="A16" s="377"/>
      <c r="C16" s="243" t="s">
        <v>691</v>
      </c>
      <c r="D16" s="298">
        <f>TinTwo</f>
        <v>16</v>
      </c>
      <c r="E16" s="59" t="s">
        <v>859</v>
      </c>
      <c r="I16" s="4"/>
      <c r="J16" s="130" t="s">
        <v>11</v>
      </c>
      <c r="K16" s="10" t="s">
        <v>703</v>
      </c>
      <c r="L16" s="131">
        <v>1.2345999999999999</v>
      </c>
      <c r="M16" s="131">
        <v>0.27216000000000001</v>
      </c>
      <c r="N16" s="131">
        <v>425</v>
      </c>
      <c r="O16" s="131">
        <v>0.28706999999999999</v>
      </c>
      <c r="P16" s="132">
        <v>54.09</v>
      </c>
      <c r="Q16" s="10" t="s">
        <v>316</v>
      </c>
      <c r="R16" s="10">
        <v>17.844000000000001</v>
      </c>
      <c r="S16" s="10">
        <v>-310.2</v>
      </c>
      <c r="T16" s="10">
        <v>-4.5057999999999998</v>
      </c>
      <c r="U16" s="10"/>
      <c r="V16" s="10"/>
      <c r="W16" s="12"/>
      <c r="X16" s="10" t="s">
        <v>128</v>
      </c>
      <c r="Y16" s="10">
        <v>128860</v>
      </c>
      <c r="Z16" s="10">
        <v>-323.10000000000002</v>
      </c>
      <c r="AA16" s="10">
        <v>1.0149999999999999</v>
      </c>
      <c r="AB16" s="10">
        <v>3.1999999999999999E-5</v>
      </c>
      <c r="AC16" s="10"/>
      <c r="AD16" s="130" t="s">
        <v>11</v>
      </c>
      <c r="AE16" s="10" t="s">
        <v>318</v>
      </c>
      <c r="AF16" s="152">
        <v>0.22231000000000001</v>
      </c>
      <c r="AG16" s="154">
        <f>-3.664/10000</f>
        <v>-3.6640000000000002E-4</v>
      </c>
      <c r="AH16" s="10"/>
      <c r="AI16" s="10"/>
      <c r="AJ16" s="8"/>
      <c r="AL16" s="319">
        <v>-109</v>
      </c>
      <c r="AM16" s="100">
        <v>152</v>
      </c>
      <c r="AN16" s="99">
        <v>-23</v>
      </c>
      <c r="AO16" s="100">
        <v>127</v>
      </c>
      <c r="AP16" s="105">
        <v>-108</v>
      </c>
      <c r="AQ16" s="106">
        <v>77</v>
      </c>
      <c r="AR16" s="105">
        <v>-109</v>
      </c>
      <c r="AS16" s="106">
        <v>-4</v>
      </c>
    </row>
    <row r="17" spans="1:45" ht="15.75" thickBot="1" x14ac:dyDescent="0.3">
      <c r="A17" s="377"/>
      <c r="C17" s="243" t="s">
        <v>692</v>
      </c>
      <c r="D17" s="298">
        <f>ToutTwo</f>
        <v>42</v>
      </c>
      <c r="E17" s="59" t="s">
        <v>860</v>
      </c>
      <c r="I17" s="4"/>
      <c r="J17" s="130" t="s">
        <v>12</v>
      </c>
      <c r="K17" s="131" t="s">
        <v>704</v>
      </c>
      <c r="L17" s="131">
        <v>0.98279000000000005</v>
      </c>
      <c r="M17" s="131">
        <v>0.26829999999999998</v>
      </c>
      <c r="N17" s="131">
        <v>563.1</v>
      </c>
      <c r="O17" s="131">
        <v>0.25488</v>
      </c>
      <c r="P17" s="132">
        <v>74.122</v>
      </c>
      <c r="Q17" s="131" t="s">
        <v>320</v>
      </c>
      <c r="R17" s="131">
        <v>0.87668999999999997</v>
      </c>
      <c r="S17" s="131">
        <v>1602.9</v>
      </c>
      <c r="T17" s="131">
        <v>-2.1475</v>
      </c>
      <c r="U17" s="131">
        <f>3.3866*1E+22</f>
        <v>3.3866000000000002E+22</v>
      </c>
      <c r="V17" s="131">
        <v>-9.9230999999999998</v>
      </c>
      <c r="W17" s="137"/>
      <c r="X17" s="133" t="s">
        <v>129</v>
      </c>
      <c r="Y17" s="131">
        <v>191200</v>
      </c>
      <c r="Z17" s="131">
        <v>-730.4</v>
      </c>
      <c r="AA17" s="131">
        <v>2.2997999999999998</v>
      </c>
      <c r="AB17" s="131"/>
      <c r="AC17" s="131"/>
      <c r="AD17" s="130" t="s">
        <v>12</v>
      </c>
      <c r="AE17" s="131" t="s">
        <v>322</v>
      </c>
      <c r="AF17" s="152">
        <v>0.21360000000000001</v>
      </c>
      <c r="AG17" s="154">
        <f>-2.034/10000</f>
        <v>-2.0339999999999998E-4</v>
      </c>
      <c r="AH17" s="131"/>
      <c r="AI17" s="131"/>
      <c r="AJ17" s="8"/>
      <c r="AL17" s="319">
        <v>-89</v>
      </c>
      <c r="AM17" s="100">
        <v>290</v>
      </c>
      <c r="AN17" s="99">
        <v>83</v>
      </c>
      <c r="AO17" s="100">
        <v>119</v>
      </c>
      <c r="AP17" s="105">
        <v>-89</v>
      </c>
      <c r="AQ17" s="106">
        <v>118</v>
      </c>
      <c r="AR17" s="105">
        <v>-89</v>
      </c>
      <c r="AS17" s="106">
        <v>119</v>
      </c>
    </row>
    <row r="18" spans="1:45" ht="18" customHeight="1" x14ac:dyDescent="0.3">
      <c r="A18" s="377"/>
      <c r="C18" s="243" t="s">
        <v>694</v>
      </c>
      <c r="D18" s="316">
        <f>(D16+D17)/2</f>
        <v>29</v>
      </c>
      <c r="E18" s="185" t="str">
        <f>IF(MAX(D16,D17)&gt;AM10,"  Temperature is above density range.",IF(MIN(D16,D17)&lt;AL10,"  Temperature is below density range.",IF(MIN(D16,D17)&lt;AN10,"Temp. is below viscosity range.",IF(MAX(D16,D17)&gt;AO10,"Temp. is above viscosity range.",IF(MIN(D16,D17)&lt;AP10,"Temp. is below specific heat range.",IF(MAX(D16,D17)&gt;AQ10,"Temp. is above specific heat range.",IF(MIN(D16,D17)&lt;AR10,"Temp. is below therm. cond. range.",IF(MAX(D16,D17)&gt;AS10,"Temp. is above therm. cond. range.",""))))))))</f>
        <v/>
      </c>
      <c r="I18" s="4"/>
      <c r="J18" s="130" t="s">
        <v>53</v>
      </c>
      <c r="K18" s="10" t="s">
        <v>705</v>
      </c>
      <c r="L18" s="131">
        <v>0.48979</v>
      </c>
      <c r="M18" s="131">
        <v>0.24931</v>
      </c>
      <c r="N18" s="131">
        <v>652.29999999999995</v>
      </c>
      <c r="O18" s="131">
        <v>0.27823999999999999</v>
      </c>
      <c r="P18" s="132">
        <v>130.22800000000001</v>
      </c>
      <c r="Q18" s="10" t="s">
        <v>323</v>
      </c>
      <c r="R18" s="10">
        <v>-19.907</v>
      </c>
      <c r="S18" s="10">
        <v>2791.7</v>
      </c>
      <c r="T18" s="10">
        <v>0.94296000000000002</v>
      </c>
      <c r="U18" s="15">
        <f>2.3041*1E+24</f>
        <v>2.3040999999999999E+24</v>
      </c>
      <c r="V18" s="10">
        <v>-10.09</v>
      </c>
      <c r="W18" s="12"/>
      <c r="X18" s="10" t="s">
        <v>130</v>
      </c>
      <c r="Y18" s="10">
        <v>571370</v>
      </c>
      <c r="Z18" s="10">
        <v>-4849</v>
      </c>
      <c r="AA18" s="10">
        <v>19.725000000000001</v>
      </c>
      <c r="AB18" s="15">
        <v>-2.1553200000000002E-2</v>
      </c>
      <c r="AC18" s="10"/>
      <c r="AD18" s="130" t="s">
        <v>53</v>
      </c>
      <c r="AE18" s="10" t="s">
        <v>325</v>
      </c>
      <c r="AF18" s="152">
        <v>0.214</v>
      </c>
      <c r="AG18" s="154">
        <f>-1.834/10000</f>
        <v>-1.8340000000000001E-4</v>
      </c>
      <c r="AH18" s="10"/>
      <c r="AI18" s="15"/>
      <c r="AJ18" s="8"/>
      <c r="AL18" s="319">
        <v>-15</v>
      </c>
      <c r="AM18" s="100">
        <v>264</v>
      </c>
      <c r="AN18" s="99">
        <v>7</v>
      </c>
      <c r="AO18" s="100">
        <v>195</v>
      </c>
      <c r="AP18" s="105">
        <v>-23</v>
      </c>
      <c r="AQ18" s="106">
        <v>194</v>
      </c>
      <c r="AR18" s="105">
        <v>-15</v>
      </c>
      <c r="AS18" s="106">
        <v>727</v>
      </c>
    </row>
    <row r="19" spans="1:45" x14ac:dyDescent="0.2">
      <c r="A19" s="377"/>
      <c r="C19" s="4"/>
      <c r="D19" s="62"/>
      <c r="I19" s="4"/>
      <c r="J19" s="130" t="s">
        <v>59</v>
      </c>
      <c r="K19" s="131" t="s">
        <v>706</v>
      </c>
      <c r="L19" s="131">
        <v>1.2457</v>
      </c>
      <c r="M19" s="131">
        <v>0.27281</v>
      </c>
      <c r="N19" s="131">
        <v>536.79999999999995</v>
      </c>
      <c r="O19" s="131">
        <v>0.23993999999999999</v>
      </c>
      <c r="P19" s="132">
        <v>60.094999999999999</v>
      </c>
      <c r="Q19" s="131" t="s">
        <v>326</v>
      </c>
      <c r="R19" s="131">
        <v>23.466999999999999</v>
      </c>
      <c r="S19" s="131">
        <v>116.07</v>
      </c>
      <c r="T19" s="131">
        <v>-5.3372000000000002</v>
      </c>
      <c r="U19" s="135">
        <f>2.8801*1000000000</f>
        <v>2880100000</v>
      </c>
      <c r="V19" s="131">
        <v>-4.0266999999999999</v>
      </c>
      <c r="W19" s="137"/>
      <c r="X19" s="133" t="s">
        <v>131</v>
      </c>
      <c r="Y19" s="131">
        <v>158760</v>
      </c>
      <c r="Z19" s="131">
        <v>-635</v>
      </c>
      <c r="AA19" s="131">
        <v>1.9690000000000001</v>
      </c>
      <c r="AB19" s="135"/>
      <c r="AC19" s="131"/>
      <c r="AD19" s="130" t="s">
        <v>59</v>
      </c>
      <c r="AE19" s="131" t="s">
        <v>328</v>
      </c>
      <c r="AF19" s="152">
        <v>0.214</v>
      </c>
      <c r="AG19" s="154">
        <f>-1.834/10000</f>
        <v>-1.8340000000000001E-4</v>
      </c>
      <c r="AH19" s="131"/>
      <c r="AI19" s="156"/>
      <c r="AJ19" s="8"/>
      <c r="AL19" s="319">
        <v>-126</v>
      </c>
      <c r="AM19" s="100">
        <v>264</v>
      </c>
      <c r="AN19" s="99">
        <v>-126</v>
      </c>
      <c r="AO19" s="100">
        <v>97</v>
      </c>
      <c r="AP19" s="105">
        <v>-126</v>
      </c>
      <c r="AQ19" s="106">
        <v>127</v>
      </c>
      <c r="AR19" s="105">
        <v>-73</v>
      </c>
      <c r="AS19" s="106">
        <v>727</v>
      </c>
    </row>
    <row r="20" spans="1:45" ht="21" customHeight="1" thickBot="1" x14ac:dyDescent="0.3">
      <c r="A20" s="377"/>
      <c r="C20" s="305" t="s">
        <v>693</v>
      </c>
      <c r="D20" s="76">
        <f>K11</f>
        <v>993.19195752472922</v>
      </c>
      <c r="E20" s="174" t="s">
        <v>276</v>
      </c>
      <c r="I20" s="4"/>
      <c r="J20" s="130" t="s">
        <v>13</v>
      </c>
      <c r="K20" s="10" t="s">
        <v>707</v>
      </c>
      <c r="L20" s="131">
        <v>0.96819999999999995</v>
      </c>
      <c r="M20" s="131">
        <v>0.26244000000000001</v>
      </c>
      <c r="N20" s="131">
        <v>535.9</v>
      </c>
      <c r="O20" s="131">
        <v>0.26749000000000001</v>
      </c>
      <c r="P20" s="132">
        <v>74.122</v>
      </c>
      <c r="Q20" s="10" t="s">
        <v>329</v>
      </c>
      <c r="R20" s="10">
        <v>-16.323</v>
      </c>
      <c r="S20" s="10">
        <v>3141.7</v>
      </c>
      <c r="T20" s="10"/>
      <c r="U20" s="10"/>
      <c r="V20" s="10"/>
      <c r="W20" s="12"/>
      <c r="X20" s="10" t="s">
        <v>132</v>
      </c>
      <c r="Y20" s="10">
        <v>426790</v>
      </c>
      <c r="Z20" s="10">
        <v>-3694.6</v>
      </c>
      <c r="AA20" s="10">
        <v>13.827999999999999</v>
      </c>
      <c r="AB20" s="10">
        <v>-1.35E-2</v>
      </c>
      <c r="AC20" s="10"/>
      <c r="AD20" s="130" t="s">
        <v>13</v>
      </c>
      <c r="AE20" s="10" t="s">
        <v>329</v>
      </c>
      <c r="AF20" s="152">
        <v>0.22786999999999999</v>
      </c>
      <c r="AG20" s="153">
        <f>-3.0727/10000</f>
        <v>-3.0727E-4</v>
      </c>
      <c r="AH20" s="10"/>
      <c r="AI20" s="10"/>
      <c r="AJ20" s="8"/>
      <c r="AL20" s="319">
        <v>-115</v>
      </c>
      <c r="AM20" s="100">
        <v>262</v>
      </c>
      <c r="AN20" s="99">
        <v>-115</v>
      </c>
      <c r="AO20" s="100">
        <v>100</v>
      </c>
      <c r="AP20" s="105">
        <v>-115</v>
      </c>
      <c r="AQ20" s="106">
        <v>99</v>
      </c>
      <c r="AR20" s="105">
        <v>-115</v>
      </c>
      <c r="AS20" s="106">
        <v>100</v>
      </c>
    </row>
    <row r="21" spans="1:45" ht="15.75" x14ac:dyDescent="0.25">
      <c r="A21" s="377"/>
      <c r="E21" s="174" t="s">
        <v>277</v>
      </c>
      <c r="I21" s="4"/>
      <c r="J21" s="130" t="s">
        <v>54</v>
      </c>
      <c r="K21" s="131" t="s">
        <v>708</v>
      </c>
      <c r="L21" s="131">
        <v>0.50726000000000004</v>
      </c>
      <c r="M21" s="131">
        <v>0.25972000000000001</v>
      </c>
      <c r="N21" s="131">
        <v>629.79999999999995</v>
      </c>
      <c r="O21" s="131">
        <v>0.22</v>
      </c>
      <c r="P21" s="132">
        <v>130.22800000000001</v>
      </c>
      <c r="Q21" s="131" t="s">
        <v>331</v>
      </c>
      <c r="R21" s="131">
        <v>16.792000000000002</v>
      </c>
      <c r="S21" s="131">
        <v>1353.6</v>
      </c>
      <c r="T21" s="131">
        <v>-4.6356999999999999</v>
      </c>
      <c r="U21" s="130">
        <f>2.6663*1E+31</f>
        <v>2.6663000000000001E+31</v>
      </c>
      <c r="V21" s="131">
        <v>-13.039</v>
      </c>
      <c r="W21" s="137"/>
      <c r="X21" s="133" t="s">
        <v>133</v>
      </c>
      <c r="Y21" s="131">
        <v>319198</v>
      </c>
      <c r="Z21" s="131">
        <v>-1042.21</v>
      </c>
      <c r="AA21" s="131">
        <v>3.5294300000000001</v>
      </c>
      <c r="AB21" s="130"/>
      <c r="AC21" s="131"/>
      <c r="AD21" s="130" t="s">
        <v>54</v>
      </c>
      <c r="AE21" s="131" t="s">
        <v>333</v>
      </c>
      <c r="AF21" s="152">
        <v>0.214</v>
      </c>
      <c r="AG21" s="154">
        <f>-1.834/10000</f>
        <v>-1.8340000000000001E-4</v>
      </c>
      <c r="AH21" s="131"/>
      <c r="AI21" s="130"/>
      <c r="AJ21" s="8"/>
      <c r="AL21" s="319">
        <v>-31</v>
      </c>
      <c r="AM21" s="100">
        <v>357</v>
      </c>
      <c r="AN21" s="99">
        <v>-32</v>
      </c>
      <c r="AO21" s="100">
        <v>180</v>
      </c>
      <c r="AP21" s="105">
        <v>-88</v>
      </c>
      <c r="AQ21" s="106">
        <v>180</v>
      </c>
      <c r="AR21" s="105">
        <v>-32</v>
      </c>
      <c r="AS21" s="106">
        <v>727</v>
      </c>
    </row>
    <row r="22" spans="1:45" ht="15.75" x14ac:dyDescent="0.25">
      <c r="A22" s="377"/>
      <c r="C22" s="59"/>
      <c r="E22" s="183" t="s">
        <v>278</v>
      </c>
      <c r="I22" s="4"/>
      <c r="J22" s="130" t="s">
        <v>60</v>
      </c>
      <c r="K22" s="10" t="s">
        <v>709</v>
      </c>
      <c r="L22" s="131">
        <v>1.1798999999999999</v>
      </c>
      <c r="M22" s="131">
        <v>0.26440000000000002</v>
      </c>
      <c r="N22" s="131">
        <v>508.3</v>
      </c>
      <c r="O22" s="131">
        <v>0.24653</v>
      </c>
      <c r="P22" s="132">
        <v>60.094999999999999</v>
      </c>
      <c r="Q22" s="10" t="s">
        <v>334</v>
      </c>
      <c r="R22" s="10">
        <v>-8.8917999999999999</v>
      </c>
      <c r="S22" s="10">
        <v>2357.6</v>
      </c>
      <c r="T22" s="10">
        <v>-0.91376000000000002</v>
      </c>
      <c r="U22" s="15"/>
      <c r="V22" s="15"/>
      <c r="W22" s="12"/>
      <c r="X22" s="10" t="s">
        <v>134</v>
      </c>
      <c r="Y22" s="10">
        <v>471710</v>
      </c>
      <c r="Z22" s="10">
        <v>-4172.1000000000004</v>
      </c>
      <c r="AA22" s="10">
        <v>14.744999999999999</v>
      </c>
      <c r="AB22" s="15">
        <v>-1.44E-2</v>
      </c>
      <c r="AC22" s="15"/>
      <c r="AD22" s="130" t="s">
        <v>60</v>
      </c>
      <c r="AE22" s="10" t="s">
        <v>336</v>
      </c>
      <c r="AF22" s="152">
        <v>0.214</v>
      </c>
      <c r="AG22" s="154">
        <f>-1.834/10000</f>
        <v>-1.8340000000000001E-4</v>
      </c>
      <c r="AH22" s="10"/>
      <c r="AI22" s="15"/>
      <c r="AJ22" s="5"/>
      <c r="AL22" s="319">
        <v>-88</v>
      </c>
      <c r="AM22" s="100">
        <v>235</v>
      </c>
      <c r="AN22" s="99">
        <v>-88</v>
      </c>
      <c r="AO22" s="100">
        <v>82</v>
      </c>
      <c r="AP22" s="105">
        <v>-126</v>
      </c>
      <c r="AQ22" s="106">
        <v>82</v>
      </c>
      <c r="AR22" s="105">
        <v>-86</v>
      </c>
      <c r="AS22" s="106">
        <v>727</v>
      </c>
    </row>
    <row r="23" spans="1:45" ht="15.75" x14ac:dyDescent="0.25">
      <c r="A23" s="377"/>
      <c r="C23" s="380" t="s">
        <v>254</v>
      </c>
      <c r="D23" s="380"/>
      <c r="E23" s="183" t="s">
        <v>279</v>
      </c>
      <c r="I23" s="4"/>
      <c r="J23" s="130" t="s">
        <v>2</v>
      </c>
      <c r="K23" s="131" t="s">
        <v>710</v>
      </c>
      <c r="L23" s="131">
        <v>1.4486000000000001</v>
      </c>
      <c r="M23" s="131">
        <v>0.25891999999999998</v>
      </c>
      <c r="N23" s="131">
        <v>591.95000000000005</v>
      </c>
      <c r="O23" s="131">
        <v>0.25290000000000001</v>
      </c>
      <c r="P23" s="132">
        <v>60.052</v>
      </c>
      <c r="Q23" s="131" t="s">
        <v>338</v>
      </c>
      <c r="R23" s="136">
        <v>-9.0299999999999994</v>
      </c>
      <c r="S23" s="136">
        <v>1212.3</v>
      </c>
      <c r="T23" s="136">
        <v>-0.32200000000000001</v>
      </c>
      <c r="U23" s="136"/>
      <c r="V23" s="136"/>
      <c r="W23" s="137"/>
      <c r="X23" s="133" t="s">
        <v>116</v>
      </c>
      <c r="Y23" s="136">
        <v>139640</v>
      </c>
      <c r="Z23" s="136">
        <v>-320.8</v>
      </c>
      <c r="AA23" s="136">
        <v>0.89849999999999997</v>
      </c>
      <c r="AB23" s="136"/>
      <c r="AC23" s="136"/>
      <c r="AD23" s="130" t="s">
        <v>2</v>
      </c>
      <c r="AE23" s="131" t="s">
        <v>338</v>
      </c>
      <c r="AF23" s="152">
        <v>0.214</v>
      </c>
      <c r="AG23" s="154">
        <f>-1.834/10000</f>
        <v>-1.8340000000000001E-4</v>
      </c>
      <c r="AH23" s="152"/>
      <c r="AI23" s="136"/>
      <c r="AJ23" s="157"/>
      <c r="AL23" s="319">
        <v>17</v>
      </c>
      <c r="AM23" s="100">
        <v>333</v>
      </c>
      <c r="AN23" s="99">
        <v>17</v>
      </c>
      <c r="AO23" s="100">
        <v>118</v>
      </c>
      <c r="AP23" s="105">
        <v>17</v>
      </c>
      <c r="AQ23" s="106">
        <v>118</v>
      </c>
      <c r="AR23" s="105">
        <v>17</v>
      </c>
      <c r="AS23" s="106">
        <v>118</v>
      </c>
    </row>
    <row r="24" spans="1:45" ht="15" x14ac:dyDescent="0.25">
      <c r="A24" s="377"/>
      <c r="C24" s="394"/>
      <c r="D24" s="394"/>
      <c r="I24" s="4"/>
      <c r="J24" s="130" t="s">
        <v>3</v>
      </c>
      <c r="K24" s="10" t="s">
        <v>711</v>
      </c>
      <c r="L24" s="131">
        <v>0.86851999999999996</v>
      </c>
      <c r="M24" s="131">
        <v>0.25186999999999998</v>
      </c>
      <c r="N24" s="131">
        <v>606</v>
      </c>
      <c r="O24" s="131">
        <v>0.31172</v>
      </c>
      <c r="P24" s="132">
        <v>102.09</v>
      </c>
      <c r="Q24" s="10" t="s">
        <v>339</v>
      </c>
      <c r="R24" s="10">
        <v>-14.164</v>
      </c>
      <c r="S24" s="10">
        <v>1350.3</v>
      </c>
      <c r="T24" s="10">
        <v>0.44919999999999999</v>
      </c>
      <c r="U24" s="10"/>
      <c r="V24" s="10"/>
      <c r="W24" s="12"/>
      <c r="X24" s="10" t="s">
        <v>135</v>
      </c>
      <c r="Y24" s="10">
        <v>36600</v>
      </c>
      <c r="Z24" s="10">
        <v>511</v>
      </c>
      <c r="AA24" s="10"/>
      <c r="AB24" s="10"/>
      <c r="AC24" s="10"/>
      <c r="AD24" s="130" t="s">
        <v>3</v>
      </c>
      <c r="AE24" s="10" t="s">
        <v>341</v>
      </c>
      <c r="AF24" s="158">
        <v>0.23638000000000001</v>
      </c>
      <c r="AG24" s="153">
        <f>-2.4263/10000</f>
        <v>-2.4263E-4</v>
      </c>
      <c r="AH24" s="10"/>
      <c r="AI24" s="10"/>
      <c r="AJ24" s="8"/>
      <c r="AL24" s="319">
        <v>-73</v>
      </c>
      <c r="AM24" s="100">
        <v>235</v>
      </c>
      <c r="AN24" s="99">
        <v>-63</v>
      </c>
      <c r="AO24" s="100">
        <v>140</v>
      </c>
      <c r="AP24" s="105">
        <v>-23</v>
      </c>
      <c r="AQ24" s="106">
        <v>77</v>
      </c>
      <c r="AR24" s="105">
        <v>-73</v>
      </c>
      <c r="AS24" s="106">
        <v>140</v>
      </c>
    </row>
    <row r="25" spans="1:45" ht="15.75" thickBot="1" x14ac:dyDescent="0.3">
      <c r="A25" s="377"/>
      <c r="E25" s="59" t="s">
        <v>270</v>
      </c>
      <c r="I25" s="4"/>
      <c r="J25" s="15" t="s">
        <v>4</v>
      </c>
      <c r="K25" s="131" t="s">
        <v>712</v>
      </c>
      <c r="L25" s="10">
        <v>1.2332000000000001</v>
      </c>
      <c r="M25" s="10">
        <v>0.25885999999999998</v>
      </c>
      <c r="N25" s="10">
        <v>508.2</v>
      </c>
      <c r="O25" s="10">
        <v>0.2913</v>
      </c>
      <c r="P25" s="53">
        <v>58.079000000000001</v>
      </c>
      <c r="Q25" s="131" t="s">
        <v>342</v>
      </c>
      <c r="R25" s="131">
        <v>-14.917999999999999</v>
      </c>
      <c r="S25" s="131">
        <v>1023.4</v>
      </c>
      <c r="T25" s="131">
        <v>0.59609999999999996</v>
      </c>
      <c r="U25" s="131"/>
      <c r="V25" s="131"/>
      <c r="W25" s="137"/>
      <c r="X25" s="131" t="s">
        <v>136</v>
      </c>
      <c r="Y25" s="131">
        <v>135600</v>
      </c>
      <c r="Z25" s="131">
        <v>-177</v>
      </c>
      <c r="AA25" s="131">
        <v>0.28370000000000001</v>
      </c>
      <c r="AB25" s="131">
        <v>6.8900000000000005E-4</v>
      </c>
      <c r="AC25" s="131"/>
      <c r="AD25" s="15" t="s">
        <v>4</v>
      </c>
      <c r="AE25" s="131" t="s">
        <v>344</v>
      </c>
      <c r="AF25" s="131">
        <v>0.2878</v>
      </c>
      <c r="AG25" s="159">
        <f>-4.27/10000</f>
        <v>-4.2699999999999997E-4</v>
      </c>
      <c r="AH25" s="131"/>
      <c r="AI25" s="131"/>
      <c r="AJ25" s="8"/>
      <c r="AL25" s="319">
        <v>-95</v>
      </c>
      <c r="AM25" s="100">
        <v>235</v>
      </c>
      <c r="AN25" s="99">
        <v>-83</v>
      </c>
      <c r="AO25" s="100">
        <v>56</v>
      </c>
      <c r="AP25" s="105">
        <v>-95</v>
      </c>
      <c r="AQ25" s="106">
        <v>56</v>
      </c>
      <c r="AR25" s="105">
        <v>-95</v>
      </c>
      <c r="AS25" s="106">
        <v>70</v>
      </c>
    </row>
    <row r="26" spans="1:45" ht="15" x14ac:dyDescent="0.25">
      <c r="A26" s="377"/>
      <c r="C26" s="378" t="s">
        <v>105</v>
      </c>
      <c r="D26" s="379"/>
      <c r="E26" s="59" t="s">
        <v>271</v>
      </c>
      <c r="I26" s="4"/>
      <c r="J26" s="130" t="s">
        <v>5</v>
      </c>
      <c r="K26" s="10" t="s">
        <v>713</v>
      </c>
      <c r="L26" s="131">
        <v>1.3064</v>
      </c>
      <c r="M26" s="131">
        <v>0.22597</v>
      </c>
      <c r="N26" s="131">
        <v>545.5</v>
      </c>
      <c r="O26" s="131">
        <v>0.28677999999999998</v>
      </c>
      <c r="P26" s="132">
        <v>41.052</v>
      </c>
      <c r="Q26" s="10" t="s">
        <v>345</v>
      </c>
      <c r="R26" s="10">
        <v>-10.906000000000001</v>
      </c>
      <c r="S26" s="10">
        <v>872.02</v>
      </c>
      <c r="T26" s="10"/>
      <c r="U26" s="10"/>
      <c r="V26" s="10"/>
      <c r="W26" s="12"/>
      <c r="X26" s="10" t="s">
        <v>138</v>
      </c>
      <c r="Y26" s="10">
        <v>97582</v>
      </c>
      <c r="Z26" s="10">
        <v>-122.2</v>
      </c>
      <c r="AA26" s="10">
        <v>0.34084999999999999</v>
      </c>
      <c r="AB26" s="10"/>
      <c r="AC26" s="10"/>
      <c r="AD26" s="130" t="s">
        <v>5</v>
      </c>
      <c r="AE26" s="10" t="s">
        <v>347</v>
      </c>
      <c r="AF26" s="158">
        <v>0.33191999999999999</v>
      </c>
      <c r="AG26" s="153">
        <f>-4.3243/10000</f>
        <v>-4.3242999999999998E-4</v>
      </c>
      <c r="AH26" s="10"/>
      <c r="AI26" s="10"/>
      <c r="AJ26" s="8"/>
      <c r="AL26" s="319">
        <v>-44</v>
      </c>
      <c r="AM26" s="100">
        <v>273</v>
      </c>
      <c r="AN26" s="99">
        <v>-44</v>
      </c>
      <c r="AO26" s="100">
        <v>163</v>
      </c>
      <c r="AP26" s="105">
        <v>-44</v>
      </c>
      <c r="AQ26" s="106">
        <v>82</v>
      </c>
      <c r="AR26" s="105">
        <v>-44</v>
      </c>
      <c r="AS26" s="106">
        <v>76</v>
      </c>
    </row>
    <row r="27" spans="1:45" ht="15" x14ac:dyDescent="0.25">
      <c r="A27" s="377"/>
      <c r="C27" s="7"/>
      <c r="D27" s="8"/>
      <c r="E27" s="59" t="s">
        <v>272</v>
      </c>
      <c r="I27" s="4"/>
      <c r="J27" s="15" t="s">
        <v>6</v>
      </c>
      <c r="K27" s="131" t="s">
        <v>714</v>
      </c>
      <c r="L27" s="10">
        <v>1.2414000000000001</v>
      </c>
      <c r="M27" s="10">
        <v>0.25822000000000001</v>
      </c>
      <c r="N27" s="10">
        <v>615</v>
      </c>
      <c r="O27" s="10">
        <v>0.30701000000000001</v>
      </c>
      <c r="P27" s="53">
        <v>72.063000000000002</v>
      </c>
      <c r="Q27" s="131" t="s">
        <v>348</v>
      </c>
      <c r="R27" s="131">
        <v>-28.12</v>
      </c>
      <c r="S27" s="131">
        <v>2280.1999999999998</v>
      </c>
      <c r="T27" s="131">
        <v>2.3956</v>
      </c>
      <c r="U27" s="131"/>
      <c r="V27" s="131"/>
      <c r="W27" s="137"/>
      <c r="X27" s="131" t="s">
        <v>137</v>
      </c>
      <c r="Y27" s="131">
        <v>55300</v>
      </c>
      <c r="Z27" s="131">
        <v>300</v>
      </c>
      <c r="AA27" s="131"/>
      <c r="AB27" s="131"/>
      <c r="AC27" s="131"/>
      <c r="AD27" s="15" t="s">
        <v>6</v>
      </c>
      <c r="AE27" s="131" t="s">
        <v>350</v>
      </c>
      <c r="AF27" s="160">
        <v>0.24410000000000001</v>
      </c>
      <c r="AG27" s="154">
        <f>-2904/10000</f>
        <v>-0.29039999999999999</v>
      </c>
      <c r="AH27" s="131"/>
      <c r="AI27" s="131"/>
      <c r="AJ27" s="8"/>
      <c r="AL27" s="319">
        <v>13</v>
      </c>
      <c r="AM27" s="100">
        <v>342</v>
      </c>
      <c r="AN27" s="99">
        <v>13</v>
      </c>
      <c r="AO27" s="100">
        <v>187</v>
      </c>
      <c r="AP27" s="105">
        <v>13</v>
      </c>
      <c r="AQ27" s="106">
        <v>102</v>
      </c>
      <c r="AR27" s="105">
        <v>13</v>
      </c>
      <c r="AS27" s="106">
        <v>211</v>
      </c>
    </row>
    <row r="28" spans="1:45" ht="15.75" thickBot="1" x14ac:dyDescent="0.3">
      <c r="A28" s="377"/>
      <c r="C28" s="305" t="s">
        <v>693</v>
      </c>
      <c r="D28" s="73"/>
      <c r="E28" s="182" t="s">
        <v>273</v>
      </c>
      <c r="I28" s="4"/>
      <c r="J28" s="130" t="s">
        <v>7</v>
      </c>
      <c r="K28" s="131" t="s">
        <v>715</v>
      </c>
      <c r="L28" s="131">
        <v>1.0259</v>
      </c>
      <c r="M28" s="131">
        <v>0.26666000000000001</v>
      </c>
      <c r="N28" s="131">
        <v>562.04999999999995</v>
      </c>
      <c r="O28" s="131">
        <v>0.28394000000000003</v>
      </c>
      <c r="P28" s="132">
        <v>78.111999999999995</v>
      </c>
      <c r="Q28" s="131" t="s">
        <v>352</v>
      </c>
      <c r="R28" s="10">
        <v>7.5117000000000003</v>
      </c>
      <c r="S28" s="10">
        <v>294.68</v>
      </c>
      <c r="T28" s="10">
        <v>-2.794</v>
      </c>
      <c r="U28" s="10"/>
      <c r="V28" s="10"/>
      <c r="W28" s="12"/>
      <c r="X28" s="10" t="s">
        <v>139</v>
      </c>
      <c r="Y28" s="10">
        <v>129440</v>
      </c>
      <c r="Z28" s="10">
        <v>-169.5</v>
      </c>
      <c r="AA28" s="10">
        <v>0.64781</v>
      </c>
      <c r="AB28" s="10"/>
      <c r="AC28" s="10"/>
      <c r="AD28" s="130" t="s">
        <v>7</v>
      </c>
      <c r="AE28" s="131" t="s">
        <v>354</v>
      </c>
      <c r="AF28" s="160">
        <v>0.23444000000000001</v>
      </c>
      <c r="AG28" s="153">
        <f>-3.0572/10000</f>
        <v>-3.0571999999999999E-4</v>
      </c>
      <c r="AH28" s="131"/>
      <c r="AI28" s="131"/>
      <c r="AJ28" s="8"/>
      <c r="AL28" s="319">
        <v>6</v>
      </c>
      <c r="AM28" s="100">
        <v>289</v>
      </c>
      <c r="AN28" s="99">
        <v>6</v>
      </c>
      <c r="AO28" s="100">
        <v>272</v>
      </c>
      <c r="AP28" s="105">
        <v>6</v>
      </c>
      <c r="AQ28" s="106">
        <v>80</v>
      </c>
      <c r="AR28" s="105">
        <v>6</v>
      </c>
      <c r="AS28" s="106">
        <v>140</v>
      </c>
    </row>
    <row r="29" spans="1:45" x14ac:dyDescent="0.2">
      <c r="A29" s="377"/>
      <c r="I29" s="4"/>
      <c r="J29" s="15" t="s">
        <v>8</v>
      </c>
      <c r="K29" s="10" t="s">
        <v>716</v>
      </c>
      <c r="L29" s="10">
        <v>0.71587000000000001</v>
      </c>
      <c r="M29" s="10">
        <v>0.24812000000000001</v>
      </c>
      <c r="N29" s="10">
        <v>752</v>
      </c>
      <c r="O29" s="10">
        <v>0.28570000000000001</v>
      </c>
      <c r="P29" s="53">
        <v>122.121</v>
      </c>
      <c r="Q29" s="10" t="s">
        <v>356</v>
      </c>
      <c r="R29" s="131">
        <v>-12.946999999999999</v>
      </c>
      <c r="S29" s="131">
        <v>2557.9</v>
      </c>
      <c r="T29" s="131"/>
      <c r="U29" s="131"/>
      <c r="V29" s="131"/>
      <c r="W29" s="137"/>
      <c r="X29" s="131" t="s">
        <v>140</v>
      </c>
      <c r="Y29" s="131">
        <v>-5480</v>
      </c>
      <c r="Z29" s="131">
        <v>647.12</v>
      </c>
      <c r="AA29" s="131"/>
      <c r="AB29" s="131"/>
      <c r="AC29" s="131"/>
      <c r="AD29" s="15" t="s">
        <v>8</v>
      </c>
      <c r="AE29" s="10" t="s">
        <v>358</v>
      </c>
      <c r="AF29" s="162">
        <v>0.23910000000000001</v>
      </c>
      <c r="AG29" s="154">
        <f>-2.325/10000</f>
        <v>-2.3250000000000001E-4</v>
      </c>
      <c r="AH29" s="10"/>
      <c r="AI29" s="10"/>
      <c r="AJ29" s="8"/>
      <c r="AL29" s="319">
        <v>122</v>
      </c>
      <c r="AM29" s="100">
        <v>478</v>
      </c>
      <c r="AN29" s="99">
        <v>123</v>
      </c>
      <c r="AO29" s="100">
        <v>327</v>
      </c>
      <c r="AP29" s="105">
        <v>122</v>
      </c>
      <c r="AQ29" s="106">
        <v>177</v>
      </c>
      <c r="AR29" s="105">
        <v>122</v>
      </c>
      <c r="AS29" s="106">
        <v>323</v>
      </c>
    </row>
    <row r="30" spans="1:45" ht="18" customHeight="1" x14ac:dyDescent="0.25">
      <c r="A30" s="377"/>
      <c r="C30" s="68" t="s">
        <v>250</v>
      </c>
      <c r="D30" s="184">
        <f>IF(D13="Other Liquid",D28,D20)</f>
        <v>993.19195752472922</v>
      </c>
      <c r="E30" s="63" t="s">
        <v>684</v>
      </c>
      <c r="F30" s="59" t="str">
        <f>IF(D28="","     (from menu selection)","     (manual entry)")</f>
        <v xml:space="preserve">     (from menu selection)</v>
      </c>
      <c r="I30" s="4"/>
      <c r="J30" s="130" t="s">
        <v>9</v>
      </c>
      <c r="K30" s="131" t="s">
        <v>717</v>
      </c>
      <c r="L30" s="131">
        <v>0.8226</v>
      </c>
      <c r="M30" s="131">
        <v>0.26632</v>
      </c>
      <c r="N30" s="131">
        <v>670.15</v>
      </c>
      <c r="O30" s="131">
        <v>0.28210000000000002</v>
      </c>
      <c r="P30" s="132">
        <v>157.00800000000001</v>
      </c>
      <c r="Q30" s="131" t="s">
        <v>360</v>
      </c>
      <c r="R30" s="10">
        <v>-20.611000000000001</v>
      </c>
      <c r="S30" s="10">
        <v>1656.5</v>
      </c>
      <c r="T30" s="10">
        <v>1.4415</v>
      </c>
      <c r="U30" s="10"/>
      <c r="V30" s="10"/>
      <c r="W30" s="12"/>
      <c r="X30" s="10" t="s">
        <v>141</v>
      </c>
      <c r="Y30" s="10">
        <v>121600</v>
      </c>
      <c r="Z30" s="10">
        <v>-9.4499999999999993</v>
      </c>
      <c r="AA30" s="10">
        <v>0.35799999999999998</v>
      </c>
      <c r="AB30" s="10"/>
      <c r="AC30" s="10"/>
      <c r="AD30" s="130" t="s">
        <v>9</v>
      </c>
      <c r="AE30" s="131" t="s">
        <v>362</v>
      </c>
      <c r="AF30" s="158">
        <v>0.16983000000000001</v>
      </c>
      <c r="AG30" s="154">
        <f>-1.981/10000</f>
        <v>-1.9810000000000002E-4</v>
      </c>
      <c r="AH30" s="131"/>
      <c r="AI30" s="131"/>
      <c r="AJ30" s="8"/>
      <c r="AL30" s="319">
        <v>-31</v>
      </c>
      <c r="AM30" s="100">
        <v>397</v>
      </c>
      <c r="AN30" s="99">
        <v>-31</v>
      </c>
      <c r="AO30" s="100">
        <v>156</v>
      </c>
      <c r="AP30" s="105">
        <v>20</v>
      </c>
      <c r="AQ30" s="106">
        <v>222</v>
      </c>
      <c r="AR30" s="105">
        <v>-31</v>
      </c>
      <c r="AS30" s="106">
        <v>219</v>
      </c>
    </row>
    <row r="31" spans="1:45" ht="18" customHeight="1" x14ac:dyDescent="0.2">
      <c r="A31" s="377"/>
      <c r="C31" s="129" t="s">
        <v>264</v>
      </c>
      <c r="D31" s="309"/>
      <c r="E31" s="312"/>
      <c r="I31" s="4"/>
      <c r="J31" s="15" t="s">
        <v>14</v>
      </c>
      <c r="K31" s="10" t="s">
        <v>718</v>
      </c>
      <c r="L31" s="10">
        <v>0.67793999999999999</v>
      </c>
      <c r="M31" s="10">
        <v>0.26369999999999999</v>
      </c>
      <c r="N31" s="10">
        <v>575.4</v>
      </c>
      <c r="O31" s="10">
        <v>0.29318</v>
      </c>
      <c r="P31" s="53">
        <v>116.16</v>
      </c>
      <c r="Q31" s="10" t="s">
        <v>363</v>
      </c>
      <c r="R31" s="131">
        <v>-17.488</v>
      </c>
      <c r="S31" s="131">
        <v>1478.2</v>
      </c>
      <c r="T31" s="131">
        <v>0.91827999999999999</v>
      </c>
      <c r="U31" s="131"/>
      <c r="V31" s="131"/>
      <c r="W31" s="137"/>
      <c r="X31" s="131" t="s">
        <v>142</v>
      </c>
      <c r="Y31" s="131">
        <v>111850</v>
      </c>
      <c r="Z31" s="131">
        <v>384.52</v>
      </c>
      <c r="AA31" s="131"/>
      <c r="AB31" s="131"/>
      <c r="AC31" s="131"/>
      <c r="AD31" s="15" t="s">
        <v>14</v>
      </c>
      <c r="AE31" s="10" t="s">
        <v>365</v>
      </c>
      <c r="AF31" s="160">
        <v>0.21720999999999999</v>
      </c>
      <c r="AG31" s="153">
        <f>-2.6563/10000</f>
        <v>-2.6562999999999999E-4</v>
      </c>
      <c r="AH31" s="10"/>
      <c r="AI31" s="10"/>
      <c r="AJ31" s="8"/>
      <c r="AL31" s="319">
        <v>-73</v>
      </c>
      <c r="AM31" s="100">
        <v>302</v>
      </c>
      <c r="AN31" s="99">
        <v>-23</v>
      </c>
      <c r="AO31" s="100">
        <v>126</v>
      </c>
      <c r="AP31" s="105">
        <v>25</v>
      </c>
      <c r="AQ31" s="106">
        <v>126</v>
      </c>
      <c r="AR31" s="105">
        <v>-73</v>
      </c>
      <c r="AS31" s="106">
        <v>181</v>
      </c>
    </row>
    <row r="32" spans="1:45" ht="18" customHeight="1" x14ac:dyDescent="0.2">
      <c r="I32" s="4"/>
      <c r="J32" s="130" t="s">
        <v>15</v>
      </c>
      <c r="K32" s="131" t="s">
        <v>367</v>
      </c>
      <c r="L32" s="131">
        <v>1.7968</v>
      </c>
      <c r="M32" s="131">
        <v>0.28749000000000002</v>
      </c>
      <c r="N32" s="131">
        <v>552</v>
      </c>
      <c r="O32" s="131">
        <v>0.3226</v>
      </c>
      <c r="P32" s="132">
        <v>76.141000000000005</v>
      </c>
      <c r="Q32" s="131" t="s">
        <v>366</v>
      </c>
      <c r="R32" s="10">
        <v>-10.305999999999999</v>
      </c>
      <c r="S32" s="10">
        <v>703.01</v>
      </c>
      <c r="T32" s="10"/>
      <c r="U32" s="10"/>
      <c r="V32" s="10"/>
      <c r="W32" s="12"/>
      <c r="X32" s="10" t="s">
        <v>143</v>
      </c>
      <c r="Y32" s="10">
        <v>85600</v>
      </c>
      <c r="Z32" s="10">
        <v>-122</v>
      </c>
      <c r="AA32" s="10">
        <v>0.5605</v>
      </c>
      <c r="AB32" s="10">
        <v>-1.4519999999999999E-3</v>
      </c>
      <c r="AC32" s="10">
        <f>2.008/1000000</f>
        <v>2.0080000000000001E-6</v>
      </c>
      <c r="AD32" s="130" t="s">
        <v>15</v>
      </c>
      <c r="AE32" s="131" t="s">
        <v>368</v>
      </c>
      <c r="AF32" s="162">
        <v>0.23330000000000001</v>
      </c>
      <c r="AG32" s="159">
        <f>-2.75/10000</f>
        <v>-2.7500000000000002E-4</v>
      </c>
      <c r="AH32" s="131"/>
      <c r="AI32" s="131"/>
      <c r="AJ32" s="8"/>
      <c r="AL32" s="319">
        <v>-112</v>
      </c>
      <c r="AM32" s="100">
        <v>279</v>
      </c>
      <c r="AN32" s="99">
        <v>-111</v>
      </c>
      <c r="AO32" s="100">
        <v>169</v>
      </c>
      <c r="AP32" s="105">
        <v>-112</v>
      </c>
      <c r="AQ32" s="106">
        <v>279</v>
      </c>
      <c r="AR32" s="105">
        <v>-112</v>
      </c>
      <c r="AS32" s="106">
        <v>46</v>
      </c>
    </row>
    <row r="33" spans="1:45" x14ac:dyDescent="0.2">
      <c r="A33" s="377" t="s">
        <v>238</v>
      </c>
      <c r="I33" s="4"/>
      <c r="J33" s="15" t="s">
        <v>16</v>
      </c>
      <c r="K33" s="10" t="s">
        <v>719</v>
      </c>
      <c r="L33" s="10">
        <v>0.99834999999999996</v>
      </c>
      <c r="M33" s="10">
        <v>0.27400000000000002</v>
      </c>
      <c r="N33" s="10">
        <v>556.35</v>
      </c>
      <c r="O33" s="10">
        <v>0.28699999999999998</v>
      </c>
      <c r="P33" s="53">
        <v>153.82300000000001</v>
      </c>
      <c r="Q33" s="10" t="s">
        <v>369</v>
      </c>
      <c r="R33" s="131">
        <v>-8.0738000000000003</v>
      </c>
      <c r="S33" s="131">
        <v>1121.0999999999999</v>
      </c>
      <c r="T33" s="131">
        <v>-0.47260000000000002</v>
      </c>
      <c r="U33" s="130"/>
      <c r="V33" s="130"/>
      <c r="W33" s="137"/>
      <c r="X33" s="131" t="s">
        <v>144</v>
      </c>
      <c r="Y33" s="131">
        <v>-752700</v>
      </c>
      <c r="Z33" s="131">
        <v>8966.1</v>
      </c>
      <c r="AA33" s="131">
        <v>-30.393999999999998</v>
      </c>
      <c r="AB33" s="130">
        <v>3.4455E-2</v>
      </c>
      <c r="AC33" s="130"/>
      <c r="AD33" s="15" t="s">
        <v>16</v>
      </c>
      <c r="AE33" s="10" t="s">
        <v>340</v>
      </c>
      <c r="AF33" s="163">
        <v>0.15890000000000001</v>
      </c>
      <c r="AG33" s="154">
        <f>-1.987/10000</f>
        <v>-1.9870000000000001E-4</v>
      </c>
      <c r="AH33" s="10"/>
      <c r="AI33" s="15"/>
      <c r="AJ33" s="5"/>
      <c r="AL33" s="319">
        <v>-23</v>
      </c>
      <c r="AM33" s="100">
        <v>283</v>
      </c>
      <c r="AN33" s="99">
        <v>-23</v>
      </c>
      <c r="AO33" s="100">
        <v>182</v>
      </c>
      <c r="AP33" s="105">
        <v>-23</v>
      </c>
      <c r="AQ33" s="106">
        <v>116</v>
      </c>
      <c r="AR33" s="105">
        <v>-23</v>
      </c>
      <c r="AS33" s="106">
        <v>77</v>
      </c>
    </row>
    <row r="34" spans="1:45" ht="16.5" thickBot="1" x14ac:dyDescent="0.3">
      <c r="A34" s="377"/>
      <c r="E34" s="174" t="s">
        <v>276</v>
      </c>
      <c r="I34" s="4"/>
      <c r="J34" s="130" t="s">
        <v>17</v>
      </c>
      <c r="K34" s="131" t="s">
        <v>720</v>
      </c>
      <c r="L34" s="131">
        <v>0.87109999999999999</v>
      </c>
      <c r="M34" s="131">
        <v>0.26805000000000001</v>
      </c>
      <c r="N34" s="131">
        <v>632.35</v>
      </c>
      <c r="O34" s="131">
        <v>0.27989999999999998</v>
      </c>
      <c r="P34" s="132">
        <v>112.557</v>
      </c>
      <c r="Q34" s="131" t="s">
        <v>371</v>
      </c>
      <c r="R34" s="10">
        <v>0.15772</v>
      </c>
      <c r="S34" s="10">
        <v>540.5</v>
      </c>
      <c r="T34" s="10">
        <v>-1.6074999999999999</v>
      </c>
      <c r="U34" s="15"/>
      <c r="V34" s="15"/>
      <c r="W34" s="12"/>
      <c r="X34" s="10" t="s">
        <v>145</v>
      </c>
      <c r="Y34" s="10">
        <v>-1307500</v>
      </c>
      <c r="Z34" s="10">
        <v>15338</v>
      </c>
      <c r="AA34" s="10">
        <v>-53.973999999999997</v>
      </c>
      <c r="AB34" s="15">
        <v>6.3482999999999998E-2</v>
      </c>
      <c r="AC34" s="15"/>
      <c r="AD34" s="130" t="s">
        <v>17</v>
      </c>
      <c r="AE34" s="131" t="s">
        <v>373</v>
      </c>
      <c r="AF34" s="162">
        <v>0.18410000000000001</v>
      </c>
      <c r="AG34" s="154">
        <f>-1.917/10000</f>
        <v>-1.917E-4</v>
      </c>
      <c r="AH34" s="131"/>
      <c r="AI34" s="130"/>
      <c r="AJ34" s="5"/>
      <c r="AL34" s="319">
        <v>-45</v>
      </c>
      <c r="AM34" s="100">
        <v>359</v>
      </c>
      <c r="AN34" s="99">
        <v>-23</v>
      </c>
      <c r="AO34" s="100">
        <v>267</v>
      </c>
      <c r="AP34" s="105">
        <v>-45</v>
      </c>
      <c r="AQ34" s="106">
        <v>87</v>
      </c>
      <c r="AR34" s="105">
        <v>-45</v>
      </c>
      <c r="AS34" s="106">
        <v>132</v>
      </c>
    </row>
    <row r="35" spans="1:45" ht="19.5" customHeight="1" thickBot="1" x14ac:dyDescent="0.3">
      <c r="A35" s="377"/>
      <c r="C35" s="381" t="s">
        <v>85</v>
      </c>
      <c r="D35" s="382"/>
      <c r="E35" s="174" t="s">
        <v>277</v>
      </c>
      <c r="I35" s="4"/>
      <c r="J35" s="15" t="s">
        <v>18</v>
      </c>
      <c r="K35" s="10" t="s">
        <v>721</v>
      </c>
      <c r="L35" s="10">
        <v>1.0841000000000001</v>
      </c>
      <c r="M35" s="10">
        <v>0.2581</v>
      </c>
      <c r="N35" s="10">
        <v>536.4</v>
      </c>
      <c r="O35" s="10">
        <v>0.27410000000000001</v>
      </c>
      <c r="P35" s="53">
        <v>119.378</v>
      </c>
      <c r="Q35" s="10" t="s">
        <v>374</v>
      </c>
      <c r="R35" s="131">
        <v>-14.109</v>
      </c>
      <c r="S35" s="131">
        <v>1049.2</v>
      </c>
      <c r="T35" s="131">
        <v>0.53769999999999996</v>
      </c>
      <c r="U35" s="130"/>
      <c r="V35" s="130"/>
      <c r="W35" s="137"/>
      <c r="X35" s="131" t="s">
        <v>146</v>
      </c>
      <c r="Y35" s="131">
        <v>124850</v>
      </c>
      <c r="Z35" s="131">
        <v>-166.34</v>
      </c>
      <c r="AA35" s="131">
        <v>0.43208999999999997</v>
      </c>
      <c r="AB35" s="130"/>
      <c r="AC35" s="130"/>
      <c r="AD35" s="15" t="s">
        <v>18</v>
      </c>
      <c r="AE35" s="10" t="s">
        <v>376</v>
      </c>
      <c r="AF35" s="163">
        <v>0.17780000000000001</v>
      </c>
      <c r="AG35" s="154">
        <f>-2.023/10000</f>
        <v>-2.0230000000000001E-4</v>
      </c>
      <c r="AH35" s="10"/>
      <c r="AI35" s="15"/>
      <c r="AJ35" s="5"/>
      <c r="AL35" s="319">
        <v>-63</v>
      </c>
      <c r="AM35" s="100">
        <v>263</v>
      </c>
      <c r="AN35" s="99">
        <v>-63</v>
      </c>
      <c r="AO35" s="100">
        <v>80</v>
      </c>
      <c r="AP35" s="105">
        <v>-40</v>
      </c>
      <c r="AQ35" s="106">
        <v>93</v>
      </c>
      <c r="AR35" s="105">
        <v>-64</v>
      </c>
      <c r="AS35" s="106">
        <v>127</v>
      </c>
    </row>
    <row r="36" spans="1:45" ht="21" customHeight="1" thickBot="1" x14ac:dyDescent="0.3">
      <c r="A36" s="377"/>
      <c r="C36" s="77">
        <f>Q11</f>
        <v>8.3706644445707837E-4</v>
      </c>
      <c r="D36" s="306" t="s">
        <v>685</v>
      </c>
      <c r="E36" s="183" t="s">
        <v>278</v>
      </c>
      <c r="I36" s="4"/>
      <c r="J36" s="130" t="s">
        <v>19</v>
      </c>
      <c r="K36" s="131" t="s">
        <v>722</v>
      </c>
      <c r="L36" s="131">
        <v>1.8169999999999999</v>
      </c>
      <c r="M36" s="131">
        <v>0.25877</v>
      </c>
      <c r="N36" s="131">
        <v>416.25</v>
      </c>
      <c r="O36" s="131">
        <v>0.2833</v>
      </c>
      <c r="P36" s="132">
        <v>50.488</v>
      </c>
      <c r="Q36" s="131" t="s">
        <v>377</v>
      </c>
      <c r="R36" s="10">
        <v>-25.132000000000001</v>
      </c>
      <c r="S36" s="10">
        <v>1381.9</v>
      </c>
      <c r="T36" s="10">
        <v>2.0811000000000002</v>
      </c>
      <c r="U36" s="15">
        <f>-4.4999/1E+27</f>
        <v>-4.4999E-27</v>
      </c>
      <c r="V36" s="10">
        <v>10</v>
      </c>
      <c r="W36" s="12"/>
      <c r="X36" s="10" t="s">
        <v>147</v>
      </c>
      <c r="Y36" s="10">
        <v>96910</v>
      </c>
      <c r="Z36" s="10">
        <v>-207.9</v>
      </c>
      <c r="AA36" s="10">
        <v>0.37456</v>
      </c>
      <c r="AB36" s="15">
        <v>4.8799999999999999E-4</v>
      </c>
      <c r="AC36" s="10"/>
      <c r="AD36" s="130" t="s">
        <v>19</v>
      </c>
      <c r="AE36" s="131" t="s">
        <v>379</v>
      </c>
      <c r="AF36" s="160">
        <v>0.41066999999999998</v>
      </c>
      <c r="AG36" s="154">
        <f>-8.478/10000</f>
        <v>-8.4780000000000001E-4</v>
      </c>
      <c r="AH36" s="131"/>
      <c r="AI36" s="130"/>
      <c r="AJ36" s="8"/>
      <c r="AL36" s="319">
        <v>-98</v>
      </c>
      <c r="AM36" s="100">
        <v>311</v>
      </c>
      <c r="AN36" s="99">
        <v>-98</v>
      </c>
      <c r="AO36" s="100">
        <v>130</v>
      </c>
      <c r="AP36" s="105">
        <v>-98</v>
      </c>
      <c r="AQ36" s="106">
        <v>100</v>
      </c>
      <c r="AR36" s="105">
        <v>-98</v>
      </c>
      <c r="AS36" s="106">
        <v>77</v>
      </c>
    </row>
    <row r="37" spans="1:45" ht="20.25" customHeight="1" thickBot="1" x14ac:dyDescent="0.3">
      <c r="A37" s="377"/>
      <c r="C37" s="305" t="s">
        <v>253</v>
      </c>
      <c r="D37" s="71" t="str">
        <f>IF(D$13="","(nothing selected)",Q10)</f>
        <v xml:space="preserve"> 0 to 373</v>
      </c>
      <c r="E37" s="183" t="s">
        <v>279</v>
      </c>
      <c r="I37" s="4"/>
      <c r="J37" s="15" t="s">
        <v>20</v>
      </c>
      <c r="K37" s="10" t="s">
        <v>723</v>
      </c>
      <c r="L37" s="10">
        <v>0.58711000000000002</v>
      </c>
      <c r="M37" s="10">
        <v>0.25583</v>
      </c>
      <c r="N37" s="10">
        <v>631</v>
      </c>
      <c r="O37" s="10">
        <v>0.28498000000000001</v>
      </c>
      <c r="P37" s="53">
        <v>120.19199999999999</v>
      </c>
      <c r="Q37" s="10" t="s">
        <v>380</v>
      </c>
      <c r="R37" s="131">
        <v>-24.988</v>
      </c>
      <c r="S37" s="131">
        <v>1807.9</v>
      </c>
      <c r="T37" s="131">
        <v>2.0556000000000001</v>
      </c>
      <c r="U37" s="130"/>
      <c r="V37" s="130"/>
      <c r="W37" s="137"/>
      <c r="X37" s="131" t="s">
        <v>148</v>
      </c>
      <c r="Y37" s="131">
        <v>61723</v>
      </c>
      <c r="Z37" s="131">
        <v>494.81</v>
      </c>
      <c r="AA37" s="131"/>
      <c r="AB37" s="130"/>
      <c r="AC37" s="130"/>
      <c r="AD37" s="15" t="s">
        <v>20</v>
      </c>
      <c r="AE37" s="10" t="s">
        <v>382</v>
      </c>
      <c r="AF37" s="163">
        <v>0.1855</v>
      </c>
      <c r="AG37" s="153">
        <f>-2.0895/10000</f>
        <v>-2.0895000000000001E-4</v>
      </c>
      <c r="AH37" s="10"/>
      <c r="AI37" s="15"/>
      <c r="AJ37" s="5"/>
      <c r="AL37" s="319">
        <v>-96</v>
      </c>
      <c r="AM37" s="100">
        <v>358</v>
      </c>
      <c r="AN37" s="99">
        <v>-73</v>
      </c>
      <c r="AO37" s="100">
        <v>127</v>
      </c>
      <c r="AP37" s="105">
        <v>-96</v>
      </c>
      <c r="AQ37" s="106">
        <v>152</v>
      </c>
      <c r="AR37" s="105">
        <v>-96</v>
      </c>
      <c r="AS37" s="106">
        <v>140</v>
      </c>
    </row>
    <row r="38" spans="1:45" x14ac:dyDescent="0.2">
      <c r="A38" s="377"/>
      <c r="I38" s="4"/>
      <c r="J38" s="130" t="s">
        <v>21</v>
      </c>
      <c r="K38" s="131" t="s">
        <v>724</v>
      </c>
      <c r="L38" s="131">
        <v>0.88997999999999999</v>
      </c>
      <c r="M38" s="131">
        <v>0.27376</v>
      </c>
      <c r="N38" s="131">
        <v>553.79999999999995</v>
      </c>
      <c r="O38" s="131">
        <v>0.28571000000000002</v>
      </c>
      <c r="P38" s="132">
        <v>84.159000000000006</v>
      </c>
      <c r="Q38" s="131" t="s">
        <v>383</v>
      </c>
      <c r="R38" s="10">
        <v>-33.762999999999998</v>
      </c>
      <c r="S38" s="10">
        <v>2497.1999999999998</v>
      </c>
      <c r="T38" s="10">
        <v>3.2235999999999998</v>
      </c>
      <c r="U38" s="15"/>
      <c r="V38" s="15"/>
      <c r="W38" s="12"/>
      <c r="X38" s="10" t="s">
        <v>149</v>
      </c>
      <c r="Y38" s="10">
        <v>-220600</v>
      </c>
      <c r="Z38" s="10">
        <v>3118.3</v>
      </c>
      <c r="AA38" s="10">
        <v>-9.4215999999999998</v>
      </c>
      <c r="AB38" s="15">
        <v>1.0687E-2</v>
      </c>
      <c r="AC38" s="15"/>
      <c r="AD38" s="130" t="s">
        <v>21</v>
      </c>
      <c r="AE38" s="131" t="s">
        <v>385</v>
      </c>
      <c r="AF38" s="160">
        <v>0.19813</v>
      </c>
      <c r="AG38" s="154">
        <f>-2.505/10000</f>
        <v>-2.5049999999999996E-4</v>
      </c>
      <c r="AH38" s="131"/>
      <c r="AI38" s="130"/>
      <c r="AJ38" s="5"/>
      <c r="AL38" s="319">
        <v>7</v>
      </c>
      <c r="AM38" s="100">
        <v>281</v>
      </c>
      <c r="AN38" s="99">
        <v>7</v>
      </c>
      <c r="AO38" s="100">
        <v>170</v>
      </c>
      <c r="AP38" s="105">
        <v>7</v>
      </c>
      <c r="AQ38" s="106">
        <v>127</v>
      </c>
      <c r="AR38" s="105">
        <v>7</v>
      </c>
      <c r="AS38" s="106">
        <v>81</v>
      </c>
    </row>
    <row r="39" spans="1:45" ht="15" x14ac:dyDescent="0.25">
      <c r="A39" s="377"/>
      <c r="C39" s="59"/>
      <c r="I39" s="4"/>
      <c r="J39" s="15" t="s">
        <v>22</v>
      </c>
      <c r="K39" s="10" t="s">
        <v>725</v>
      </c>
      <c r="L39" s="10">
        <v>1.1034999999999999</v>
      </c>
      <c r="M39" s="10">
        <v>0.27034999999999998</v>
      </c>
      <c r="N39" s="10">
        <v>507</v>
      </c>
      <c r="O39" s="10">
        <v>0.28699000000000002</v>
      </c>
      <c r="P39" s="53">
        <v>70.132999999999996</v>
      </c>
      <c r="Q39" s="10" t="s">
        <v>386</v>
      </c>
      <c r="R39" s="131">
        <v>-3.2612000000000001</v>
      </c>
      <c r="S39" s="131">
        <v>614.16</v>
      </c>
      <c r="T39" s="131">
        <v>-1.1559999999999999</v>
      </c>
      <c r="U39" s="130"/>
      <c r="V39" s="130"/>
      <c r="W39" s="137"/>
      <c r="X39" s="131" t="s">
        <v>153</v>
      </c>
      <c r="Y39" s="131">
        <v>122530</v>
      </c>
      <c r="Z39" s="131">
        <v>-403.8</v>
      </c>
      <c r="AA39" s="131">
        <v>1.7343999999999999</v>
      </c>
      <c r="AB39" s="130">
        <v>-1.0975E-3</v>
      </c>
      <c r="AC39" s="130"/>
      <c r="AD39" s="15" t="s">
        <v>22</v>
      </c>
      <c r="AE39" s="10" t="s">
        <v>388</v>
      </c>
      <c r="AF39" s="163">
        <v>0.20660000000000001</v>
      </c>
      <c r="AG39" s="154">
        <f>-2.696/10000</f>
        <v>-2.6959999999999999E-4</v>
      </c>
      <c r="AH39" s="10"/>
      <c r="AI39" s="15"/>
      <c r="AJ39" s="5"/>
      <c r="AL39" s="319">
        <v>-136</v>
      </c>
      <c r="AM39" s="100">
        <v>507</v>
      </c>
      <c r="AN39" s="99">
        <v>-48</v>
      </c>
      <c r="AO39" s="100">
        <v>52</v>
      </c>
      <c r="AP39" s="105">
        <v>-116</v>
      </c>
      <c r="AQ39" s="106">
        <v>187</v>
      </c>
      <c r="AR39" s="105">
        <v>-94</v>
      </c>
      <c r="AS39" s="106">
        <v>174</v>
      </c>
    </row>
    <row r="40" spans="1:45" ht="15" x14ac:dyDescent="0.25">
      <c r="A40" s="377"/>
      <c r="C40" s="380" t="s">
        <v>254</v>
      </c>
      <c r="D40" s="380"/>
      <c r="I40" s="4"/>
      <c r="J40" s="130" t="s">
        <v>23</v>
      </c>
      <c r="K40" s="131" t="s">
        <v>726</v>
      </c>
      <c r="L40" s="131">
        <v>0.41083999999999998</v>
      </c>
      <c r="M40" s="131">
        <v>0.25174999999999997</v>
      </c>
      <c r="N40" s="131">
        <v>617.70000000000005</v>
      </c>
      <c r="O40" s="131">
        <v>0.28571000000000002</v>
      </c>
      <c r="P40" s="132">
        <v>142.28200000000001</v>
      </c>
      <c r="Q40" s="131" t="s">
        <v>389</v>
      </c>
      <c r="R40" s="10">
        <v>-10.115</v>
      </c>
      <c r="S40" s="10">
        <v>1111.9000000000001</v>
      </c>
      <c r="T40" s="10">
        <v>-1.5658999999999999E-2</v>
      </c>
      <c r="U40" s="15"/>
      <c r="V40" s="15"/>
      <c r="W40" s="12"/>
      <c r="X40" s="10" t="s">
        <v>150</v>
      </c>
      <c r="Y40" s="10">
        <v>278620</v>
      </c>
      <c r="Z40" s="10">
        <v>-197.91</v>
      </c>
      <c r="AA40" s="10">
        <v>1.0737000000000001</v>
      </c>
      <c r="AB40" s="15"/>
      <c r="AC40" s="15"/>
      <c r="AD40" s="130" t="s">
        <v>23</v>
      </c>
      <c r="AE40" s="131" t="s">
        <v>391</v>
      </c>
      <c r="AF40" s="162">
        <v>0.20630000000000001</v>
      </c>
      <c r="AG40" s="164">
        <f>-2.5/10000</f>
        <v>-2.5000000000000001E-4</v>
      </c>
      <c r="AH40" s="131"/>
      <c r="AI40" s="130"/>
      <c r="AJ40" s="5"/>
      <c r="AL40" s="319">
        <v>-29</v>
      </c>
      <c r="AM40" s="100">
        <v>344</v>
      </c>
      <c r="AN40" s="99">
        <v>-6</v>
      </c>
      <c r="AO40" s="100">
        <v>488</v>
      </c>
      <c r="AP40" s="105">
        <v>-29</v>
      </c>
      <c r="AQ40" s="106">
        <v>187</v>
      </c>
      <c r="AR40" s="105">
        <v>-30</v>
      </c>
      <c r="AS40" s="106">
        <v>174</v>
      </c>
    </row>
    <row r="41" spans="1:45" ht="15" x14ac:dyDescent="0.25">
      <c r="A41" s="377"/>
      <c r="C41" s="380"/>
      <c r="D41" s="380"/>
      <c r="I41" s="4"/>
      <c r="J41" s="15" t="s">
        <v>24</v>
      </c>
      <c r="K41" s="10" t="s">
        <v>722</v>
      </c>
      <c r="L41" s="10">
        <v>0.55940999999999996</v>
      </c>
      <c r="M41" s="10">
        <v>0.27243000000000001</v>
      </c>
      <c r="N41" s="10">
        <v>584.1</v>
      </c>
      <c r="O41" s="10">
        <v>0.29931999999999997</v>
      </c>
      <c r="P41" s="53">
        <v>130.22800000000001</v>
      </c>
      <c r="Q41" s="10" t="s">
        <v>392</v>
      </c>
      <c r="R41" s="131">
        <v>10.026999999999999</v>
      </c>
      <c r="S41" s="131">
        <v>206</v>
      </c>
      <c r="T41" s="131">
        <v>-3.1606999999999998</v>
      </c>
      <c r="U41" s="130"/>
      <c r="V41" s="130"/>
      <c r="W41" s="137"/>
      <c r="X41" s="131" t="s">
        <v>151</v>
      </c>
      <c r="Y41" s="131">
        <v>270720</v>
      </c>
      <c r="Z41" s="131">
        <v>-259.83</v>
      </c>
      <c r="AA41" s="131">
        <v>0.95426999999999995</v>
      </c>
      <c r="AB41" s="130"/>
      <c r="AC41" s="130"/>
      <c r="AD41" s="15" t="s">
        <v>24</v>
      </c>
      <c r="AE41" s="10" t="s">
        <v>394</v>
      </c>
      <c r="AF41" s="160">
        <v>0.19417999999999999</v>
      </c>
      <c r="AG41" s="153">
        <f>-2.2246/10000</f>
        <v>-2.2246000000000001E-4</v>
      </c>
      <c r="AH41" s="10"/>
      <c r="AI41" s="15"/>
      <c r="AJ41" s="5"/>
      <c r="AL41" s="319">
        <v>-98</v>
      </c>
      <c r="AM41" s="100">
        <v>311</v>
      </c>
      <c r="AN41" s="99">
        <v>-98</v>
      </c>
      <c r="AO41" s="100">
        <v>141</v>
      </c>
      <c r="AP41" s="105">
        <v>-98</v>
      </c>
      <c r="AQ41" s="106">
        <v>177</v>
      </c>
      <c r="AR41" s="105">
        <v>-98</v>
      </c>
      <c r="AS41" s="106">
        <v>250</v>
      </c>
    </row>
    <row r="42" spans="1:45" ht="15.75" thickBot="1" x14ac:dyDescent="0.3">
      <c r="A42" s="377"/>
      <c r="E42" s="59" t="s">
        <v>270</v>
      </c>
      <c r="I42" s="4"/>
      <c r="J42" s="130" t="s">
        <v>25</v>
      </c>
      <c r="K42" s="131" t="s">
        <v>727</v>
      </c>
      <c r="L42" s="131">
        <v>0.68184</v>
      </c>
      <c r="M42" s="131">
        <v>0.23796</v>
      </c>
      <c r="N42" s="131">
        <v>736.6</v>
      </c>
      <c r="O42" s="131">
        <v>0.20619999999999999</v>
      </c>
      <c r="P42" s="132">
        <v>105.136</v>
      </c>
      <c r="Q42" s="131" t="s">
        <v>395</v>
      </c>
      <c r="R42" s="10">
        <v>-375.21</v>
      </c>
      <c r="S42" s="10">
        <v>17177</v>
      </c>
      <c r="T42" s="10">
        <v>66.66</v>
      </c>
      <c r="U42" s="10">
        <v>-3.6366999999999998</v>
      </c>
      <c r="V42" s="10">
        <v>0.5</v>
      </c>
      <c r="W42" s="12"/>
      <c r="X42" s="10" t="s">
        <v>152</v>
      </c>
      <c r="Y42" s="10">
        <v>184200</v>
      </c>
      <c r="Z42" s="10">
        <v>286</v>
      </c>
      <c r="AA42" s="10"/>
      <c r="AB42" s="10"/>
      <c r="AC42" s="10"/>
      <c r="AD42" s="130" t="s">
        <v>25</v>
      </c>
      <c r="AE42" s="131" t="s">
        <v>397</v>
      </c>
      <c r="AF42" s="162">
        <v>2.18E-2</v>
      </c>
      <c r="AG42" s="153">
        <f>1.0315/1000</f>
        <v>1.0315000000000001E-3</v>
      </c>
      <c r="AH42" s="165">
        <f>-1.355/1000000</f>
        <v>-1.3549999999999999E-6</v>
      </c>
      <c r="AI42" s="131"/>
      <c r="AJ42" s="8"/>
      <c r="AL42" s="319">
        <v>29</v>
      </c>
      <c r="AM42" s="100">
        <v>464</v>
      </c>
      <c r="AN42" s="99">
        <v>20</v>
      </c>
      <c r="AO42" s="100">
        <v>316</v>
      </c>
      <c r="AP42" s="105">
        <v>28</v>
      </c>
      <c r="AQ42" s="106">
        <v>268</v>
      </c>
      <c r="AR42" s="105">
        <v>28</v>
      </c>
      <c r="AS42" s="106">
        <v>400</v>
      </c>
    </row>
    <row r="43" spans="1:45" ht="15" x14ac:dyDescent="0.25">
      <c r="A43" s="377"/>
      <c r="C43" s="378" t="s">
        <v>106</v>
      </c>
      <c r="D43" s="379"/>
      <c r="E43" s="59" t="s">
        <v>271</v>
      </c>
      <c r="I43" s="4"/>
      <c r="J43" s="15" t="s">
        <v>26</v>
      </c>
      <c r="K43" s="10" t="s">
        <v>728</v>
      </c>
      <c r="L43" s="10">
        <v>0.95540000000000003</v>
      </c>
      <c r="M43" s="10">
        <v>0.26846999999999999</v>
      </c>
      <c r="N43" s="10">
        <v>466.7</v>
      </c>
      <c r="O43" s="10">
        <v>0.28139999999999998</v>
      </c>
      <c r="P43" s="53">
        <v>74.122</v>
      </c>
      <c r="Q43" s="10" t="s">
        <v>398</v>
      </c>
      <c r="R43" s="131">
        <v>10.196999999999999</v>
      </c>
      <c r="S43" s="131">
        <v>-63.8</v>
      </c>
      <c r="T43" s="131">
        <v>-3.226</v>
      </c>
      <c r="U43" s="130"/>
      <c r="V43" s="130"/>
      <c r="W43" s="137"/>
      <c r="X43" s="131" t="s">
        <v>117</v>
      </c>
      <c r="Y43" s="131">
        <v>44400</v>
      </c>
      <c r="Z43" s="131">
        <v>1301</v>
      </c>
      <c r="AA43" s="131">
        <v>-5.5</v>
      </c>
      <c r="AB43" s="130">
        <v>8.763E-3</v>
      </c>
      <c r="AC43" s="130"/>
      <c r="AD43" s="15" t="s">
        <v>26</v>
      </c>
      <c r="AE43" s="10" t="s">
        <v>399</v>
      </c>
      <c r="AF43" s="162">
        <v>0.2495</v>
      </c>
      <c r="AG43" s="159">
        <f>-4.07/10000</f>
        <v>-4.0700000000000003E-4</v>
      </c>
      <c r="AH43" s="10"/>
      <c r="AI43" s="15"/>
      <c r="AJ43" s="5"/>
      <c r="AL43" s="319">
        <v>-116</v>
      </c>
      <c r="AM43" s="100">
        <v>194</v>
      </c>
      <c r="AN43" s="99">
        <v>73</v>
      </c>
      <c r="AO43" s="100">
        <v>100</v>
      </c>
      <c r="AP43" s="105">
        <v>73</v>
      </c>
      <c r="AQ43" s="106">
        <v>100</v>
      </c>
      <c r="AR43" s="105">
        <v>-116</v>
      </c>
      <c r="AS43" s="106">
        <v>160</v>
      </c>
    </row>
    <row r="44" spans="1:45" ht="15" x14ac:dyDescent="0.25">
      <c r="A44" s="377"/>
      <c r="C44" s="7"/>
      <c r="D44" s="8"/>
      <c r="E44" s="59" t="s">
        <v>272</v>
      </c>
      <c r="I44" s="4"/>
      <c r="J44" s="130" t="s">
        <v>27</v>
      </c>
      <c r="K44" s="131" t="s">
        <v>729</v>
      </c>
      <c r="L44" s="131">
        <v>1.1095999999999999</v>
      </c>
      <c r="M44" s="131">
        <v>0.25189</v>
      </c>
      <c r="N44" s="131">
        <v>729</v>
      </c>
      <c r="O44" s="131">
        <v>0.33110000000000001</v>
      </c>
      <c r="P44" s="132">
        <v>78.132999999999996</v>
      </c>
      <c r="Q44" s="131" t="s">
        <v>400</v>
      </c>
      <c r="R44" s="10">
        <v>-37.347000000000001</v>
      </c>
      <c r="S44" s="10">
        <v>2835</v>
      </c>
      <c r="T44" s="10">
        <v>3.7936999999999999</v>
      </c>
      <c r="U44" s="15"/>
      <c r="V44" s="15"/>
      <c r="W44" s="12"/>
      <c r="X44" s="10" t="s">
        <v>154</v>
      </c>
      <c r="Y44" s="10">
        <v>240300</v>
      </c>
      <c r="Z44" s="10">
        <v>-595</v>
      </c>
      <c r="AA44" s="10">
        <v>1013</v>
      </c>
      <c r="AB44" s="15"/>
      <c r="AC44" s="15"/>
      <c r="AD44" s="130" t="s">
        <v>27</v>
      </c>
      <c r="AE44" s="131" t="s">
        <v>400</v>
      </c>
      <c r="AF44" s="162">
        <v>0.31419999999999998</v>
      </c>
      <c r="AG44" s="153">
        <f>-3.0809/10000</f>
        <v>-3.0809000000000001E-4</v>
      </c>
      <c r="AH44" s="131"/>
      <c r="AI44" s="130"/>
      <c r="AJ44" s="5"/>
      <c r="AL44" s="319">
        <v>19</v>
      </c>
      <c r="AM44" s="100">
        <v>456</v>
      </c>
      <c r="AN44" s="99">
        <v>19</v>
      </c>
      <c r="AO44" s="100">
        <v>191</v>
      </c>
      <c r="AP44" s="105">
        <v>18</v>
      </c>
      <c r="AQ44" s="106">
        <v>160</v>
      </c>
      <c r="AR44" s="105">
        <v>19</v>
      </c>
      <c r="AS44" s="106">
        <v>191</v>
      </c>
    </row>
    <row r="45" spans="1:45" ht="18" customHeight="1" thickBot="1" x14ac:dyDescent="0.3">
      <c r="A45" s="377"/>
      <c r="C45" s="307" t="s">
        <v>695</v>
      </c>
      <c r="D45" s="73"/>
      <c r="E45" s="182" t="s">
        <v>273</v>
      </c>
      <c r="I45" s="4"/>
      <c r="J45" s="15" t="s">
        <v>28</v>
      </c>
      <c r="K45" s="10" t="s">
        <v>730</v>
      </c>
      <c r="L45" s="10">
        <v>0.52132999999999996</v>
      </c>
      <c r="M45" s="10">
        <v>0.26218000000000002</v>
      </c>
      <c r="N45" s="10">
        <v>766.8</v>
      </c>
      <c r="O45" s="10">
        <v>0.31032999999999999</v>
      </c>
      <c r="P45" s="53">
        <v>170.20699999999999</v>
      </c>
      <c r="Q45" s="10" t="s">
        <v>402</v>
      </c>
      <c r="R45" s="131">
        <v>-12.372999999999999</v>
      </c>
      <c r="S45" s="131">
        <v>2017.5</v>
      </c>
      <c r="T45" s="130"/>
      <c r="U45" s="130"/>
      <c r="V45" s="130"/>
      <c r="W45" s="137"/>
      <c r="X45" s="131" t="s">
        <v>155</v>
      </c>
      <c r="Y45" s="131">
        <v>134160</v>
      </c>
      <c r="Z45" s="131">
        <v>447.67</v>
      </c>
      <c r="AA45" s="130"/>
      <c r="AB45" s="130"/>
      <c r="AC45" s="130"/>
      <c r="AD45" s="15" t="s">
        <v>28</v>
      </c>
      <c r="AE45" s="10" t="s">
        <v>404</v>
      </c>
      <c r="AF45" s="160">
        <v>0.18686</v>
      </c>
      <c r="AG45" s="153">
        <f>-1.4953/10000</f>
        <v>-1.4953000000000001E-4</v>
      </c>
      <c r="AH45" s="15"/>
      <c r="AI45" s="15"/>
      <c r="AJ45" s="5"/>
      <c r="AL45" s="319">
        <v>27</v>
      </c>
      <c r="AM45" s="100">
        <v>494</v>
      </c>
      <c r="AN45" s="99">
        <v>20</v>
      </c>
      <c r="AO45" s="100">
        <v>340</v>
      </c>
      <c r="AP45" s="105">
        <v>27</v>
      </c>
      <c r="AQ45" s="106">
        <v>297</v>
      </c>
      <c r="AR45" s="105">
        <v>27</v>
      </c>
      <c r="AS45" s="106">
        <v>258</v>
      </c>
    </row>
    <row r="46" spans="1:45" x14ac:dyDescent="0.2">
      <c r="A46" s="377"/>
      <c r="I46" s="4"/>
      <c r="J46" s="130" t="s">
        <v>29</v>
      </c>
      <c r="K46" s="131" t="s">
        <v>731</v>
      </c>
      <c r="L46" s="131">
        <v>0.33267000000000002</v>
      </c>
      <c r="M46" s="131">
        <v>0.24664</v>
      </c>
      <c r="N46" s="131">
        <v>658</v>
      </c>
      <c r="O46" s="131">
        <v>0.28571000000000002</v>
      </c>
      <c r="P46" s="132">
        <v>170.33500000000001</v>
      </c>
      <c r="Q46" s="131" t="s">
        <v>405</v>
      </c>
      <c r="R46" s="10">
        <v>-7.8243999999999998</v>
      </c>
      <c r="S46" s="10">
        <v>1191.9000000000001</v>
      </c>
      <c r="T46" s="10">
        <v>-0.49963000000000002</v>
      </c>
      <c r="U46" s="15">
        <f>3.9572*1E+23</f>
        <v>3.9571999999999996E+23</v>
      </c>
      <c r="V46" s="10">
        <v>-10</v>
      </c>
      <c r="W46" s="12"/>
      <c r="X46" s="10" t="s">
        <v>156</v>
      </c>
      <c r="Y46" s="10">
        <v>508210</v>
      </c>
      <c r="Z46" s="10">
        <v>-1368.7</v>
      </c>
      <c r="AA46" s="10">
        <v>3.1015000000000001</v>
      </c>
      <c r="AB46" s="15"/>
      <c r="AC46" s="10"/>
      <c r="AD46" s="130" t="s">
        <v>29</v>
      </c>
      <c r="AE46" s="131" t="s">
        <v>407</v>
      </c>
      <c r="AF46" s="162">
        <v>0.20469999999999999</v>
      </c>
      <c r="AG46" s="154">
        <f>-2.326/10000</f>
        <v>-2.3260000000000002E-4</v>
      </c>
      <c r="AH46" s="131"/>
      <c r="AI46" s="130"/>
      <c r="AJ46" s="8"/>
      <c r="AL46" s="319">
        <v>-9</v>
      </c>
      <c r="AM46" s="100">
        <v>385</v>
      </c>
      <c r="AN46" s="99">
        <v>-11</v>
      </c>
      <c r="AO46" s="100">
        <v>253</v>
      </c>
      <c r="AP46" s="105">
        <v>-9</v>
      </c>
      <c r="AQ46" s="106">
        <v>57</v>
      </c>
      <c r="AR46" s="105">
        <v>-10</v>
      </c>
      <c r="AS46" s="106">
        <v>216</v>
      </c>
    </row>
    <row r="47" spans="1:45" ht="15.75" x14ac:dyDescent="0.25">
      <c r="A47" s="377"/>
      <c r="C47" s="68" t="s">
        <v>251</v>
      </c>
      <c r="D47" s="75">
        <f>IF(D45="",C36,D45)</f>
        <v>8.3706644445707837E-4</v>
      </c>
      <c r="E47" s="64" t="s">
        <v>685</v>
      </c>
      <c r="F47" s="59" t="str">
        <f>IF(D45="","     (from menu selection)","     (manual entry)")</f>
        <v xml:space="preserve">     (from menu selection)</v>
      </c>
      <c r="I47" s="4"/>
      <c r="J47" s="15" t="s">
        <v>30</v>
      </c>
      <c r="K47" s="10" t="s">
        <v>732</v>
      </c>
      <c r="L47" s="10">
        <v>1.6288</v>
      </c>
      <c r="M47" s="10">
        <v>0.27468999999999999</v>
      </c>
      <c r="N47" s="10">
        <v>514</v>
      </c>
      <c r="O47" s="10">
        <v>0.23178000000000001</v>
      </c>
      <c r="P47" s="53">
        <v>46.067999999999998</v>
      </c>
      <c r="Q47" s="10" t="s">
        <v>408</v>
      </c>
      <c r="R47" s="131">
        <v>7.875</v>
      </c>
      <c r="S47" s="131">
        <v>781.98</v>
      </c>
      <c r="T47" s="131">
        <v>-3.0417999999999998</v>
      </c>
      <c r="U47" s="130"/>
      <c r="V47" s="130"/>
      <c r="W47" s="137"/>
      <c r="X47" s="131" t="s">
        <v>157</v>
      </c>
      <c r="Y47" s="131">
        <v>102640</v>
      </c>
      <c r="Z47" s="131">
        <v>-139.63</v>
      </c>
      <c r="AA47" s="131">
        <v>-3.0341E-2</v>
      </c>
      <c r="AB47" s="130">
        <v>2.0303859999999999E-3</v>
      </c>
      <c r="AC47" s="130"/>
      <c r="AD47" s="15" t="s">
        <v>30</v>
      </c>
      <c r="AE47" s="10" t="s">
        <v>410</v>
      </c>
      <c r="AF47" s="162">
        <v>0.24679999999999999</v>
      </c>
      <c r="AG47" s="159">
        <f>-2.64/10000</f>
        <v>-2.6400000000000002E-4</v>
      </c>
      <c r="AH47" s="10"/>
      <c r="AI47" s="15"/>
      <c r="AJ47" s="5"/>
      <c r="AL47" s="319">
        <v>-114</v>
      </c>
      <c r="AM47" s="100">
        <v>241</v>
      </c>
      <c r="AN47" s="99">
        <v>-73</v>
      </c>
      <c r="AO47" s="100">
        <v>167</v>
      </c>
      <c r="AP47" s="105">
        <v>-114</v>
      </c>
      <c r="AQ47" s="106">
        <v>117</v>
      </c>
      <c r="AR47" s="105">
        <v>-114</v>
      </c>
      <c r="AS47" s="106">
        <v>80</v>
      </c>
    </row>
    <row r="48" spans="1:45" x14ac:dyDescent="0.2">
      <c r="A48" s="377"/>
      <c r="C48" s="129" t="s">
        <v>263</v>
      </c>
      <c r="I48" s="4"/>
      <c r="J48" s="130" t="s">
        <v>31</v>
      </c>
      <c r="K48" s="131" t="s">
        <v>733</v>
      </c>
      <c r="L48" s="131">
        <v>0.89959999999999996</v>
      </c>
      <c r="M48" s="131">
        <v>0.25856000000000001</v>
      </c>
      <c r="N48" s="131">
        <v>523.29999999999995</v>
      </c>
      <c r="O48" s="131">
        <v>0.27800000000000002</v>
      </c>
      <c r="P48" s="132">
        <v>88.105000000000004</v>
      </c>
      <c r="Q48" s="131" t="s">
        <v>411</v>
      </c>
      <c r="R48" s="10">
        <v>14.353999999999999</v>
      </c>
      <c r="S48" s="10">
        <v>-154.6</v>
      </c>
      <c r="T48" s="10">
        <v>-3.7887</v>
      </c>
      <c r="U48" s="15"/>
      <c r="V48" s="15"/>
      <c r="W48" s="12"/>
      <c r="X48" s="10" t="s">
        <v>158</v>
      </c>
      <c r="Y48" s="10">
        <v>226230</v>
      </c>
      <c r="Z48" s="10">
        <v>-624.79999999999995</v>
      </c>
      <c r="AA48" s="10">
        <v>1.472</v>
      </c>
      <c r="AB48" s="15"/>
      <c r="AC48" s="15"/>
      <c r="AD48" s="130" t="s">
        <v>31</v>
      </c>
      <c r="AE48" s="131" t="s">
        <v>413</v>
      </c>
      <c r="AF48" s="162">
        <v>0.25009999999999999</v>
      </c>
      <c r="AG48" s="154">
        <f>-3.563/10000</f>
        <v>-3.5630000000000004E-4</v>
      </c>
      <c r="AH48" s="131"/>
      <c r="AI48" s="130"/>
      <c r="AJ48" s="5"/>
      <c r="AL48" s="319">
        <v>-83</v>
      </c>
      <c r="AM48" s="100">
        <v>250</v>
      </c>
      <c r="AN48" s="99">
        <v>-53</v>
      </c>
      <c r="AO48" s="100">
        <v>200</v>
      </c>
      <c r="AP48" s="105">
        <v>-83</v>
      </c>
      <c r="AQ48" s="106">
        <v>133</v>
      </c>
      <c r="AR48" s="105">
        <v>-84</v>
      </c>
      <c r="AS48" s="106">
        <v>77</v>
      </c>
    </row>
    <row r="49" spans="1:45" x14ac:dyDescent="0.2">
      <c r="I49" s="4"/>
      <c r="J49" s="15" t="s">
        <v>32</v>
      </c>
      <c r="K49" s="10" t="s">
        <v>734</v>
      </c>
      <c r="L49" s="10">
        <v>0.48864000000000002</v>
      </c>
      <c r="M49" s="10">
        <v>0.23894000000000001</v>
      </c>
      <c r="N49" s="10">
        <v>698</v>
      </c>
      <c r="O49" s="10">
        <v>0.28421000000000002</v>
      </c>
      <c r="P49" s="53">
        <v>150.17500000000001</v>
      </c>
      <c r="Q49" s="10" t="s">
        <v>414</v>
      </c>
      <c r="R49" s="131">
        <v>-40.706000000000003</v>
      </c>
      <c r="S49" s="131">
        <v>3035</v>
      </c>
      <c r="T49" s="131">
        <v>4.2655000000000003</v>
      </c>
      <c r="U49" s="130"/>
      <c r="V49" s="130"/>
      <c r="W49" s="137"/>
      <c r="X49" s="131" t="s">
        <v>159</v>
      </c>
      <c r="Y49" s="131">
        <v>124500</v>
      </c>
      <c r="Z49" s="131">
        <v>370.6</v>
      </c>
      <c r="AA49" s="131"/>
      <c r="AB49" s="130"/>
      <c r="AC49" s="130"/>
      <c r="AD49" s="15" t="s">
        <v>32</v>
      </c>
      <c r="AE49" s="10" t="s">
        <v>416</v>
      </c>
      <c r="AF49" s="160">
        <v>0.20771000000000001</v>
      </c>
      <c r="AG49" s="153">
        <f>-2.1265/10000</f>
        <v>-2.1265000000000002E-4</v>
      </c>
      <c r="AH49" s="10"/>
      <c r="AI49" s="15"/>
      <c r="AJ49" s="5"/>
      <c r="AL49" s="319">
        <v>-35</v>
      </c>
      <c r="AM49" s="100">
        <v>425</v>
      </c>
      <c r="AN49" s="99">
        <v>-23</v>
      </c>
      <c r="AO49" s="100">
        <v>214</v>
      </c>
      <c r="AP49" s="105">
        <v>-34</v>
      </c>
      <c r="AQ49" s="106">
        <v>213</v>
      </c>
      <c r="AR49" s="105">
        <v>-35</v>
      </c>
      <c r="AS49" s="106">
        <v>276</v>
      </c>
    </row>
    <row r="50" spans="1:45" ht="13.5" thickBot="1" x14ac:dyDescent="0.25">
      <c r="A50" s="377" t="s">
        <v>121</v>
      </c>
      <c r="I50" s="4"/>
      <c r="J50" s="130" t="s">
        <v>34</v>
      </c>
      <c r="K50" s="131" t="s">
        <v>735</v>
      </c>
      <c r="L50" s="131">
        <v>1.3149999999999999</v>
      </c>
      <c r="M50" s="131">
        <v>0.25124999999999997</v>
      </c>
      <c r="N50" s="131">
        <v>720</v>
      </c>
      <c r="O50" s="131">
        <v>0.21868000000000001</v>
      </c>
      <c r="P50" s="132">
        <v>62.067999999999998</v>
      </c>
      <c r="Q50" s="131" t="s">
        <v>417</v>
      </c>
      <c r="R50" s="10">
        <v>-20.515000000000001</v>
      </c>
      <c r="S50" s="10">
        <v>2468.5</v>
      </c>
      <c r="T50" s="10">
        <v>1.2435</v>
      </c>
      <c r="U50" s="15">
        <f>2.4998*1000000000000</f>
        <v>2499800000000</v>
      </c>
      <c r="V50" s="10">
        <v>-5</v>
      </c>
      <c r="W50" s="12"/>
      <c r="X50" s="10" t="s">
        <v>160</v>
      </c>
      <c r="Y50" s="10">
        <v>35540</v>
      </c>
      <c r="Z50" s="10">
        <v>436.78</v>
      </c>
      <c r="AA50" s="10">
        <v>-0.18486</v>
      </c>
      <c r="AB50" s="15"/>
      <c r="AC50" s="10"/>
      <c r="AD50" s="130" t="s">
        <v>34</v>
      </c>
      <c r="AE50" s="131" t="s">
        <v>419</v>
      </c>
      <c r="AF50" s="166">
        <v>8.8067000000000006E-2</v>
      </c>
      <c r="AG50" s="153">
        <f>9.4712/10000</f>
        <v>9.4711999999999997E-4</v>
      </c>
      <c r="AH50" s="131"/>
      <c r="AI50" s="130"/>
      <c r="AJ50" s="8"/>
      <c r="AL50" s="319">
        <v>-13</v>
      </c>
      <c r="AM50" s="100">
        <v>447</v>
      </c>
      <c r="AN50" s="99">
        <v>-13</v>
      </c>
      <c r="AO50" s="100">
        <v>303</v>
      </c>
      <c r="AP50" s="105">
        <v>-13</v>
      </c>
      <c r="AQ50" s="106">
        <v>220</v>
      </c>
      <c r="AR50" s="105">
        <v>-13</v>
      </c>
      <c r="AS50" s="106">
        <v>197</v>
      </c>
    </row>
    <row r="51" spans="1:45" ht="16.5" thickBot="1" x14ac:dyDescent="0.3">
      <c r="A51" s="377"/>
      <c r="C51" s="381" t="s">
        <v>122</v>
      </c>
      <c r="D51" s="382"/>
      <c r="E51" s="174" t="s">
        <v>276</v>
      </c>
      <c r="I51" s="4"/>
      <c r="J51" s="15" t="s">
        <v>33</v>
      </c>
      <c r="K51" s="10" t="s">
        <v>736</v>
      </c>
      <c r="L51" s="10">
        <v>0.78420000000000001</v>
      </c>
      <c r="M51" s="10">
        <v>0.20702000000000001</v>
      </c>
      <c r="N51" s="10">
        <v>593</v>
      </c>
      <c r="O51" s="10">
        <v>0.20254</v>
      </c>
      <c r="P51" s="53">
        <v>60.097999999999999</v>
      </c>
      <c r="Q51" s="10" t="s">
        <v>420</v>
      </c>
      <c r="R51" s="131">
        <v>-53.908000000000001</v>
      </c>
      <c r="S51" s="131">
        <v>4030.8</v>
      </c>
      <c r="T51" s="131">
        <v>5.9703999999999997</v>
      </c>
      <c r="U51" s="130"/>
      <c r="V51" s="130"/>
      <c r="W51" s="137"/>
      <c r="X51" s="131" t="s">
        <v>161</v>
      </c>
      <c r="Y51" s="131">
        <v>184440</v>
      </c>
      <c r="Z51" s="131">
        <v>-150.19999999999999</v>
      </c>
      <c r="AA51" s="131">
        <v>0.37043999999999999</v>
      </c>
      <c r="AB51" s="130"/>
      <c r="AC51" s="130"/>
      <c r="AD51" s="15" t="s">
        <v>33</v>
      </c>
      <c r="AE51" s="10" t="s">
        <v>421</v>
      </c>
      <c r="AF51" s="160">
        <v>0.36434</v>
      </c>
      <c r="AG51" s="154">
        <f>-4.433/10000</f>
        <v>-4.4329999999999999E-4</v>
      </c>
      <c r="AH51" s="10"/>
      <c r="AI51" s="15"/>
      <c r="AJ51" s="5"/>
      <c r="AL51" s="319">
        <v>12</v>
      </c>
      <c r="AM51" s="100">
        <v>320</v>
      </c>
      <c r="AN51" s="99">
        <v>11</v>
      </c>
      <c r="AO51" s="100">
        <v>210</v>
      </c>
      <c r="AP51" s="105">
        <v>11</v>
      </c>
      <c r="AQ51" s="106">
        <v>117</v>
      </c>
      <c r="AR51" s="105">
        <v>11</v>
      </c>
      <c r="AS51" s="106">
        <v>117</v>
      </c>
    </row>
    <row r="52" spans="1:45" ht="17.25" customHeight="1" x14ac:dyDescent="0.25">
      <c r="A52" s="377"/>
      <c r="C52" s="112">
        <f>X11</f>
        <v>4181.2991010935575</v>
      </c>
      <c r="D52" s="308" t="s">
        <v>688</v>
      </c>
      <c r="E52" s="174" t="s">
        <v>277</v>
      </c>
      <c r="I52" s="4"/>
      <c r="J52" s="130" t="s">
        <v>35</v>
      </c>
      <c r="K52" s="131" t="s">
        <v>737</v>
      </c>
      <c r="L52" s="131">
        <v>1.0145999999999999</v>
      </c>
      <c r="M52" s="131">
        <v>0.27277000000000001</v>
      </c>
      <c r="N52" s="134">
        <v>560.09</v>
      </c>
      <c r="O52" s="131">
        <v>0.28290999999999999</v>
      </c>
      <c r="P52" s="132">
        <v>96.102000000000004</v>
      </c>
      <c r="Q52" s="131" t="s">
        <v>422</v>
      </c>
      <c r="R52" s="10">
        <v>-10.064</v>
      </c>
      <c r="S52" s="10">
        <v>1058.7</v>
      </c>
      <c r="T52" s="10">
        <v>-0.17161999999999999</v>
      </c>
      <c r="U52" s="15"/>
      <c r="V52" s="15"/>
      <c r="W52" s="12"/>
      <c r="X52" s="10" t="s">
        <v>162</v>
      </c>
      <c r="Y52" s="10">
        <v>-991200</v>
      </c>
      <c r="Z52" s="10">
        <v>11734</v>
      </c>
      <c r="AA52" s="10">
        <v>-40669</v>
      </c>
      <c r="AB52" s="15">
        <v>4.7333E-2</v>
      </c>
      <c r="AC52" s="15"/>
      <c r="AD52" s="130" t="s">
        <v>35</v>
      </c>
      <c r="AE52" s="131" t="s">
        <v>424</v>
      </c>
      <c r="AF52" s="160">
        <v>0.20962</v>
      </c>
      <c r="AG52" s="153">
        <f>-2.8034/10000</f>
        <v>-2.8034000000000002E-4</v>
      </c>
      <c r="AH52" s="131"/>
      <c r="AI52" s="130"/>
      <c r="AJ52" s="5"/>
      <c r="AL52" s="319">
        <v>-42</v>
      </c>
      <c r="AM52" s="100">
        <v>287</v>
      </c>
      <c r="AN52" s="99">
        <v>-41</v>
      </c>
      <c r="AO52" s="100">
        <v>180</v>
      </c>
      <c r="AP52" s="105">
        <v>-33</v>
      </c>
      <c r="AQ52" s="106">
        <v>47</v>
      </c>
      <c r="AR52" s="105">
        <v>-35</v>
      </c>
      <c r="AS52" s="106">
        <v>80</v>
      </c>
    </row>
    <row r="53" spans="1:45" ht="18" customHeight="1" thickBot="1" x14ac:dyDescent="0.3">
      <c r="A53" s="377"/>
      <c r="C53" s="305" t="s">
        <v>253</v>
      </c>
      <c r="D53" s="71" t="str">
        <f>IF(D$13="","(nothing selected)",X10)</f>
        <v xml:space="preserve"> 32 to 500</v>
      </c>
      <c r="E53" s="183" t="s">
        <v>278</v>
      </c>
      <c r="I53" s="4"/>
      <c r="J53" s="15" t="s">
        <v>36</v>
      </c>
      <c r="K53" s="10" t="s">
        <v>738</v>
      </c>
      <c r="L53" s="10">
        <v>1.2485999999999999</v>
      </c>
      <c r="M53" s="10">
        <v>0.20352000000000001</v>
      </c>
      <c r="N53" s="10">
        <v>771</v>
      </c>
      <c r="O53" s="10">
        <v>0.25178</v>
      </c>
      <c r="P53" s="53">
        <v>45.040999999999997</v>
      </c>
      <c r="Q53" s="10" t="s">
        <v>425</v>
      </c>
      <c r="R53" s="131">
        <v>40.152999999999999</v>
      </c>
      <c r="S53" s="131">
        <v>-912.39</v>
      </c>
      <c r="T53" s="131">
        <v>-7.5663999999999998</v>
      </c>
      <c r="U53" s="130">
        <f>1.6873*1E+24</f>
        <v>1.6873000000000001E+24</v>
      </c>
      <c r="V53" s="131">
        <v>-10</v>
      </c>
      <c r="W53" s="137"/>
      <c r="X53" s="131" t="s">
        <v>163</v>
      </c>
      <c r="Y53" s="131">
        <v>63400</v>
      </c>
      <c r="Z53" s="131">
        <v>150.6</v>
      </c>
      <c r="AA53" s="131"/>
      <c r="AB53" s="130"/>
      <c r="AC53" s="131"/>
      <c r="AD53" s="15" t="s">
        <v>36</v>
      </c>
      <c r="AE53" s="10" t="s">
        <v>427</v>
      </c>
      <c r="AF53" s="160">
        <v>0.38469999999999999</v>
      </c>
      <c r="AG53" s="154">
        <f>-1.065/10000</f>
        <v>-1.065E-4</v>
      </c>
      <c r="AH53" s="10"/>
      <c r="AI53" s="15"/>
      <c r="AJ53" s="8"/>
      <c r="AL53" s="319">
        <v>3</v>
      </c>
      <c r="AM53" s="100">
        <v>498</v>
      </c>
      <c r="AN53" s="99">
        <v>0</v>
      </c>
      <c r="AO53" s="100">
        <v>220</v>
      </c>
      <c r="AP53" s="105">
        <v>18</v>
      </c>
      <c r="AQ53" s="106">
        <v>220</v>
      </c>
      <c r="AR53" s="105">
        <v>3</v>
      </c>
      <c r="AS53" s="106">
        <v>220</v>
      </c>
    </row>
    <row r="54" spans="1:45" ht="15.75" x14ac:dyDescent="0.25">
      <c r="A54" s="377"/>
      <c r="E54" s="183" t="s">
        <v>279</v>
      </c>
      <c r="I54" s="4"/>
      <c r="J54" s="130" t="s">
        <v>37</v>
      </c>
      <c r="K54" s="131" t="s">
        <v>739</v>
      </c>
      <c r="L54" s="131">
        <v>0.61258999999999997</v>
      </c>
      <c r="M54" s="131">
        <v>0.26211000000000001</v>
      </c>
      <c r="N54" s="131">
        <v>540.20000000000005</v>
      </c>
      <c r="O54" s="131">
        <v>0.28140999999999999</v>
      </c>
      <c r="P54" s="132">
        <v>100.202</v>
      </c>
      <c r="Q54" s="131" t="s">
        <v>428</v>
      </c>
      <c r="R54" s="131">
        <v>-9.4621999999999993</v>
      </c>
      <c r="S54" s="131">
        <v>877.07</v>
      </c>
      <c r="T54" s="131">
        <v>-0.23444999999999999</v>
      </c>
      <c r="U54" s="130">
        <f>1.4022*1E+22</f>
        <v>1.4021999999999998E+22</v>
      </c>
      <c r="V54" s="131">
        <v>-10</v>
      </c>
      <c r="W54" s="137"/>
      <c r="X54" s="131" t="s">
        <v>164</v>
      </c>
      <c r="Y54" s="131">
        <v>61.26</v>
      </c>
      <c r="Z54" s="131">
        <v>314410</v>
      </c>
      <c r="AA54" s="131">
        <v>1824.6</v>
      </c>
      <c r="AB54" s="130">
        <v>-2547.9</v>
      </c>
      <c r="AC54" s="131">
        <v>-10</v>
      </c>
      <c r="AD54" s="130" t="s">
        <v>37</v>
      </c>
      <c r="AE54" s="131" t="s">
        <v>430</v>
      </c>
      <c r="AF54" s="160">
        <v>0.215</v>
      </c>
      <c r="AG54" s="159">
        <f>-3.03/10000</f>
        <v>-3.0299999999999999E-4</v>
      </c>
      <c r="AH54" s="131"/>
      <c r="AI54" s="130"/>
      <c r="AJ54" s="8"/>
      <c r="AL54" s="319">
        <v>-90</v>
      </c>
      <c r="AM54" s="100">
        <v>267</v>
      </c>
      <c r="AN54" s="99">
        <v>-93</v>
      </c>
      <c r="AO54" s="100">
        <v>159</v>
      </c>
      <c r="AP54" s="105">
        <v>-91</v>
      </c>
      <c r="AQ54" s="106">
        <v>247</v>
      </c>
      <c r="AR54" s="105">
        <v>-91</v>
      </c>
      <c r="AS54" s="106">
        <v>99</v>
      </c>
    </row>
    <row r="55" spans="1:45" ht="15" x14ac:dyDescent="0.25">
      <c r="A55" s="377"/>
      <c r="C55" s="59"/>
      <c r="I55" s="4"/>
      <c r="J55" s="15" t="s">
        <v>38</v>
      </c>
      <c r="K55" s="10" t="s">
        <v>740</v>
      </c>
      <c r="L55" s="10">
        <v>0.23289000000000001</v>
      </c>
      <c r="M55" s="10">
        <v>0.23658999999999999</v>
      </c>
      <c r="N55" s="10">
        <v>723</v>
      </c>
      <c r="O55" s="10">
        <v>0.28571000000000002</v>
      </c>
      <c r="P55" s="53">
        <v>226.441</v>
      </c>
      <c r="Q55" s="10" t="s">
        <v>431</v>
      </c>
      <c r="R55" s="10">
        <v>-20.181999999999999</v>
      </c>
      <c r="S55" s="10">
        <v>2203.5</v>
      </c>
      <c r="T55" s="10">
        <v>1.2289000000000001</v>
      </c>
      <c r="U55" s="15"/>
      <c r="V55" s="15"/>
      <c r="W55" s="12"/>
      <c r="X55" s="10" t="s">
        <v>165</v>
      </c>
      <c r="Y55" s="10">
        <v>370350</v>
      </c>
      <c r="Z55" s="10">
        <v>231.47</v>
      </c>
      <c r="AA55" s="10">
        <v>0.68632000000000004</v>
      </c>
      <c r="AB55" s="15"/>
      <c r="AC55" s="15"/>
      <c r="AD55" s="15" t="s">
        <v>38</v>
      </c>
      <c r="AE55" s="10" t="s">
        <v>432</v>
      </c>
      <c r="AF55" s="160">
        <v>0.20749000000000001</v>
      </c>
      <c r="AG55" s="153">
        <f>-2.1917/10000</f>
        <v>-2.1917E-4</v>
      </c>
      <c r="AH55" s="131"/>
      <c r="AI55" s="15"/>
      <c r="AJ55" s="5"/>
      <c r="AL55" s="319">
        <v>18</v>
      </c>
      <c r="AM55" s="100">
        <v>450</v>
      </c>
      <c r="AN55" s="99">
        <v>18</v>
      </c>
      <c r="AO55" s="100">
        <v>291</v>
      </c>
      <c r="AP55" s="105">
        <v>18</v>
      </c>
      <c r="AQ55" s="106">
        <v>287</v>
      </c>
      <c r="AR55" s="105">
        <v>18</v>
      </c>
      <c r="AS55" s="106">
        <v>287</v>
      </c>
    </row>
    <row r="56" spans="1:45" ht="15" x14ac:dyDescent="0.25">
      <c r="A56" s="377"/>
      <c r="C56" s="380" t="s">
        <v>254</v>
      </c>
      <c r="D56" s="380"/>
      <c r="I56" s="4"/>
      <c r="J56" s="130" t="s">
        <v>39</v>
      </c>
      <c r="K56" s="131" t="s">
        <v>712</v>
      </c>
      <c r="L56" s="131">
        <v>0.70823999999999998</v>
      </c>
      <c r="M56" s="131">
        <v>0.26411000000000001</v>
      </c>
      <c r="N56" s="131">
        <v>507.6</v>
      </c>
      <c r="O56" s="131">
        <v>0.27537</v>
      </c>
      <c r="P56" s="132">
        <v>86.174999999999997</v>
      </c>
      <c r="Q56" s="131" t="s">
        <v>433</v>
      </c>
      <c r="R56" s="131">
        <v>-6.3276000000000003</v>
      </c>
      <c r="S56" s="131">
        <v>640</v>
      </c>
      <c r="T56" s="131">
        <v>-0.69399999999999995</v>
      </c>
      <c r="U56" s="130">
        <f>5.6884*1E+21</f>
        <v>5.6883999999999995E+21</v>
      </c>
      <c r="V56" s="131">
        <v>-10</v>
      </c>
      <c r="W56" s="137"/>
      <c r="X56" s="131" t="s">
        <v>166</v>
      </c>
      <c r="Y56" s="131">
        <v>172120</v>
      </c>
      <c r="Z56" s="131">
        <v>-183.78</v>
      </c>
      <c r="AA56" s="131">
        <v>0.88734000000000002</v>
      </c>
      <c r="AB56" s="130"/>
      <c r="AC56" s="131"/>
      <c r="AD56" s="130" t="s">
        <v>39</v>
      </c>
      <c r="AE56" s="131" t="s">
        <v>435</v>
      </c>
      <c r="AF56" s="160">
        <v>0.22492000000000001</v>
      </c>
      <c r="AG56" s="154">
        <f>-3.533/10000</f>
        <v>-3.5329999999999997E-4</v>
      </c>
      <c r="AH56" s="131"/>
      <c r="AI56" s="130"/>
      <c r="AJ56" s="8"/>
      <c r="AL56" s="319">
        <v>-95</v>
      </c>
      <c r="AM56" s="100">
        <v>235</v>
      </c>
      <c r="AN56" s="99">
        <v>-98</v>
      </c>
      <c r="AO56" s="100">
        <v>133</v>
      </c>
      <c r="AP56" s="105">
        <v>-96</v>
      </c>
      <c r="AQ56" s="106">
        <v>187</v>
      </c>
      <c r="AR56" s="105">
        <v>-95</v>
      </c>
      <c r="AS56" s="106">
        <v>97</v>
      </c>
    </row>
    <row r="57" spans="1:45" ht="15" x14ac:dyDescent="0.25">
      <c r="A57" s="377"/>
      <c r="C57" s="380"/>
      <c r="D57" s="380"/>
      <c r="I57" s="4"/>
      <c r="J57" s="15" t="s">
        <v>40</v>
      </c>
      <c r="K57" s="10" t="s">
        <v>437</v>
      </c>
      <c r="L57" s="10">
        <v>1.0516000000000001</v>
      </c>
      <c r="M57" s="10">
        <v>0.16613</v>
      </c>
      <c r="N57" s="10">
        <v>653.15</v>
      </c>
      <c r="O57" s="10">
        <v>0.1898</v>
      </c>
      <c r="P57" s="53">
        <v>32.045000000000002</v>
      </c>
      <c r="Q57" s="10" t="s">
        <v>436</v>
      </c>
      <c r="R57" s="10">
        <v>-75.781000000000006</v>
      </c>
      <c r="S57" s="10">
        <v>4175.3999999999996</v>
      </c>
      <c r="T57" s="10">
        <v>9.6508000000000003</v>
      </c>
      <c r="U57" s="15">
        <f>-7.27/1000000000</f>
        <v>-7.2699999999999999E-9</v>
      </c>
      <c r="V57" s="10">
        <v>3</v>
      </c>
      <c r="W57" s="12"/>
      <c r="X57" s="10" t="s">
        <v>167</v>
      </c>
      <c r="Y57" s="10">
        <v>79815</v>
      </c>
      <c r="Z57" s="10">
        <v>50.929000000000002</v>
      </c>
      <c r="AA57" s="10">
        <v>4.3379000000000001E-2</v>
      </c>
      <c r="AB57" s="15"/>
      <c r="AC57" s="10"/>
      <c r="AD57" s="15" t="s">
        <v>40</v>
      </c>
      <c r="AE57" s="10" t="s">
        <v>438</v>
      </c>
      <c r="AF57" s="162">
        <v>1.3674999999999999</v>
      </c>
      <c r="AG57" s="153">
        <f>-1.5895/1000</f>
        <v>-1.5895E-3</v>
      </c>
      <c r="AH57" s="131"/>
      <c r="AI57" s="15"/>
      <c r="AJ57" s="8"/>
      <c r="AL57" s="319">
        <v>2</v>
      </c>
      <c r="AM57" s="100">
        <v>380</v>
      </c>
      <c r="AN57" s="99">
        <v>1</v>
      </c>
      <c r="AO57" s="100">
        <v>250</v>
      </c>
      <c r="AP57" s="105">
        <v>2</v>
      </c>
      <c r="AQ57" s="106">
        <v>380</v>
      </c>
      <c r="AR57" s="105">
        <v>2</v>
      </c>
      <c r="AS57" s="106">
        <v>350</v>
      </c>
    </row>
    <row r="58" spans="1:45" ht="15.75" thickBot="1" x14ac:dyDescent="0.3">
      <c r="A58" s="377"/>
      <c r="E58" s="59" t="s">
        <v>270</v>
      </c>
      <c r="I58" s="4"/>
      <c r="J58" s="130" t="s">
        <v>41</v>
      </c>
      <c r="K58" s="131" t="s">
        <v>741</v>
      </c>
      <c r="L58" s="131">
        <v>1.2801</v>
      </c>
      <c r="M58" s="131">
        <v>0.2828</v>
      </c>
      <c r="N58" s="131">
        <v>471.85</v>
      </c>
      <c r="O58" s="131">
        <v>0.29720000000000002</v>
      </c>
      <c r="P58" s="132">
        <v>59.11</v>
      </c>
      <c r="Q58" s="131" t="s">
        <v>439</v>
      </c>
      <c r="R58" s="131">
        <v>-31.157</v>
      </c>
      <c r="S58" s="131">
        <v>1926</v>
      </c>
      <c r="T58" s="131">
        <v>2.9249999999999998</v>
      </c>
      <c r="U58" s="130"/>
      <c r="V58" s="130"/>
      <c r="W58" s="137"/>
      <c r="X58" s="131" t="s">
        <v>168</v>
      </c>
      <c r="Y58" s="131">
        <v>-32469</v>
      </c>
      <c r="Z58" s="131">
        <v>1977.1</v>
      </c>
      <c r="AA58" s="131">
        <v>-7.0145</v>
      </c>
      <c r="AB58" s="130">
        <v>8.6913000000000008E-3</v>
      </c>
      <c r="AC58" s="130"/>
      <c r="AD58" s="130" t="s">
        <v>41</v>
      </c>
      <c r="AE58" s="131" t="s">
        <v>441</v>
      </c>
      <c r="AF58" s="167">
        <v>0.23699999999999999</v>
      </c>
      <c r="AG58" s="154">
        <f>-3.32/10000</f>
        <v>-3.3199999999999999E-4</v>
      </c>
      <c r="AH58" s="131"/>
      <c r="AI58" s="130"/>
      <c r="AJ58" s="5"/>
      <c r="AL58" s="319">
        <v>-95</v>
      </c>
      <c r="AM58" s="100">
        <v>199</v>
      </c>
      <c r="AN58" s="99">
        <v>-23</v>
      </c>
      <c r="AO58" s="100">
        <v>180</v>
      </c>
      <c r="AP58" s="105">
        <v>-95</v>
      </c>
      <c r="AQ58" s="106">
        <v>47</v>
      </c>
      <c r="AR58" s="105">
        <v>-95</v>
      </c>
      <c r="AS58" s="106">
        <v>32</v>
      </c>
    </row>
    <row r="59" spans="1:45" ht="15" x14ac:dyDescent="0.25">
      <c r="A59" s="377"/>
      <c r="C59" s="378" t="s">
        <v>123</v>
      </c>
      <c r="D59" s="379"/>
      <c r="E59" s="59" t="s">
        <v>271</v>
      </c>
      <c r="I59" s="4"/>
      <c r="J59" s="15" t="s">
        <v>42</v>
      </c>
      <c r="K59" s="10" t="s">
        <v>742</v>
      </c>
      <c r="L59" s="10">
        <v>0.87024999999999997</v>
      </c>
      <c r="M59" s="10">
        <v>0.24382999999999999</v>
      </c>
      <c r="N59" s="10">
        <v>662</v>
      </c>
      <c r="O59" s="10">
        <v>0.28571000000000002</v>
      </c>
      <c r="P59" s="53">
        <v>86.088999999999999</v>
      </c>
      <c r="Q59" s="10" t="s">
        <v>442</v>
      </c>
      <c r="R59" s="10">
        <v>-14.526999999999999</v>
      </c>
      <c r="S59" s="10">
        <v>1497.7</v>
      </c>
      <c r="T59" s="10">
        <v>0.51746999999999999</v>
      </c>
      <c r="U59" s="15"/>
      <c r="V59" s="15"/>
      <c r="W59" s="12"/>
      <c r="X59" s="10" t="s">
        <v>118</v>
      </c>
      <c r="Y59" s="10">
        <v>146290</v>
      </c>
      <c r="Z59" s="10">
        <v>-58.59</v>
      </c>
      <c r="AA59" s="10">
        <v>0.35820000000000002</v>
      </c>
      <c r="AB59" s="15"/>
      <c r="AC59" s="15"/>
      <c r="AD59" s="15" t="s">
        <v>42</v>
      </c>
      <c r="AE59" s="10" t="s">
        <v>443</v>
      </c>
      <c r="AF59" s="162">
        <v>0.2306</v>
      </c>
      <c r="AG59" s="153">
        <f>-2.5201/10000</f>
        <v>-2.5200999999999999E-4</v>
      </c>
      <c r="AH59" s="131"/>
      <c r="AI59" s="15"/>
      <c r="AJ59" s="5"/>
      <c r="AL59" s="319">
        <v>15</v>
      </c>
      <c r="AM59" s="100">
        <v>389</v>
      </c>
      <c r="AN59" s="99">
        <v>15</v>
      </c>
      <c r="AO59" s="100">
        <v>161</v>
      </c>
      <c r="AP59" s="105">
        <v>15</v>
      </c>
      <c r="AQ59" s="106">
        <v>161</v>
      </c>
      <c r="AR59" s="105">
        <v>15</v>
      </c>
      <c r="AS59" s="106">
        <v>257</v>
      </c>
    </row>
    <row r="60" spans="1:45" ht="15" x14ac:dyDescent="0.25">
      <c r="A60" s="377"/>
      <c r="C60" s="7"/>
      <c r="D60" s="8"/>
      <c r="E60" s="59" t="s">
        <v>272</v>
      </c>
      <c r="I60" s="4"/>
      <c r="J60" s="130" t="s">
        <v>43</v>
      </c>
      <c r="K60" s="131" t="s">
        <v>743</v>
      </c>
      <c r="L60" s="131">
        <v>2.3267000000000002</v>
      </c>
      <c r="M60" s="131">
        <v>0.27073000000000003</v>
      </c>
      <c r="N60" s="131">
        <v>512.5</v>
      </c>
      <c r="O60" s="131">
        <v>0.24712999999999999</v>
      </c>
      <c r="P60" s="132">
        <v>32.042000000000002</v>
      </c>
      <c r="Q60" s="131" t="s">
        <v>444</v>
      </c>
      <c r="R60" s="131">
        <v>-25.317</v>
      </c>
      <c r="S60" s="131">
        <v>1789.2</v>
      </c>
      <c r="T60" s="131">
        <v>2.069</v>
      </c>
      <c r="U60" s="130"/>
      <c r="V60" s="130"/>
      <c r="W60" s="137"/>
      <c r="X60" s="131" t="s">
        <v>169</v>
      </c>
      <c r="Y60" s="131">
        <v>105800</v>
      </c>
      <c r="Z60" s="131">
        <v>-362.23</v>
      </c>
      <c r="AA60" s="131">
        <v>0.93789999999999996</v>
      </c>
      <c r="AB60" s="130"/>
      <c r="AC60" s="130"/>
      <c r="AD60" s="130" t="s">
        <v>43</v>
      </c>
      <c r="AE60" s="131" t="s">
        <v>444</v>
      </c>
      <c r="AF60" s="162">
        <v>0.28370000000000001</v>
      </c>
      <c r="AG60" s="159">
        <f>-2.81/10000</f>
        <v>-2.81E-4</v>
      </c>
      <c r="AH60" s="131"/>
      <c r="AI60" s="130"/>
      <c r="AJ60" s="5"/>
      <c r="AL60" s="319">
        <v>-98</v>
      </c>
      <c r="AM60" s="100">
        <v>240</v>
      </c>
      <c r="AN60" s="99">
        <v>-98</v>
      </c>
      <c r="AO60" s="100">
        <v>65</v>
      </c>
      <c r="AP60" s="105">
        <v>-98</v>
      </c>
      <c r="AQ60" s="106">
        <v>127</v>
      </c>
      <c r="AR60" s="105">
        <v>-98</v>
      </c>
      <c r="AS60" s="106">
        <v>65</v>
      </c>
    </row>
    <row r="61" spans="1:45" ht="19.5" customHeight="1" thickBot="1" x14ac:dyDescent="0.3">
      <c r="A61" s="377"/>
      <c r="C61" s="307" t="s">
        <v>696</v>
      </c>
      <c r="D61" s="84"/>
      <c r="E61" s="182" t="s">
        <v>273</v>
      </c>
      <c r="I61" s="4"/>
      <c r="J61" s="15" t="s">
        <v>44</v>
      </c>
      <c r="K61" s="10" t="s">
        <v>744</v>
      </c>
      <c r="L61" s="10">
        <v>1.1299999999999999</v>
      </c>
      <c r="M61" s="10">
        <v>0.25929999999999997</v>
      </c>
      <c r="N61" s="10">
        <v>506.55</v>
      </c>
      <c r="O61" s="10">
        <v>0.27639999999999998</v>
      </c>
      <c r="P61" s="53">
        <v>74.078999999999994</v>
      </c>
      <c r="Q61" s="10" t="s">
        <v>446</v>
      </c>
      <c r="R61" s="10">
        <v>13.557</v>
      </c>
      <c r="S61" s="10">
        <v>-187.3</v>
      </c>
      <c r="T61" s="10">
        <v>-3.6591999999999998</v>
      </c>
      <c r="U61" s="15"/>
      <c r="V61" s="15"/>
      <c r="W61" s="12"/>
      <c r="X61" s="10" t="s">
        <v>170</v>
      </c>
      <c r="Y61" s="10">
        <v>61260</v>
      </c>
      <c r="Z61" s="10">
        <v>270.89999999999998</v>
      </c>
      <c r="AA61" s="10"/>
      <c r="AB61" s="15"/>
      <c r="AC61" s="15"/>
      <c r="AD61" s="15" t="s">
        <v>44</v>
      </c>
      <c r="AE61" s="10" t="s">
        <v>448</v>
      </c>
      <c r="AF61" s="162">
        <v>0.2777</v>
      </c>
      <c r="AG61" s="159">
        <f>-4.17/10000</f>
        <v>-4.17E-4</v>
      </c>
      <c r="AH61" s="10"/>
      <c r="AI61" s="15"/>
      <c r="AJ61" s="5"/>
      <c r="AL61" s="319">
        <v>-98</v>
      </c>
      <c r="AM61" s="100">
        <v>234</v>
      </c>
      <c r="AN61" s="99">
        <v>-23</v>
      </c>
      <c r="AO61" s="100">
        <v>152</v>
      </c>
      <c r="AP61" s="105">
        <v>-20</v>
      </c>
      <c r="AQ61" s="106">
        <v>100</v>
      </c>
      <c r="AR61" s="105">
        <v>-98</v>
      </c>
      <c r="AS61" s="106">
        <v>113</v>
      </c>
    </row>
    <row r="62" spans="1:45" ht="18" customHeight="1" x14ac:dyDescent="0.2">
      <c r="A62" s="377"/>
      <c r="I62" s="4"/>
      <c r="J62" s="130" t="s">
        <v>48</v>
      </c>
      <c r="K62" s="131" t="s">
        <v>745</v>
      </c>
      <c r="L62" s="131">
        <v>0.77610000000000001</v>
      </c>
      <c r="M62" s="131">
        <v>0.25068000000000001</v>
      </c>
      <c r="N62" s="131">
        <v>566</v>
      </c>
      <c r="O62" s="131">
        <v>0.29772999999999999</v>
      </c>
      <c r="P62" s="132">
        <v>100.116</v>
      </c>
      <c r="Q62" s="131" t="s">
        <v>449</v>
      </c>
      <c r="R62" s="131">
        <v>-9.9000000000000005E-2</v>
      </c>
      <c r="S62" s="131">
        <v>496</v>
      </c>
      <c r="T62" s="131">
        <v>-1.5939000000000001</v>
      </c>
      <c r="U62" s="130"/>
      <c r="V62" s="130"/>
      <c r="W62" s="137"/>
      <c r="X62" s="131" t="s">
        <v>171</v>
      </c>
      <c r="Y62" s="131">
        <v>255100</v>
      </c>
      <c r="Z62" s="131">
        <v>-938.4</v>
      </c>
      <c r="AA62" s="131">
        <v>2413</v>
      </c>
      <c r="AB62" s="130"/>
      <c r="AC62" s="130"/>
      <c r="AD62" s="130" t="s">
        <v>48</v>
      </c>
      <c r="AE62" s="131" t="s">
        <v>451</v>
      </c>
      <c r="AF62" s="162">
        <v>0.25829999999999997</v>
      </c>
      <c r="AG62" s="159">
        <f>-3.79/10000</f>
        <v>-3.79E-4</v>
      </c>
      <c r="AH62" s="131"/>
      <c r="AI62" s="130"/>
      <c r="AJ62" s="5"/>
      <c r="AL62" s="319">
        <v>-48</v>
      </c>
      <c r="AM62" s="100">
        <v>293</v>
      </c>
      <c r="AN62" s="99">
        <v>-13</v>
      </c>
      <c r="AO62" s="100">
        <v>127</v>
      </c>
      <c r="AP62" s="105">
        <v>-48</v>
      </c>
      <c r="AQ62" s="106">
        <v>101</v>
      </c>
      <c r="AR62" s="105">
        <v>-109</v>
      </c>
      <c r="AS62" s="106">
        <v>55</v>
      </c>
    </row>
    <row r="63" spans="1:45" ht="18" customHeight="1" x14ac:dyDescent="0.25">
      <c r="A63" s="377"/>
      <c r="C63" s="68" t="s">
        <v>193</v>
      </c>
      <c r="D63" s="113">
        <f>IF(D11="Other Fluid",D61,C52)</f>
        <v>4181.2991010935575</v>
      </c>
      <c r="E63" s="85" t="s">
        <v>688</v>
      </c>
      <c r="F63" s="59" t="str">
        <f>IF(D$18="Other Fluid","     (manual entry)","     (from menu selection)")</f>
        <v xml:space="preserve">     (from menu selection)</v>
      </c>
      <c r="I63" s="4"/>
      <c r="J63" s="15" t="s">
        <v>49</v>
      </c>
      <c r="K63" s="10" t="s">
        <v>746</v>
      </c>
      <c r="L63" s="10">
        <v>0.92800000000000005</v>
      </c>
      <c r="M63" s="10">
        <v>0.28899999999999998</v>
      </c>
      <c r="N63" s="10">
        <v>497.1</v>
      </c>
      <c r="O63" s="10">
        <v>0.28599999999999998</v>
      </c>
      <c r="P63" s="53">
        <v>88.147999999999996</v>
      </c>
      <c r="Q63" s="10" t="s">
        <v>452</v>
      </c>
      <c r="R63" s="10">
        <v>-6.9210000000000003</v>
      </c>
      <c r="S63" s="10">
        <v>790.77300000000002</v>
      </c>
      <c r="T63" s="10">
        <v>-0.65400000000000003</v>
      </c>
      <c r="U63" s="15"/>
      <c r="V63" s="15"/>
      <c r="W63" s="12"/>
      <c r="X63" s="10" t="s">
        <v>172</v>
      </c>
      <c r="Y63" s="10">
        <v>134300</v>
      </c>
      <c r="Z63" s="10">
        <v>94.355999999999995</v>
      </c>
      <c r="AA63" s="10">
        <v>-3.2000000000000002E-3</v>
      </c>
      <c r="AB63" s="15">
        <v>9.794999999999999E-4</v>
      </c>
      <c r="AC63" s="15"/>
      <c r="AD63" s="15" t="s">
        <v>49</v>
      </c>
      <c r="AE63" s="10" t="s">
        <v>453</v>
      </c>
      <c r="AF63" s="162">
        <v>0.2253</v>
      </c>
      <c r="AG63" s="153">
        <f>-3.7273/10000</f>
        <v>-3.7272999999999999E-4</v>
      </c>
      <c r="AH63" s="10">
        <f>1.1728/10000000</f>
        <v>1.1728E-7</v>
      </c>
      <c r="AI63" s="15"/>
      <c r="AJ63" s="5"/>
      <c r="AL63" s="319">
        <v>-108</v>
      </c>
      <c r="AM63" s="100">
        <v>224</v>
      </c>
      <c r="AN63" s="99">
        <v>-108</v>
      </c>
      <c r="AO63" s="100">
        <v>177</v>
      </c>
      <c r="AP63" s="105">
        <v>-109</v>
      </c>
      <c r="AQ63" s="106">
        <v>55</v>
      </c>
      <c r="AR63" s="105">
        <v>-109</v>
      </c>
      <c r="AS63" s="106">
        <v>55</v>
      </c>
    </row>
    <row r="64" spans="1:45" ht="15.75" customHeight="1" x14ac:dyDescent="0.2">
      <c r="A64" s="377"/>
      <c r="C64" s="129" t="s">
        <v>262</v>
      </c>
      <c r="D64" s="313"/>
      <c r="E64" s="314"/>
      <c r="I64" s="4"/>
      <c r="J64" s="130" t="s">
        <v>45</v>
      </c>
      <c r="K64" s="131" t="s">
        <v>747</v>
      </c>
      <c r="L64" s="131">
        <v>0.73109000000000002</v>
      </c>
      <c r="M64" s="131">
        <v>0.26971000000000001</v>
      </c>
      <c r="N64" s="131">
        <v>572.1</v>
      </c>
      <c r="O64" s="131">
        <v>0.29185</v>
      </c>
      <c r="P64" s="132">
        <v>98.186000000000007</v>
      </c>
      <c r="Q64" s="131" t="s">
        <v>454</v>
      </c>
      <c r="R64" s="131">
        <v>-11.358000000000001</v>
      </c>
      <c r="S64" s="131">
        <v>1213.0999999999999</v>
      </c>
      <c r="T64" s="130"/>
      <c r="U64" s="130"/>
      <c r="V64" s="130"/>
      <c r="W64" s="137"/>
      <c r="X64" s="131" t="s">
        <v>173</v>
      </c>
      <c r="Y64" s="131">
        <v>131340</v>
      </c>
      <c r="Z64" s="131">
        <v>-63.1</v>
      </c>
      <c r="AA64" s="130">
        <v>0.8125</v>
      </c>
      <c r="AB64" s="130"/>
      <c r="AC64" s="130"/>
      <c r="AD64" s="130" t="s">
        <v>45</v>
      </c>
      <c r="AE64" s="131" t="s">
        <v>456</v>
      </c>
      <c r="AF64" s="162">
        <v>0.17910000000000001</v>
      </c>
      <c r="AG64" s="154">
        <f>-2.291/10000</f>
        <v>-2.2909999999999999E-4</v>
      </c>
      <c r="AH64" s="130"/>
      <c r="AI64" s="130"/>
      <c r="AJ64" s="5"/>
      <c r="AL64" s="319">
        <v>-147</v>
      </c>
      <c r="AM64" s="100">
        <v>299</v>
      </c>
      <c r="AN64" s="99">
        <v>-126</v>
      </c>
      <c r="AO64" s="100">
        <v>185</v>
      </c>
      <c r="AP64" s="105">
        <v>-127</v>
      </c>
      <c r="AQ64" s="106">
        <v>47</v>
      </c>
      <c r="AR64" s="105">
        <v>0</v>
      </c>
      <c r="AS64" s="106">
        <v>101</v>
      </c>
    </row>
    <row r="65" spans="1:45" ht="16.5" customHeight="1" x14ac:dyDescent="0.2">
      <c r="A65" s="377"/>
      <c r="D65" s="230"/>
      <c r="E65" s="230"/>
      <c r="I65" s="4"/>
      <c r="J65" s="15" t="s">
        <v>46</v>
      </c>
      <c r="K65" s="10" t="s">
        <v>457</v>
      </c>
      <c r="L65" s="10">
        <v>0.93767</v>
      </c>
      <c r="M65" s="10">
        <v>0.25035000000000002</v>
      </c>
      <c r="N65" s="10">
        <v>535.5</v>
      </c>
      <c r="O65" s="10">
        <v>0.29984</v>
      </c>
      <c r="P65" s="53">
        <v>72.105999999999995</v>
      </c>
      <c r="Q65" s="10" t="s">
        <v>457</v>
      </c>
      <c r="R65" s="10">
        <v>-1.0598000000000001</v>
      </c>
      <c r="S65" s="10">
        <v>520.67999999999995</v>
      </c>
      <c r="T65" s="10">
        <v>-1.4961</v>
      </c>
      <c r="U65" s="15"/>
      <c r="V65" s="15"/>
      <c r="W65" s="12"/>
      <c r="X65" s="10" t="s">
        <v>174</v>
      </c>
      <c r="Y65" s="10">
        <v>132300</v>
      </c>
      <c r="Z65" s="10">
        <v>200.87</v>
      </c>
      <c r="AA65" s="10">
        <v>-0.9597</v>
      </c>
      <c r="AB65" s="15">
        <v>1.9532999999999998E-3</v>
      </c>
      <c r="AC65" s="15"/>
      <c r="AD65" s="15" t="s">
        <v>46</v>
      </c>
      <c r="AE65" s="10" t="s">
        <v>459</v>
      </c>
      <c r="AF65" s="162">
        <v>0.21970000000000001</v>
      </c>
      <c r="AG65" s="154">
        <f>-2.505/10000</f>
        <v>-2.5049999999999996E-4</v>
      </c>
      <c r="AH65" s="10"/>
      <c r="AI65" s="15"/>
      <c r="AJ65" s="5"/>
      <c r="AL65" s="319">
        <v>-87</v>
      </c>
      <c r="AM65" s="100">
        <v>263</v>
      </c>
      <c r="AN65" s="99">
        <v>-87</v>
      </c>
      <c r="AO65" s="100">
        <v>263</v>
      </c>
      <c r="AP65" s="105">
        <v>-87</v>
      </c>
      <c r="AQ65" s="106">
        <v>100</v>
      </c>
      <c r="AR65" s="105">
        <v>-87</v>
      </c>
      <c r="AS65" s="106">
        <v>80</v>
      </c>
    </row>
    <row r="66" spans="1:45" x14ac:dyDescent="0.2">
      <c r="I66" s="4"/>
      <c r="J66" s="130" t="s">
        <v>47</v>
      </c>
      <c r="K66" s="131" t="s">
        <v>748</v>
      </c>
      <c r="L66" s="131">
        <v>0.71687000000000001</v>
      </c>
      <c r="M66" s="131">
        <v>0.26452999999999999</v>
      </c>
      <c r="N66" s="131">
        <v>574.6</v>
      </c>
      <c r="O66" s="131">
        <v>0.28917999999999999</v>
      </c>
      <c r="P66" s="132">
        <v>100.15900000000001</v>
      </c>
      <c r="Q66" s="131" t="s">
        <v>460</v>
      </c>
      <c r="R66" s="131">
        <v>-11.394</v>
      </c>
      <c r="S66" s="131">
        <v>1168.7</v>
      </c>
      <c r="T66" s="131">
        <v>-7.5389999999999997E-3</v>
      </c>
      <c r="U66" s="130"/>
      <c r="V66" s="130"/>
      <c r="W66" s="137"/>
      <c r="X66" s="131" t="s">
        <v>119</v>
      </c>
      <c r="Y66" s="131">
        <v>183650</v>
      </c>
      <c r="Z66" s="131">
        <v>-79.861999999999995</v>
      </c>
      <c r="AA66" s="131">
        <v>0.60768999999999995</v>
      </c>
      <c r="AB66" s="130"/>
      <c r="AC66" s="130"/>
      <c r="AD66" s="130" t="s">
        <v>47</v>
      </c>
      <c r="AE66" s="131" t="s">
        <v>462</v>
      </c>
      <c r="AF66" s="162">
        <v>0.2301</v>
      </c>
      <c r="AG66" s="153">
        <f>-2.8899/10000</f>
        <v>-2.8898999999999998E-4</v>
      </c>
      <c r="AH66" s="131"/>
      <c r="AI66" s="130"/>
      <c r="AJ66" s="5"/>
      <c r="AL66" s="319">
        <v>-84</v>
      </c>
      <c r="AM66" s="100">
        <v>301</v>
      </c>
      <c r="AN66" s="99">
        <v>-84</v>
      </c>
      <c r="AO66" s="100">
        <v>116</v>
      </c>
      <c r="AP66" s="105">
        <v>-84</v>
      </c>
      <c r="AQ66" s="106">
        <v>116</v>
      </c>
      <c r="AR66" s="105">
        <v>-84</v>
      </c>
      <c r="AS66" s="106">
        <v>178</v>
      </c>
    </row>
    <row r="67" spans="1:45" ht="16.5" thickBot="1" x14ac:dyDescent="0.3">
      <c r="A67" s="377" t="s">
        <v>258</v>
      </c>
      <c r="E67" s="174" t="s">
        <v>276</v>
      </c>
      <c r="I67" s="4"/>
      <c r="J67" s="15" t="s">
        <v>72</v>
      </c>
      <c r="K67" s="10" t="s">
        <v>749</v>
      </c>
      <c r="L67" s="10">
        <v>0.68901999999999997</v>
      </c>
      <c r="M67" s="10">
        <v>0.26085999999999998</v>
      </c>
      <c r="N67" s="10">
        <v>617</v>
      </c>
      <c r="O67" s="10">
        <v>0.27478999999999998</v>
      </c>
      <c r="P67" s="53">
        <v>106.16500000000001</v>
      </c>
      <c r="Q67" s="10" t="s">
        <v>463</v>
      </c>
      <c r="R67" s="10">
        <v>-11.91</v>
      </c>
      <c r="S67" s="10">
        <v>1094.9000000000001</v>
      </c>
      <c r="T67" s="10">
        <v>0.13825000000000001</v>
      </c>
      <c r="U67" s="15"/>
      <c r="V67" s="15"/>
      <c r="W67" s="12"/>
      <c r="X67" s="10" t="s">
        <v>175</v>
      </c>
      <c r="Y67" s="10">
        <v>133860</v>
      </c>
      <c r="Z67" s="10">
        <v>78754</v>
      </c>
      <c r="AA67" s="10">
        <v>0.52264999999999995</v>
      </c>
      <c r="AB67" s="15"/>
      <c r="AC67" s="15"/>
      <c r="AD67" s="15" t="s">
        <v>72</v>
      </c>
      <c r="AE67" s="10" t="s">
        <v>465</v>
      </c>
      <c r="AF67" s="160">
        <v>0.20044000000000001</v>
      </c>
      <c r="AG67" s="153">
        <f>-2.3544/10000</f>
        <v>-2.3544000000000001E-4</v>
      </c>
      <c r="AH67" s="10"/>
      <c r="AI67" s="15"/>
      <c r="AJ67" s="5"/>
      <c r="AL67" s="319">
        <v>-48</v>
      </c>
      <c r="AM67" s="100">
        <v>344</v>
      </c>
      <c r="AN67" s="99">
        <v>-48</v>
      </c>
      <c r="AO67" s="100">
        <v>140</v>
      </c>
      <c r="AP67" s="105">
        <v>-56</v>
      </c>
      <c r="AQ67" s="106">
        <v>267</v>
      </c>
      <c r="AR67" s="105">
        <v>-48</v>
      </c>
      <c r="AS67" s="106">
        <v>140</v>
      </c>
    </row>
    <row r="68" spans="1:45" ht="13.5" customHeight="1" x14ac:dyDescent="0.25">
      <c r="A68" s="377"/>
      <c r="C68" s="378" t="s">
        <v>252</v>
      </c>
      <c r="D68" s="379"/>
      <c r="E68" s="174" t="s">
        <v>277</v>
      </c>
      <c r="I68" s="4"/>
      <c r="J68" s="130" t="s">
        <v>50</v>
      </c>
      <c r="K68" s="131" t="s">
        <v>750</v>
      </c>
      <c r="L68" s="131">
        <v>0.46321000000000001</v>
      </c>
      <c r="M68" s="131">
        <v>0.25444</v>
      </c>
      <c r="N68" s="131">
        <v>594.6</v>
      </c>
      <c r="O68" s="131">
        <v>0.28571000000000002</v>
      </c>
      <c r="P68" s="132">
        <v>128.255</v>
      </c>
      <c r="Q68" s="131" t="s">
        <v>466</v>
      </c>
      <c r="R68" s="131">
        <v>-68.540000000000006</v>
      </c>
      <c r="S68" s="131">
        <v>3165.3</v>
      </c>
      <c r="T68" s="131">
        <v>9.0919000000000008</v>
      </c>
      <c r="U68" s="130"/>
      <c r="V68" s="130"/>
      <c r="W68" s="137"/>
      <c r="X68" s="131" t="s">
        <v>176</v>
      </c>
      <c r="Y68" s="131">
        <v>383080</v>
      </c>
      <c r="Z68" s="131">
        <v>-1139.8</v>
      </c>
      <c r="AA68" s="131">
        <v>2.7101000000000002</v>
      </c>
      <c r="AB68" s="130"/>
      <c r="AC68" s="130"/>
      <c r="AD68" s="130" t="s">
        <v>50</v>
      </c>
      <c r="AE68" s="131" t="s">
        <v>468</v>
      </c>
      <c r="AF68" s="167">
        <v>0.20899999999999999</v>
      </c>
      <c r="AG68" s="159">
        <f>-2.64/10000</f>
        <v>-2.6400000000000002E-4</v>
      </c>
      <c r="AH68" s="131"/>
      <c r="AI68" s="156"/>
      <c r="AJ68" s="5"/>
      <c r="AL68" s="319">
        <v>-53</v>
      </c>
      <c r="AM68" s="100">
        <v>321</v>
      </c>
      <c r="AN68" s="99">
        <v>-55</v>
      </c>
      <c r="AO68" s="100">
        <v>320</v>
      </c>
      <c r="AP68" s="105">
        <v>-53</v>
      </c>
      <c r="AQ68" s="106">
        <v>52</v>
      </c>
      <c r="AR68" s="105">
        <v>-53</v>
      </c>
      <c r="AS68" s="106">
        <v>151</v>
      </c>
    </row>
    <row r="69" spans="1:45" ht="15.75" x14ac:dyDescent="0.25">
      <c r="A69" s="377"/>
      <c r="C69" s="172">
        <f>AE11</f>
        <v>0.61181693566556583</v>
      </c>
      <c r="D69" s="247" t="s">
        <v>689</v>
      </c>
      <c r="E69" s="183" t="s">
        <v>278</v>
      </c>
      <c r="I69" s="4"/>
      <c r="J69" s="15" t="s">
        <v>51</v>
      </c>
      <c r="K69" s="10" t="s">
        <v>751</v>
      </c>
      <c r="L69" s="10">
        <v>0.52659999999999996</v>
      </c>
      <c r="M69" s="10">
        <v>0.25692999999999999</v>
      </c>
      <c r="N69" s="10">
        <v>568.70000000000005</v>
      </c>
      <c r="O69" s="10">
        <v>0.28571000000000002</v>
      </c>
      <c r="P69" s="53">
        <v>114.229</v>
      </c>
      <c r="Q69" s="10" t="s">
        <v>469</v>
      </c>
      <c r="R69" s="10">
        <v>-7.556</v>
      </c>
      <c r="S69" s="10">
        <v>881.09</v>
      </c>
      <c r="T69" s="10">
        <v>-0.52502000000000004</v>
      </c>
      <c r="U69" s="15">
        <f>4.6342*1E+22</f>
        <v>4.6342000000000003E+22</v>
      </c>
      <c r="V69" s="10">
        <v>-10</v>
      </c>
      <c r="W69" s="12"/>
      <c r="X69" s="10" t="s">
        <v>177</v>
      </c>
      <c r="Y69" s="10">
        <v>224830</v>
      </c>
      <c r="Z69" s="10">
        <v>-186.63</v>
      </c>
      <c r="AA69" s="10">
        <v>0.95891000000000004</v>
      </c>
      <c r="AB69" s="15"/>
      <c r="AC69" s="10"/>
      <c r="AD69" s="15" t="s">
        <v>51</v>
      </c>
      <c r="AE69" s="10" t="s">
        <v>471</v>
      </c>
      <c r="AF69" s="162">
        <v>0.21560000000000001</v>
      </c>
      <c r="AG69" s="153">
        <f>-2.9483/10000</f>
        <v>-2.9482999999999999E-4</v>
      </c>
      <c r="AH69" s="10"/>
      <c r="AI69" s="15"/>
      <c r="AJ69" s="8"/>
      <c r="AL69" s="319">
        <v>-57</v>
      </c>
      <c r="AM69" s="100">
        <v>296</v>
      </c>
      <c r="AN69" s="99">
        <v>-62</v>
      </c>
      <c r="AO69" s="100">
        <v>182</v>
      </c>
      <c r="AP69" s="105">
        <v>-57</v>
      </c>
      <c r="AQ69" s="106">
        <v>187</v>
      </c>
      <c r="AR69" s="105">
        <v>-57</v>
      </c>
      <c r="AS69" s="106">
        <v>126</v>
      </c>
    </row>
    <row r="70" spans="1:45" ht="16.5" thickBot="1" x14ac:dyDescent="0.3">
      <c r="A70" s="377"/>
      <c r="C70" s="6" t="s">
        <v>253</v>
      </c>
      <c r="D70" s="78" t="str">
        <f>AE10</f>
        <v xml:space="preserve"> 0 to 360</v>
      </c>
      <c r="E70" s="183" t="s">
        <v>279</v>
      </c>
      <c r="I70" s="4"/>
      <c r="J70" s="130" t="s">
        <v>52</v>
      </c>
      <c r="K70" s="131" t="s">
        <v>752</v>
      </c>
      <c r="L70" s="131">
        <v>0.48250999999999999</v>
      </c>
      <c r="M70" s="131">
        <v>0.25196000000000002</v>
      </c>
      <c r="N70" s="131">
        <v>694.26</v>
      </c>
      <c r="O70" s="131">
        <v>0.26841999999999999</v>
      </c>
      <c r="P70" s="132">
        <v>144.21100000000001</v>
      </c>
      <c r="Q70" s="131" t="s">
        <v>472</v>
      </c>
      <c r="R70" s="131">
        <v>-60.795000000000002</v>
      </c>
      <c r="S70" s="131">
        <v>4617.8</v>
      </c>
      <c r="T70" s="131">
        <v>7.0279999999999996</v>
      </c>
      <c r="U70" s="130"/>
      <c r="V70" s="130"/>
      <c r="W70" s="137"/>
      <c r="X70" s="131" t="s">
        <v>178</v>
      </c>
      <c r="Y70" s="131">
        <v>205260</v>
      </c>
      <c r="Z70" s="131">
        <v>44.392000000000003</v>
      </c>
      <c r="AA70" s="131">
        <v>0.89559999999999995</v>
      </c>
      <c r="AB70" s="130"/>
      <c r="AC70" s="130"/>
      <c r="AD70" s="130" t="s">
        <v>52</v>
      </c>
      <c r="AE70" s="131" t="s">
        <v>472</v>
      </c>
      <c r="AF70" s="167">
        <v>0.20300000000000001</v>
      </c>
      <c r="AG70" s="168">
        <f>-2/10000</f>
        <v>-2.0000000000000001E-4</v>
      </c>
      <c r="AH70" s="131"/>
      <c r="AI70" s="130"/>
      <c r="AJ70" s="5"/>
      <c r="AL70" s="319">
        <v>17</v>
      </c>
      <c r="AM70" s="100">
        <v>421</v>
      </c>
      <c r="AN70" s="99">
        <v>17</v>
      </c>
      <c r="AO70" s="100">
        <v>240</v>
      </c>
      <c r="AP70" s="105">
        <v>17</v>
      </c>
      <c r="AQ70" s="106">
        <v>239</v>
      </c>
      <c r="AR70" s="105">
        <v>17</v>
      </c>
      <c r="AS70" s="106">
        <v>240</v>
      </c>
    </row>
    <row r="71" spans="1:45" x14ac:dyDescent="0.2">
      <c r="A71" s="377"/>
      <c r="I71" s="4"/>
      <c r="J71" s="180" t="s">
        <v>269</v>
      </c>
      <c r="K71" s="131"/>
      <c r="L71" s="13"/>
      <c r="M71" s="13"/>
      <c r="N71" s="13"/>
      <c r="O71" s="13"/>
      <c r="P71" s="88"/>
      <c r="Q71" s="131"/>
      <c r="R71" s="13"/>
      <c r="S71" s="13"/>
      <c r="T71" s="13"/>
      <c r="U71" s="175"/>
      <c r="V71" s="175"/>
      <c r="W71" s="17"/>
      <c r="X71" s="131"/>
      <c r="Y71" s="13"/>
      <c r="Z71" s="13"/>
      <c r="AA71" s="13"/>
      <c r="AB71" s="175"/>
      <c r="AC71" s="175"/>
      <c r="AD71" s="180" t="s">
        <v>269</v>
      </c>
      <c r="AE71" s="131"/>
      <c r="AF71" s="160"/>
      <c r="AG71" s="154"/>
      <c r="AH71" s="13"/>
      <c r="AI71" s="175"/>
      <c r="AJ71" s="181"/>
      <c r="AL71" s="319"/>
      <c r="AM71" s="100"/>
      <c r="AN71" s="99"/>
      <c r="AO71" s="100"/>
      <c r="AP71" s="105"/>
      <c r="AQ71" s="106"/>
      <c r="AR71" s="105"/>
      <c r="AS71" s="106"/>
    </row>
    <row r="72" spans="1:45" ht="15" x14ac:dyDescent="0.25">
      <c r="A72" s="377"/>
      <c r="C72" s="380" t="s">
        <v>254</v>
      </c>
      <c r="D72" s="380"/>
      <c r="I72" s="4"/>
      <c r="J72" s="15" t="s">
        <v>73</v>
      </c>
      <c r="K72" s="10" t="s">
        <v>753</v>
      </c>
      <c r="L72" s="10">
        <v>0.69962000000000002</v>
      </c>
      <c r="M72" s="10">
        <v>0.26143</v>
      </c>
      <c r="N72" s="10">
        <v>630.29999999999995</v>
      </c>
      <c r="O72" s="10">
        <v>0.27365</v>
      </c>
      <c r="P72" s="53">
        <v>106.16500000000001</v>
      </c>
      <c r="Q72" s="10" t="s">
        <v>474</v>
      </c>
      <c r="R72" s="10">
        <v>-15.489000000000001</v>
      </c>
      <c r="S72" s="10">
        <v>1393.5</v>
      </c>
      <c r="T72" s="10">
        <v>0.63710999999999995</v>
      </c>
      <c r="U72" s="15"/>
      <c r="V72" s="15"/>
      <c r="W72" s="12"/>
      <c r="X72" s="10" t="s">
        <v>179</v>
      </c>
      <c r="Y72" s="10">
        <v>36500</v>
      </c>
      <c r="Z72" s="10">
        <v>1017.5</v>
      </c>
      <c r="AA72" s="10">
        <v>-2.63</v>
      </c>
      <c r="AB72" s="15">
        <v>3.0200000000000001E-3</v>
      </c>
      <c r="AC72" s="15"/>
      <c r="AD72" s="15" t="s">
        <v>73</v>
      </c>
      <c r="AE72" s="10" t="s">
        <v>475</v>
      </c>
      <c r="AF72" s="177">
        <v>0.19989000000000001</v>
      </c>
      <c r="AG72" s="178">
        <f>-2.299/10000</f>
        <v>-2.299E-4</v>
      </c>
      <c r="AH72" s="10"/>
      <c r="AI72" s="15"/>
      <c r="AJ72" s="5"/>
      <c r="AL72" s="319">
        <v>-25</v>
      </c>
      <c r="AM72" s="100">
        <v>357</v>
      </c>
      <c r="AN72" s="99">
        <v>-25</v>
      </c>
      <c r="AO72" s="100">
        <v>145</v>
      </c>
      <c r="AP72" s="105">
        <v>-25</v>
      </c>
      <c r="AQ72" s="106">
        <v>144</v>
      </c>
      <c r="AR72" s="105">
        <v>-25</v>
      </c>
      <c r="AS72" s="106">
        <v>144</v>
      </c>
    </row>
    <row r="73" spans="1:45" ht="15.75" thickBot="1" x14ac:dyDescent="0.3">
      <c r="A73" s="377"/>
      <c r="E73" s="59" t="s">
        <v>270</v>
      </c>
      <c r="I73" s="4"/>
      <c r="J73" s="130" t="s">
        <v>55</v>
      </c>
      <c r="K73" s="131" t="s">
        <v>754</v>
      </c>
      <c r="L73" s="131">
        <v>0.25141999999999998</v>
      </c>
      <c r="M73" s="131">
        <v>0.23837</v>
      </c>
      <c r="N73" s="131">
        <v>708</v>
      </c>
      <c r="O73" s="131">
        <v>0.28571000000000002</v>
      </c>
      <c r="P73" s="132">
        <v>212.41499999999999</v>
      </c>
      <c r="Q73" s="131" t="s">
        <v>476</v>
      </c>
      <c r="R73" s="131">
        <v>-19.298999999999999</v>
      </c>
      <c r="S73" s="131">
        <v>2088.6</v>
      </c>
      <c r="T73" s="131">
        <v>1.1091</v>
      </c>
      <c r="U73" s="130"/>
      <c r="V73" s="130"/>
      <c r="W73" s="137"/>
      <c r="X73" s="131" t="s">
        <v>181</v>
      </c>
      <c r="Y73" s="131">
        <v>346910</v>
      </c>
      <c r="Z73" s="131">
        <v>219.54</v>
      </c>
      <c r="AA73" s="131">
        <v>0.65632000000000001</v>
      </c>
      <c r="AB73" s="130"/>
      <c r="AC73" s="130"/>
      <c r="AD73" s="130" t="s">
        <v>55</v>
      </c>
      <c r="AE73" s="131" t="s">
        <v>476</v>
      </c>
      <c r="AF73" s="160">
        <v>0.20649000000000001</v>
      </c>
      <c r="AG73" s="153">
        <f>-2.1911/10000</f>
        <v>-2.1911000000000001E-4</v>
      </c>
      <c r="AH73" s="131"/>
      <c r="AI73" s="130"/>
      <c r="AJ73" s="5"/>
      <c r="AL73" s="319">
        <v>10</v>
      </c>
      <c r="AM73" s="100">
        <v>436</v>
      </c>
      <c r="AN73" s="99">
        <v>10</v>
      </c>
      <c r="AO73" s="100">
        <v>271</v>
      </c>
      <c r="AP73" s="105">
        <v>10</v>
      </c>
      <c r="AQ73" s="106">
        <v>271</v>
      </c>
      <c r="AR73" s="105">
        <v>10</v>
      </c>
      <c r="AS73" s="106">
        <v>271</v>
      </c>
    </row>
    <row r="74" spans="1:45" ht="15" x14ac:dyDescent="0.25">
      <c r="A74" s="377"/>
      <c r="C74" s="378" t="s">
        <v>255</v>
      </c>
      <c r="D74" s="379"/>
      <c r="E74" s="59" t="s">
        <v>271</v>
      </c>
      <c r="I74" s="4"/>
      <c r="J74" s="15" t="s">
        <v>56</v>
      </c>
      <c r="K74" s="10" t="s">
        <v>755</v>
      </c>
      <c r="L74" s="10">
        <v>0.84946999999999995</v>
      </c>
      <c r="M74" s="10">
        <v>0.26726</v>
      </c>
      <c r="N74" s="10">
        <v>469.7</v>
      </c>
      <c r="O74" s="10">
        <v>0.27789000000000003</v>
      </c>
      <c r="P74" s="53">
        <v>72.149000000000001</v>
      </c>
      <c r="Q74" s="10" t="s">
        <v>477</v>
      </c>
      <c r="R74" s="10">
        <v>-53.509</v>
      </c>
      <c r="S74" s="10">
        <v>1836.6</v>
      </c>
      <c r="T74" s="10">
        <v>7.1409000000000002</v>
      </c>
      <c r="U74" s="89">
        <v>-1.9627E-5</v>
      </c>
      <c r="V74" s="10">
        <v>2</v>
      </c>
      <c r="W74" s="12"/>
      <c r="X74" s="10" t="s">
        <v>182</v>
      </c>
      <c r="Y74" s="10">
        <v>159080</v>
      </c>
      <c r="Z74" s="10">
        <v>-270.5</v>
      </c>
      <c r="AA74" s="10">
        <v>0.99536999999999998</v>
      </c>
      <c r="AB74" s="89"/>
      <c r="AC74" s="10"/>
      <c r="AD74" s="15" t="s">
        <v>56</v>
      </c>
      <c r="AE74" s="10" t="s">
        <v>479</v>
      </c>
      <c r="AF74" s="162">
        <v>0.25369999999999998</v>
      </c>
      <c r="AG74" s="159">
        <f>-5.76/10000</f>
        <v>-5.7600000000000001E-4</v>
      </c>
      <c r="AH74" s="131">
        <f>3.44/10000000</f>
        <v>3.4400000000000001E-7</v>
      </c>
      <c r="AI74" s="89"/>
      <c r="AJ74" s="8"/>
      <c r="AL74" s="319">
        <v>-130</v>
      </c>
      <c r="AM74" s="100">
        <v>197</v>
      </c>
      <c r="AN74" s="99">
        <v>-130</v>
      </c>
      <c r="AO74" s="100">
        <v>192</v>
      </c>
      <c r="AP74" s="105">
        <v>-130</v>
      </c>
      <c r="AQ74" s="106">
        <v>117</v>
      </c>
      <c r="AR74" s="105">
        <v>-130</v>
      </c>
      <c r="AS74" s="106">
        <v>172</v>
      </c>
    </row>
    <row r="75" spans="1:45" ht="15" x14ac:dyDescent="0.25">
      <c r="A75" s="377"/>
      <c r="C75" s="7"/>
      <c r="D75" s="8"/>
      <c r="E75" s="59" t="s">
        <v>272</v>
      </c>
      <c r="I75" s="4"/>
      <c r="J75" s="130" t="s">
        <v>57</v>
      </c>
      <c r="K75" s="131" t="s">
        <v>756</v>
      </c>
      <c r="L75" s="131">
        <v>1.3797999999999999</v>
      </c>
      <c r="M75" s="131">
        <v>0.31597999999999998</v>
      </c>
      <c r="N75" s="131">
        <v>694.25</v>
      </c>
      <c r="O75" s="131">
        <v>0.32768000000000003</v>
      </c>
      <c r="P75" s="132">
        <v>94.111000000000004</v>
      </c>
      <c r="Q75" s="131" t="s">
        <v>480</v>
      </c>
      <c r="R75" s="131">
        <v>-43.335000000000001</v>
      </c>
      <c r="S75" s="131">
        <v>3881.7</v>
      </c>
      <c r="T75" s="131">
        <v>4.3982999999999999</v>
      </c>
      <c r="U75" s="130">
        <f>3.0548*1E+24</f>
        <v>3.0548000000000002E+24</v>
      </c>
      <c r="V75" s="131">
        <v>-10</v>
      </c>
      <c r="W75" s="137"/>
      <c r="X75" s="131" t="s">
        <v>183</v>
      </c>
      <c r="Y75" s="131">
        <v>101720</v>
      </c>
      <c r="Z75" s="131">
        <v>317.61</v>
      </c>
      <c r="AA75" s="131"/>
      <c r="AB75" s="130"/>
      <c r="AC75" s="131"/>
      <c r="AD75" s="130" t="s">
        <v>57</v>
      </c>
      <c r="AE75" s="131" t="s">
        <v>482</v>
      </c>
      <c r="AF75" s="160">
        <v>0.18831000000000001</v>
      </c>
      <c r="AG75" s="168">
        <f>-1/10000</f>
        <v>-1E-4</v>
      </c>
      <c r="AH75" s="131"/>
      <c r="AI75" s="130"/>
      <c r="AJ75" s="8"/>
      <c r="AL75" s="319">
        <v>41</v>
      </c>
      <c r="AM75" s="100">
        <v>421</v>
      </c>
      <c r="AN75" s="99">
        <v>18</v>
      </c>
      <c r="AO75" s="100">
        <v>282</v>
      </c>
      <c r="AP75" s="105">
        <v>41</v>
      </c>
      <c r="AQ75" s="106">
        <v>152</v>
      </c>
      <c r="AR75" s="105">
        <v>41</v>
      </c>
      <c r="AS75" s="106">
        <v>182</v>
      </c>
    </row>
    <row r="76" spans="1:45" ht="15.75" thickBot="1" x14ac:dyDescent="0.3">
      <c r="A76" s="377"/>
      <c r="C76" s="307" t="s">
        <v>690</v>
      </c>
      <c r="D76" s="84"/>
      <c r="E76" s="182" t="s">
        <v>273</v>
      </c>
      <c r="I76" s="4"/>
      <c r="J76" s="15" t="s">
        <v>58</v>
      </c>
      <c r="K76" s="10" t="s">
        <v>757</v>
      </c>
      <c r="L76" s="10">
        <v>0.5393</v>
      </c>
      <c r="M76" s="10">
        <v>0.22703999999999999</v>
      </c>
      <c r="N76" s="10">
        <v>791</v>
      </c>
      <c r="O76" s="10">
        <v>0.248</v>
      </c>
      <c r="P76" s="53">
        <v>148.11600000000001</v>
      </c>
      <c r="Q76" s="10" t="s">
        <v>483</v>
      </c>
      <c r="R76" s="10">
        <v>195.25</v>
      </c>
      <c r="S76" s="10">
        <v>-11072</v>
      </c>
      <c r="T76" s="10">
        <v>-29.084</v>
      </c>
      <c r="U76" s="15"/>
      <c r="V76" s="15"/>
      <c r="W76" s="12"/>
      <c r="X76" s="10" t="s">
        <v>120</v>
      </c>
      <c r="Y76" s="10">
        <v>145400</v>
      </c>
      <c r="Z76" s="10">
        <v>252.4</v>
      </c>
      <c r="AA76" s="10"/>
      <c r="AB76" s="15"/>
      <c r="AC76" s="15"/>
      <c r="AD76" s="15" t="s">
        <v>58</v>
      </c>
      <c r="AE76" s="10" t="s">
        <v>483</v>
      </c>
      <c r="AF76" s="162">
        <v>0.22946</v>
      </c>
      <c r="AG76" s="153">
        <f>-2.1345/10000</f>
        <v>-2.1345000000000001E-4</v>
      </c>
      <c r="AH76" s="131"/>
      <c r="AI76" s="15"/>
      <c r="AJ76" s="5"/>
      <c r="AL76" s="319">
        <v>131</v>
      </c>
      <c r="AM76" s="100">
        <v>518</v>
      </c>
      <c r="AN76" s="99">
        <v>131</v>
      </c>
      <c r="AO76" s="100">
        <v>285</v>
      </c>
      <c r="AP76" s="105">
        <v>131</v>
      </c>
      <c r="AQ76" s="106">
        <v>285</v>
      </c>
      <c r="AR76" s="105">
        <v>131</v>
      </c>
      <c r="AS76" s="106">
        <v>285</v>
      </c>
    </row>
    <row r="77" spans="1:45" x14ac:dyDescent="0.2">
      <c r="A77" s="377"/>
      <c r="I77" s="4"/>
      <c r="J77" s="130" t="s">
        <v>61</v>
      </c>
      <c r="K77" s="131" t="s">
        <v>758</v>
      </c>
      <c r="L77" s="131">
        <v>1.0969</v>
      </c>
      <c r="M77" s="131">
        <v>0.25568000000000002</v>
      </c>
      <c r="N77" s="131">
        <v>600.80999999999995</v>
      </c>
      <c r="O77" s="131">
        <v>0.26856999999999998</v>
      </c>
      <c r="P77" s="132">
        <v>74.078999999999994</v>
      </c>
      <c r="Q77" s="131" t="s">
        <v>484</v>
      </c>
      <c r="R77" s="131">
        <v>-23.931999999999999</v>
      </c>
      <c r="S77" s="131">
        <v>1834.6</v>
      </c>
      <c r="T77" s="131">
        <v>1.9124000000000001</v>
      </c>
      <c r="U77" s="130"/>
      <c r="V77" s="130"/>
      <c r="W77" s="137"/>
      <c r="X77" s="131" t="s">
        <v>184</v>
      </c>
      <c r="Y77" s="131">
        <v>213660</v>
      </c>
      <c r="Z77" s="131">
        <v>-702.7</v>
      </c>
      <c r="AA77" s="131">
        <v>1.6605000000000001</v>
      </c>
      <c r="AB77" s="130"/>
      <c r="AC77" s="130"/>
      <c r="AD77" s="130" t="s">
        <v>61</v>
      </c>
      <c r="AE77" s="131" t="s">
        <v>485</v>
      </c>
      <c r="AF77" s="162">
        <v>0.19539999999999999</v>
      </c>
      <c r="AG77" s="159">
        <f>-1.64/10000</f>
        <v>-1.64E-4</v>
      </c>
      <c r="AH77" s="131"/>
      <c r="AI77" s="130"/>
      <c r="AJ77" s="5"/>
      <c r="AL77" s="319">
        <v>-21</v>
      </c>
      <c r="AM77" s="100">
        <v>328</v>
      </c>
      <c r="AN77" s="99">
        <v>-21</v>
      </c>
      <c r="AO77" s="100">
        <v>141</v>
      </c>
      <c r="AP77" s="105">
        <v>-21</v>
      </c>
      <c r="AQ77" s="106">
        <v>141</v>
      </c>
      <c r="AR77" s="105">
        <v>-21</v>
      </c>
      <c r="AS77" s="106">
        <v>270</v>
      </c>
    </row>
    <row r="78" spans="1:45" ht="16.5" customHeight="1" x14ac:dyDescent="0.25">
      <c r="A78" s="377"/>
      <c r="C78" s="68" t="s">
        <v>259</v>
      </c>
      <c r="D78" s="171">
        <f>IF(D26="Other Fluid",D76,C69)</f>
        <v>0.61181693566556583</v>
      </c>
      <c r="E78" s="85" t="s">
        <v>689</v>
      </c>
      <c r="F78" s="59" t="str">
        <f>IF(D$18="Other Fluid","     (manual entry)","     (from menu selection)")</f>
        <v xml:space="preserve">     (from menu selection)</v>
      </c>
      <c r="I78" s="4"/>
      <c r="J78" s="15" t="s">
        <v>62</v>
      </c>
      <c r="K78" s="10" t="s">
        <v>759</v>
      </c>
      <c r="L78" s="10">
        <v>0.57233000000000001</v>
      </c>
      <c r="M78" s="10">
        <v>0.25170999999999999</v>
      </c>
      <c r="N78" s="10">
        <v>638.35</v>
      </c>
      <c r="O78" s="10">
        <v>0.29615999999999998</v>
      </c>
      <c r="P78" s="53">
        <v>120.19199999999999</v>
      </c>
      <c r="Q78" s="10" t="s">
        <v>486</v>
      </c>
      <c r="R78" s="10">
        <v>-18.282</v>
      </c>
      <c r="S78" s="10">
        <v>1549.7</v>
      </c>
      <c r="T78" s="10">
        <v>1.0454000000000001</v>
      </c>
      <c r="U78" s="10"/>
      <c r="V78" s="15"/>
      <c r="W78" s="12"/>
      <c r="X78" s="10" t="s">
        <v>185</v>
      </c>
      <c r="Y78" s="10">
        <v>174380</v>
      </c>
      <c r="Z78" s="10">
        <v>-101.8</v>
      </c>
      <c r="AA78" s="10">
        <v>0.79</v>
      </c>
      <c r="AB78" s="10"/>
      <c r="AC78" s="15"/>
      <c r="AD78" s="15" t="s">
        <v>62</v>
      </c>
      <c r="AE78" s="10" t="s">
        <v>488</v>
      </c>
      <c r="AF78" s="160">
        <v>0.18706999999999999</v>
      </c>
      <c r="AG78" s="153">
        <f>-1.9846/10000</f>
        <v>-1.9845999999999999E-4</v>
      </c>
      <c r="AH78" s="10"/>
      <c r="AI78" s="10"/>
      <c r="AJ78" s="5"/>
      <c r="AL78" s="319">
        <v>-99</v>
      </c>
      <c r="AM78" s="100">
        <v>365</v>
      </c>
      <c r="AN78" s="99">
        <v>-73</v>
      </c>
      <c r="AO78" s="100">
        <v>159</v>
      </c>
      <c r="AP78" s="105">
        <v>-99</v>
      </c>
      <c r="AQ78" s="106">
        <v>159</v>
      </c>
      <c r="AR78" s="105">
        <v>-100</v>
      </c>
      <c r="AS78" s="106">
        <v>310</v>
      </c>
    </row>
    <row r="79" spans="1:45" ht="17.25" customHeight="1" x14ac:dyDescent="0.2">
      <c r="A79" s="377"/>
      <c r="C79" s="129" t="s">
        <v>516</v>
      </c>
      <c r="D79" s="311"/>
      <c r="E79" s="310"/>
      <c r="I79" s="4"/>
      <c r="J79" s="130" t="s">
        <v>74</v>
      </c>
      <c r="K79" s="131" t="s">
        <v>760</v>
      </c>
      <c r="L79" s="131">
        <v>0.67752000000000001</v>
      </c>
      <c r="M79" s="131">
        <v>0.25886999999999999</v>
      </c>
      <c r="N79" s="131">
        <v>616.20000000000005</v>
      </c>
      <c r="O79" s="131">
        <v>0.27595999999999998</v>
      </c>
      <c r="P79" s="132">
        <v>106.16500000000001</v>
      </c>
      <c r="Q79" s="131" t="s">
        <v>489</v>
      </c>
      <c r="R79" s="131">
        <v>-7.3810000000000002</v>
      </c>
      <c r="S79" s="131">
        <v>911.7</v>
      </c>
      <c r="T79" s="131">
        <v>-0.54152</v>
      </c>
      <c r="U79" s="130"/>
      <c r="V79" s="130"/>
      <c r="W79" s="137"/>
      <c r="X79" s="131" t="s">
        <v>180</v>
      </c>
      <c r="Y79" s="131">
        <v>-35500</v>
      </c>
      <c r="Z79" s="131">
        <v>1287.2</v>
      </c>
      <c r="AA79" s="131">
        <v>-2.5990000000000002</v>
      </c>
      <c r="AB79" s="130">
        <v>2.4260000000000002E-3</v>
      </c>
      <c r="AC79" s="130"/>
      <c r="AD79" s="130" t="s">
        <v>74</v>
      </c>
      <c r="AE79" s="131" t="s">
        <v>489</v>
      </c>
      <c r="AF79" s="160">
        <v>0.20003000000000001</v>
      </c>
      <c r="AG79" s="153">
        <f>-2.3573/10000</f>
        <v>-2.3572999999999999E-4</v>
      </c>
      <c r="AH79" s="131"/>
      <c r="AI79" s="130"/>
      <c r="AJ79" s="5"/>
      <c r="AL79" s="319">
        <v>13</v>
      </c>
      <c r="AM79" s="100">
        <v>343</v>
      </c>
      <c r="AN79" s="99">
        <v>13</v>
      </c>
      <c r="AO79" s="100">
        <v>140</v>
      </c>
      <c r="AP79" s="105">
        <v>13</v>
      </c>
      <c r="AQ79" s="106">
        <v>327</v>
      </c>
      <c r="AR79" s="105">
        <v>13</v>
      </c>
      <c r="AS79" s="106">
        <v>140</v>
      </c>
    </row>
    <row r="80" spans="1:45" ht="17.25" customHeight="1" x14ac:dyDescent="0.2">
      <c r="A80" s="377"/>
      <c r="I80" s="4"/>
      <c r="J80" s="15" t="s">
        <v>64</v>
      </c>
      <c r="K80" s="10" t="s">
        <v>761</v>
      </c>
      <c r="L80" s="10">
        <v>0.73970000000000002</v>
      </c>
      <c r="M80" s="10">
        <v>0.26029999999999998</v>
      </c>
      <c r="N80" s="10">
        <v>636</v>
      </c>
      <c r="O80" s="10">
        <v>0.3009</v>
      </c>
      <c r="P80" s="53">
        <v>104.149</v>
      </c>
      <c r="Q80" s="10" t="s">
        <v>491</v>
      </c>
      <c r="R80" s="10">
        <v>-22.675000000000001</v>
      </c>
      <c r="S80" s="10">
        <v>1758</v>
      </c>
      <c r="T80" s="10">
        <v>1.6700999999999999</v>
      </c>
      <c r="U80" s="15"/>
      <c r="V80" s="15"/>
      <c r="W80" s="12"/>
      <c r="X80" s="10" t="s">
        <v>186</v>
      </c>
      <c r="Y80" s="10">
        <v>113340</v>
      </c>
      <c r="Z80" s="10">
        <v>290.2</v>
      </c>
      <c r="AA80" s="10">
        <v>-0.60509999999999997</v>
      </c>
      <c r="AB80" s="15">
        <v>1.3567E-3</v>
      </c>
      <c r="AC80" s="15"/>
      <c r="AD80" s="15" t="s">
        <v>64</v>
      </c>
      <c r="AE80" s="10" t="s">
        <v>492</v>
      </c>
      <c r="AF80" s="160">
        <v>0.20215</v>
      </c>
      <c r="AG80" s="154">
        <f>-2.201/10000</f>
        <v>-2.2010000000000001E-4</v>
      </c>
      <c r="AH80" s="10"/>
      <c r="AI80" s="15"/>
      <c r="AJ80" s="5"/>
      <c r="AL80" s="319">
        <v>-30</v>
      </c>
      <c r="AM80" s="100">
        <v>363</v>
      </c>
      <c r="AN80" s="99">
        <v>-30</v>
      </c>
      <c r="AO80" s="100">
        <v>145</v>
      </c>
      <c r="AP80" s="105">
        <v>-31</v>
      </c>
      <c r="AQ80" s="106">
        <v>145</v>
      </c>
      <c r="AR80" s="105">
        <v>-31</v>
      </c>
      <c r="AS80" s="106">
        <v>145</v>
      </c>
    </row>
    <row r="81" spans="1:45" x14ac:dyDescent="0.2">
      <c r="A81" s="377"/>
      <c r="I81" s="4"/>
      <c r="J81" s="130" t="s">
        <v>65</v>
      </c>
      <c r="K81" s="131" t="s">
        <v>762</v>
      </c>
      <c r="L81" s="131">
        <v>1.2543</v>
      </c>
      <c r="M81" s="131">
        <v>0.28083999999999998</v>
      </c>
      <c r="N81" s="131">
        <v>540.15</v>
      </c>
      <c r="O81" s="131">
        <v>0.29120000000000001</v>
      </c>
      <c r="P81" s="132">
        <v>72.105999999999995</v>
      </c>
      <c r="Q81" s="131" t="s">
        <v>493</v>
      </c>
      <c r="R81" s="131">
        <v>-10.321</v>
      </c>
      <c r="S81" s="131">
        <v>900.92</v>
      </c>
      <c r="T81" s="131">
        <v>-6.9127999999999995E-2</v>
      </c>
      <c r="U81" s="130"/>
      <c r="V81" s="130"/>
      <c r="W81" s="137"/>
      <c r="X81" s="131" t="s">
        <v>187</v>
      </c>
      <c r="Y81" s="131">
        <v>171730</v>
      </c>
      <c r="Z81" s="131">
        <v>-800.47</v>
      </c>
      <c r="AA81" s="131">
        <v>2.8934000000000002</v>
      </c>
      <c r="AB81" s="130">
        <v>-2.5014999999999998E-3</v>
      </c>
      <c r="AC81" s="130"/>
      <c r="AD81" s="130" t="s">
        <v>65</v>
      </c>
      <c r="AE81" s="131" t="s">
        <v>494</v>
      </c>
      <c r="AF81" s="160">
        <v>0.19428000000000001</v>
      </c>
      <c r="AG81" s="159">
        <f>-2.49/10000</f>
        <v>-2.4900000000000004E-4</v>
      </c>
      <c r="AH81" s="131"/>
      <c r="AI81" s="130"/>
      <c r="AJ81" s="5"/>
      <c r="AL81" s="319">
        <v>-108</v>
      </c>
      <c r="AM81" s="100">
        <v>267</v>
      </c>
      <c r="AN81" s="99">
        <v>-108</v>
      </c>
      <c r="AO81" s="100">
        <v>100</v>
      </c>
      <c r="AP81" s="105">
        <v>-108</v>
      </c>
      <c r="AQ81" s="106">
        <v>66</v>
      </c>
      <c r="AR81" s="105">
        <v>-108</v>
      </c>
      <c r="AS81" s="106">
        <v>66</v>
      </c>
    </row>
    <row r="82" spans="1:45" x14ac:dyDescent="0.2">
      <c r="A82" s="377"/>
      <c r="I82" s="4"/>
      <c r="J82" s="15" t="s">
        <v>66</v>
      </c>
      <c r="K82" s="10" t="s">
        <v>763</v>
      </c>
      <c r="L82" s="10">
        <v>0.87919999999999998</v>
      </c>
      <c r="M82" s="10">
        <v>0.27135999999999999</v>
      </c>
      <c r="N82" s="10">
        <v>591.75</v>
      </c>
      <c r="O82" s="10">
        <v>0.29241</v>
      </c>
      <c r="P82" s="53">
        <v>92.138000000000005</v>
      </c>
      <c r="Q82" s="10" t="s">
        <v>495</v>
      </c>
      <c r="R82" s="10">
        <v>-226.08</v>
      </c>
      <c r="S82" s="10">
        <v>6805.7</v>
      </c>
      <c r="T82" s="10">
        <v>37.542000000000002</v>
      </c>
      <c r="U82" s="10">
        <v>-6.0852999999999997E-2</v>
      </c>
      <c r="V82" s="10">
        <v>1</v>
      </c>
      <c r="W82" s="12"/>
      <c r="X82" s="10" t="s">
        <v>188</v>
      </c>
      <c r="Y82" s="10">
        <v>140140</v>
      </c>
      <c r="Z82" s="10">
        <v>-152.30000000000001</v>
      </c>
      <c r="AA82" s="10">
        <v>0.69499999999999995</v>
      </c>
      <c r="AB82" s="10"/>
      <c r="AC82" s="10"/>
      <c r="AD82" s="15" t="s">
        <v>66</v>
      </c>
      <c r="AE82" s="10" t="s">
        <v>497</v>
      </c>
      <c r="AF82" s="160">
        <v>0.20463000000000001</v>
      </c>
      <c r="AG82" s="153">
        <f>-2.4252/10000</f>
        <v>-2.4251999999999998E-4</v>
      </c>
      <c r="AH82" s="10"/>
      <c r="AI82" s="10"/>
      <c r="AJ82" s="8"/>
      <c r="AL82" s="319">
        <v>-95</v>
      </c>
      <c r="AM82" s="100">
        <v>319</v>
      </c>
      <c r="AN82" s="99">
        <v>-95</v>
      </c>
      <c r="AO82" s="100">
        <v>111</v>
      </c>
      <c r="AP82" s="105">
        <v>-95</v>
      </c>
      <c r="AQ82" s="106">
        <v>227</v>
      </c>
      <c r="AR82" s="105">
        <v>-95</v>
      </c>
      <c r="AS82" s="106">
        <v>202</v>
      </c>
    </row>
    <row r="83" spans="1:45" x14ac:dyDescent="0.2">
      <c r="A83" s="377"/>
      <c r="I83" s="4"/>
      <c r="J83" s="130" t="s">
        <v>68</v>
      </c>
      <c r="K83" s="131" t="s">
        <v>707</v>
      </c>
      <c r="L83" s="131">
        <v>0.70350000000000001</v>
      </c>
      <c r="M83" s="131">
        <v>0.27385999999999999</v>
      </c>
      <c r="N83" s="131">
        <v>535.15</v>
      </c>
      <c r="O83" s="131">
        <v>0.28720000000000001</v>
      </c>
      <c r="P83" s="132">
        <v>101.19</v>
      </c>
      <c r="Q83" s="131" t="s">
        <v>498</v>
      </c>
      <c r="R83" s="131">
        <v>-3.7067000000000001</v>
      </c>
      <c r="S83" s="131">
        <v>585.78</v>
      </c>
      <c r="T83" s="131">
        <v>-1.0926</v>
      </c>
      <c r="U83" s="130"/>
      <c r="V83" s="130"/>
      <c r="W83" s="137"/>
      <c r="X83" s="131" t="s">
        <v>189</v>
      </c>
      <c r="Y83" s="131">
        <v>111480</v>
      </c>
      <c r="Z83" s="131">
        <v>368.13</v>
      </c>
      <c r="AA83" s="131"/>
      <c r="AB83" s="130"/>
      <c r="AC83" s="130"/>
      <c r="AD83" s="130" t="s">
        <v>68</v>
      </c>
      <c r="AE83" s="131" t="s">
        <v>500</v>
      </c>
      <c r="AF83" s="162">
        <v>0.1918</v>
      </c>
      <c r="AG83" s="154">
        <f>-2.453/10000</f>
        <v>-2.453E-4</v>
      </c>
      <c r="AH83" s="131"/>
      <c r="AI83" s="130"/>
      <c r="AJ83" s="5"/>
      <c r="AL83" s="319">
        <v>-115</v>
      </c>
      <c r="AM83" s="100">
        <v>262</v>
      </c>
      <c r="AN83" s="99">
        <v>-23</v>
      </c>
      <c r="AO83" s="100">
        <v>86</v>
      </c>
      <c r="AP83" s="105">
        <v>-73</v>
      </c>
      <c r="AQ83" s="106">
        <v>89</v>
      </c>
      <c r="AR83" s="105">
        <v>-115</v>
      </c>
      <c r="AS83" s="106">
        <v>210</v>
      </c>
    </row>
    <row r="84" spans="1:45" x14ac:dyDescent="0.2">
      <c r="I84" s="4"/>
      <c r="J84" s="15" t="s">
        <v>69</v>
      </c>
      <c r="K84" s="10" t="s">
        <v>764</v>
      </c>
      <c r="L84" s="10">
        <v>0.36703000000000002</v>
      </c>
      <c r="M84" s="10">
        <v>0.24876000000000001</v>
      </c>
      <c r="N84" s="10">
        <v>639</v>
      </c>
      <c r="O84" s="10">
        <v>0.28571000000000002</v>
      </c>
      <c r="P84" s="53">
        <v>156.30799999999999</v>
      </c>
      <c r="Q84" s="10" t="s">
        <v>501</v>
      </c>
      <c r="R84" s="10">
        <v>52.176000000000002</v>
      </c>
      <c r="S84" s="10">
        <v>-4951.8999999999996</v>
      </c>
      <c r="T84" s="10">
        <v>-8.5676000000000005</v>
      </c>
      <c r="U84" s="10">
        <v>570980</v>
      </c>
      <c r="V84" s="10">
        <v>-2</v>
      </c>
      <c r="W84" s="12"/>
      <c r="X84" s="10" t="s">
        <v>190</v>
      </c>
      <c r="Y84" s="10">
        <v>293980</v>
      </c>
      <c r="Z84" s="10">
        <v>-114.98</v>
      </c>
      <c r="AA84" s="10">
        <v>0.96936</v>
      </c>
      <c r="AB84" s="10"/>
      <c r="AC84" s="10"/>
      <c r="AD84" s="15" t="s">
        <v>69</v>
      </c>
      <c r="AE84" s="10" t="s">
        <v>503</v>
      </c>
      <c r="AF84" s="160">
        <v>0.20515</v>
      </c>
      <c r="AG84" s="153">
        <f>-2.3933/10000</f>
        <v>-2.3933E-4</v>
      </c>
      <c r="AH84" s="10"/>
      <c r="AI84" s="10"/>
      <c r="AJ84" s="8"/>
      <c r="AL84" s="319">
        <v>-25</v>
      </c>
      <c r="AM84" s="100">
        <v>366</v>
      </c>
      <c r="AN84" s="99">
        <v>-25</v>
      </c>
      <c r="AO84" s="100">
        <v>238</v>
      </c>
      <c r="AP84" s="105">
        <v>-26</v>
      </c>
      <c r="AQ84" s="106">
        <v>160</v>
      </c>
      <c r="AR84" s="105">
        <v>-26</v>
      </c>
      <c r="AS84" s="106">
        <v>196</v>
      </c>
    </row>
    <row r="85" spans="1:45" ht="14.25" x14ac:dyDescent="0.2">
      <c r="C85" s="205"/>
      <c r="I85" s="4"/>
      <c r="J85" s="130" t="s">
        <v>70</v>
      </c>
      <c r="K85" s="131" t="s">
        <v>765</v>
      </c>
      <c r="L85" s="131">
        <v>1.5115000000000001</v>
      </c>
      <c r="M85" s="131">
        <v>0.2707</v>
      </c>
      <c r="N85" s="131">
        <v>432</v>
      </c>
      <c r="O85" s="131">
        <v>0.27160000000000001</v>
      </c>
      <c r="P85" s="132">
        <v>62.497999999999998</v>
      </c>
      <c r="Q85" s="131" t="s">
        <v>504</v>
      </c>
      <c r="R85" s="131">
        <v>0.26296999999999998</v>
      </c>
      <c r="S85" s="131">
        <v>276.55</v>
      </c>
      <c r="T85" s="131">
        <v>-1.7282</v>
      </c>
      <c r="U85" s="130"/>
      <c r="V85" s="130"/>
      <c r="W85" s="137"/>
      <c r="X85" s="131" t="s">
        <v>191</v>
      </c>
      <c r="Y85" s="131">
        <v>-10320</v>
      </c>
      <c r="Z85" s="131">
        <v>322.8</v>
      </c>
      <c r="AA85" s="131"/>
      <c r="AB85" s="130"/>
      <c r="AC85" s="130"/>
      <c r="AD85" s="130" t="s">
        <v>70</v>
      </c>
      <c r="AE85" s="131" t="s">
        <v>505</v>
      </c>
      <c r="AF85" s="162">
        <v>0.23330000000000001</v>
      </c>
      <c r="AG85" s="159">
        <f>-3.9223/10000</f>
        <v>-3.9222999999999998E-4</v>
      </c>
      <c r="AH85" s="131"/>
      <c r="AI85" s="130"/>
      <c r="AJ85" s="5"/>
      <c r="AL85" s="319">
        <v>-254</v>
      </c>
      <c r="AM85" s="100">
        <v>159</v>
      </c>
      <c r="AN85" s="99">
        <v>-143</v>
      </c>
      <c r="AO85" s="100">
        <v>127</v>
      </c>
      <c r="AP85" s="105">
        <v>-73</v>
      </c>
      <c r="AQ85" s="106">
        <v>127</v>
      </c>
      <c r="AR85" s="105">
        <v>-154</v>
      </c>
      <c r="AS85" s="106">
        <v>72</v>
      </c>
    </row>
    <row r="86" spans="1:45" x14ac:dyDescent="0.2">
      <c r="I86" s="4"/>
      <c r="J86" s="130" t="s">
        <v>71</v>
      </c>
      <c r="K86" s="131" t="s">
        <v>766</v>
      </c>
      <c r="L86" s="131">
        <v>-13.851000000000001</v>
      </c>
      <c r="M86" s="131">
        <v>0.64037999999999995</v>
      </c>
      <c r="N86" s="131">
        <v>-1.91E-3</v>
      </c>
      <c r="O86" s="130">
        <f>1.8211/1000000</f>
        <v>1.8211E-6</v>
      </c>
      <c r="P86" s="132">
        <v>18.015000000000001</v>
      </c>
      <c r="Q86" s="131" t="s">
        <v>506</v>
      </c>
      <c r="R86" s="131">
        <v>-52.843000000000004</v>
      </c>
      <c r="S86" s="131">
        <v>3703.6</v>
      </c>
      <c r="T86" s="131">
        <v>5.8659999999999997</v>
      </c>
      <c r="U86" s="130">
        <f>-5.879/1E+29</f>
        <v>-5.8789999999999996E-29</v>
      </c>
      <c r="V86" s="131">
        <v>10</v>
      </c>
      <c r="W86" s="137"/>
      <c r="X86" s="131" t="s">
        <v>192</v>
      </c>
      <c r="Y86" s="131">
        <v>276370</v>
      </c>
      <c r="Z86" s="131">
        <v>-2090.1</v>
      </c>
      <c r="AA86" s="131">
        <v>8.125</v>
      </c>
      <c r="AB86" s="130">
        <v>-1.4116E-2</v>
      </c>
      <c r="AC86" s="131">
        <f>9.37/1000000</f>
        <v>9.3699999999999984E-6</v>
      </c>
      <c r="AD86" s="130" t="s">
        <v>71</v>
      </c>
      <c r="AE86" s="131" t="s">
        <v>508</v>
      </c>
      <c r="AF86" s="162">
        <v>-0.432</v>
      </c>
      <c r="AG86" s="159">
        <v>5.7254999999999997E-3</v>
      </c>
      <c r="AH86" s="131">
        <f>-8.078/1000000</f>
        <v>-8.0779999999999996E-6</v>
      </c>
      <c r="AI86" s="130">
        <f>1.861/1000000000</f>
        <v>1.8610000000000001E-9</v>
      </c>
      <c r="AJ86" s="8"/>
      <c r="AL86" s="319">
        <v>0</v>
      </c>
      <c r="AM86" s="100">
        <v>80</v>
      </c>
      <c r="AN86" s="99">
        <v>0</v>
      </c>
      <c r="AO86" s="100">
        <v>373</v>
      </c>
      <c r="AP86" s="105">
        <v>0</v>
      </c>
      <c r="AQ86" s="106">
        <v>260</v>
      </c>
      <c r="AR86" s="105">
        <v>0</v>
      </c>
      <c r="AS86" s="106">
        <v>360</v>
      </c>
    </row>
    <row r="87" spans="1:45" ht="13.5" thickBot="1" x14ac:dyDescent="0.25">
      <c r="I87" s="6"/>
      <c r="J87" s="92"/>
      <c r="K87" s="92"/>
      <c r="L87" s="40"/>
      <c r="M87" s="40"/>
      <c r="N87" s="40"/>
      <c r="O87" s="40"/>
      <c r="P87" s="40"/>
      <c r="Q87" s="22"/>
      <c r="R87" s="22"/>
      <c r="S87" s="22"/>
      <c r="T87" s="22"/>
      <c r="U87" s="22"/>
      <c r="V87" s="22"/>
      <c r="W87" s="93"/>
      <c r="X87" s="22"/>
      <c r="Y87" s="22"/>
      <c r="Z87" s="22"/>
      <c r="AA87" s="22"/>
      <c r="AB87" s="22"/>
      <c r="AC87" s="22"/>
      <c r="AD87" s="138"/>
      <c r="AE87" s="22"/>
      <c r="AF87" s="22"/>
      <c r="AG87" s="22"/>
      <c r="AH87" s="22"/>
      <c r="AI87" s="22"/>
      <c r="AJ87" s="169"/>
      <c r="AL87" s="101"/>
      <c r="AM87" s="102"/>
      <c r="AN87" s="101"/>
      <c r="AO87" s="102"/>
      <c r="AP87" s="101"/>
      <c r="AQ87" s="102"/>
      <c r="AR87" s="101"/>
      <c r="AS87" s="102"/>
    </row>
    <row r="89" spans="1:45" ht="13.5" thickBot="1" x14ac:dyDescent="0.25"/>
    <row r="90" spans="1:45" ht="13.5" thickBot="1" x14ac:dyDescent="0.25">
      <c r="C90" s="371" t="s">
        <v>583</v>
      </c>
      <c r="D90" s="372"/>
      <c r="E90" s="372"/>
      <c r="F90" s="372"/>
      <c r="G90" s="373"/>
    </row>
    <row r="91" spans="1:45" ht="14.25" x14ac:dyDescent="0.2">
      <c r="C91" s="19"/>
      <c r="D91" s="270"/>
      <c r="E91" s="270"/>
      <c r="F91" s="270"/>
      <c r="G91" s="21"/>
      <c r="J91" s="205" t="s">
        <v>841</v>
      </c>
    </row>
    <row r="92" spans="1:45" ht="14.25" x14ac:dyDescent="0.2">
      <c r="C92" s="39" t="s">
        <v>584</v>
      </c>
      <c r="D92" s="29"/>
      <c r="E92" s="29"/>
      <c r="F92" s="29"/>
      <c r="G92" s="30"/>
    </row>
    <row r="93" spans="1:45" ht="14.25" x14ac:dyDescent="0.2">
      <c r="C93" s="39" t="s">
        <v>585</v>
      </c>
      <c r="D93" s="29"/>
      <c r="E93" s="29"/>
      <c r="F93" s="29"/>
      <c r="G93" s="30"/>
    </row>
    <row r="94" spans="1:45" ht="14.25" x14ac:dyDescent="0.2">
      <c r="C94" s="39" t="s">
        <v>586</v>
      </c>
      <c r="D94" s="29"/>
      <c r="E94" s="29"/>
      <c r="F94" s="29"/>
      <c r="G94" s="30"/>
    </row>
    <row r="95" spans="1:45" x14ac:dyDescent="0.2">
      <c r="C95" s="374" t="s">
        <v>873</v>
      </c>
      <c r="D95" s="375"/>
      <c r="E95" s="375"/>
      <c r="F95" s="375"/>
      <c r="G95" s="376"/>
    </row>
    <row r="96" spans="1:45" ht="14.25" x14ac:dyDescent="0.2">
      <c r="C96" s="39"/>
      <c r="D96" s="29"/>
      <c r="E96" s="29"/>
      <c r="F96" s="29"/>
      <c r="G96" s="30"/>
    </row>
    <row r="97" spans="3:7" ht="14.25" x14ac:dyDescent="0.2">
      <c r="C97" s="39" t="s">
        <v>587</v>
      </c>
      <c r="D97" s="29"/>
      <c r="E97" s="29"/>
      <c r="F97" s="29"/>
      <c r="G97" s="30"/>
    </row>
    <row r="98" spans="3:7" x14ac:dyDescent="0.2">
      <c r="C98" s="28"/>
      <c r="D98" s="29"/>
      <c r="E98" s="29"/>
      <c r="F98" s="29"/>
      <c r="G98" s="30"/>
    </row>
    <row r="99" spans="3:7" x14ac:dyDescent="0.2">
      <c r="C99" s="368" t="s">
        <v>588</v>
      </c>
      <c r="D99" s="369"/>
      <c r="E99" s="369"/>
      <c r="F99" s="369"/>
      <c r="G99" s="370"/>
    </row>
    <row r="100" spans="3:7" x14ac:dyDescent="0.2">
      <c r="C100" s="368"/>
      <c r="D100" s="369"/>
      <c r="E100" s="369"/>
      <c r="F100" s="369"/>
      <c r="G100" s="370"/>
    </row>
    <row r="101" spans="3:7" ht="18.75" x14ac:dyDescent="0.25">
      <c r="C101" s="271" t="s">
        <v>843</v>
      </c>
      <c r="D101" s="29"/>
      <c r="E101" s="29"/>
      <c r="F101" s="29"/>
      <c r="G101" s="30"/>
    </row>
    <row r="102" spans="3:7" x14ac:dyDescent="0.2">
      <c r="C102" s="28"/>
      <c r="D102" s="29"/>
      <c r="E102" s="29"/>
      <c r="F102" s="29"/>
      <c r="G102" s="30"/>
    </row>
    <row r="103" spans="3:7" ht="17.25" x14ac:dyDescent="0.25">
      <c r="C103" s="39" t="s">
        <v>589</v>
      </c>
      <c r="D103" s="272" t="s">
        <v>590</v>
      </c>
      <c r="E103" s="273"/>
      <c r="F103" s="272" t="s">
        <v>844</v>
      </c>
      <c r="G103" s="274"/>
    </row>
    <row r="104" spans="3:7" ht="14.25" x14ac:dyDescent="0.2">
      <c r="C104" s="39"/>
      <c r="D104" s="29"/>
      <c r="E104" s="29"/>
      <c r="F104" s="29"/>
      <c r="G104" s="30"/>
    </row>
    <row r="105" spans="3:7" x14ac:dyDescent="0.2">
      <c r="C105" s="368" t="s">
        <v>591</v>
      </c>
      <c r="D105" s="369"/>
      <c r="E105" s="369"/>
      <c r="F105" s="369"/>
      <c r="G105" s="370"/>
    </row>
    <row r="106" spans="3:7" ht="14.25" x14ac:dyDescent="0.2">
      <c r="C106" s="39"/>
      <c r="D106" s="29"/>
      <c r="E106" s="29"/>
      <c r="F106" s="29"/>
      <c r="G106" s="30"/>
    </row>
    <row r="107" spans="3:7" ht="18.75" x14ac:dyDescent="0.25">
      <c r="C107" s="271" t="s">
        <v>845</v>
      </c>
      <c r="D107" s="29"/>
      <c r="E107" s="273" t="s">
        <v>589</v>
      </c>
      <c r="F107" s="272" t="s">
        <v>848</v>
      </c>
      <c r="G107" s="30"/>
    </row>
    <row r="108" spans="3:7" ht="14.25" x14ac:dyDescent="0.2">
      <c r="C108" s="39"/>
      <c r="D108" s="29"/>
      <c r="E108" s="29"/>
      <c r="F108" s="29"/>
      <c r="G108" s="30"/>
    </row>
    <row r="109" spans="3:7" x14ac:dyDescent="0.2">
      <c r="C109" s="368" t="s">
        <v>592</v>
      </c>
      <c r="D109" s="369"/>
      <c r="E109" s="369"/>
      <c r="F109" s="369"/>
      <c r="G109" s="370"/>
    </row>
    <row r="110" spans="3:7" x14ac:dyDescent="0.2">
      <c r="C110" s="28"/>
      <c r="D110" s="29"/>
      <c r="E110" s="29"/>
      <c r="F110" s="29"/>
      <c r="G110" s="30"/>
    </row>
    <row r="111" spans="3:7" ht="17.25" x14ac:dyDescent="0.25">
      <c r="C111" s="275" t="s">
        <v>846</v>
      </c>
      <c r="D111" s="29"/>
      <c r="E111" s="42" t="s">
        <v>593</v>
      </c>
      <c r="F111" s="276" t="s">
        <v>847</v>
      </c>
      <c r="G111" s="30"/>
    </row>
    <row r="112" spans="3:7" x14ac:dyDescent="0.2">
      <c r="C112" s="28"/>
      <c r="D112" s="29"/>
      <c r="E112" s="29"/>
      <c r="F112" s="29"/>
      <c r="G112" s="30"/>
    </row>
    <row r="113" spans="3:7" ht="15" x14ac:dyDescent="0.25">
      <c r="C113" s="275"/>
      <c r="D113" s="29"/>
      <c r="E113" s="42"/>
      <c r="F113" s="276"/>
      <c r="G113" s="30"/>
    </row>
    <row r="114" spans="3:7" x14ac:dyDescent="0.2">
      <c r="C114" s="368" t="s">
        <v>594</v>
      </c>
      <c r="D114" s="369"/>
      <c r="E114" s="369"/>
      <c r="F114" s="369"/>
      <c r="G114" s="370"/>
    </row>
    <row r="115" spans="3:7" x14ac:dyDescent="0.2">
      <c r="C115" s="28"/>
      <c r="D115" s="29"/>
      <c r="E115" s="29"/>
      <c r="F115" s="29"/>
      <c r="G115" s="30"/>
    </row>
    <row r="116" spans="3:7" ht="16.5" x14ac:dyDescent="0.2">
      <c r="C116" s="39" t="s">
        <v>595</v>
      </c>
      <c r="D116" s="29"/>
      <c r="E116" s="29"/>
      <c r="F116" s="29"/>
      <c r="G116" s="30"/>
    </row>
    <row r="117" spans="3:7" x14ac:dyDescent="0.2">
      <c r="C117" s="28"/>
      <c r="D117" s="42"/>
      <c r="E117" s="29"/>
      <c r="F117" s="29"/>
      <c r="G117" s="30"/>
    </row>
    <row r="118" spans="3:7" x14ac:dyDescent="0.2">
      <c r="C118" s="28"/>
      <c r="D118" s="42" t="s">
        <v>596</v>
      </c>
      <c r="E118" s="29" t="s">
        <v>849</v>
      </c>
      <c r="F118" s="29"/>
      <c r="G118" s="30"/>
    </row>
    <row r="119" spans="3:7" x14ac:dyDescent="0.2">
      <c r="C119" s="368"/>
      <c r="D119" s="369"/>
      <c r="E119" s="369"/>
      <c r="F119" s="369"/>
      <c r="G119" s="370"/>
    </row>
    <row r="120" spans="3:7" x14ac:dyDescent="0.2">
      <c r="C120" s="28"/>
      <c r="D120" s="29"/>
      <c r="E120" s="29"/>
      <c r="F120" s="29"/>
      <c r="G120" s="30"/>
    </row>
    <row r="121" spans="3:7" x14ac:dyDescent="0.2">
      <c r="C121" s="368" t="s">
        <v>597</v>
      </c>
      <c r="D121" s="369"/>
      <c r="E121" s="369"/>
      <c r="F121" s="369"/>
      <c r="G121" s="370"/>
    </row>
    <row r="122" spans="3:7" x14ac:dyDescent="0.2">
      <c r="C122" s="28"/>
      <c r="D122" s="29"/>
      <c r="E122" s="29"/>
      <c r="F122" s="29"/>
      <c r="G122" s="30"/>
    </row>
    <row r="123" spans="3:7" ht="16.5" x14ac:dyDescent="0.2">
      <c r="C123" s="39" t="s">
        <v>851</v>
      </c>
      <c r="D123" s="42"/>
      <c r="E123" s="42" t="s">
        <v>598</v>
      </c>
      <c r="F123" s="29" t="s">
        <v>850</v>
      </c>
      <c r="G123" s="30"/>
    </row>
    <row r="124" spans="3:7" ht="15" thickBot="1" x14ac:dyDescent="0.25">
      <c r="C124" s="277"/>
      <c r="D124" s="45"/>
      <c r="E124" s="278"/>
      <c r="F124" s="45"/>
      <c r="G124" s="279"/>
    </row>
  </sheetData>
  <sheetProtection sheet="1" objects="1" scenarios="1" formatCells="0"/>
  <mergeCells count="49">
    <mergeCell ref="A67:A83"/>
    <mergeCell ref="C68:D68"/>
    <mergeCell ref="C72:D72"/>
    <mergeCell ref="C74:D74"/>
    <mergeCell ref="AL9:AM9"/>
    <mergeCell ref="C24:D24"/>
    <mergeCell ref="C23:D23"/>
    <mergeCell ref="A33:A48"/>
    <mergeCell ref="C35:D35"/>
    <mergeCell ref="C41:D41"/>
    <mergeCell ref="A11:A31"/>
    <mergeCell ref="C26:D26"/>
    <mergeCell ref="C40:D40"/>
    <mergeCell ref="A50:A65"/>
    <mergeCell ref="C51:D51"/>
    <mergeCell ref="C57:D57"/>
    <mergeCell ref="B2:F2"/>
    <mergeCell ref="B3:F3"/>
    <mergeCell ref="B4:F4"/>
    <mergeCell ref="C11:D11"/>
    <mergeCell ref="F12:H12"/>
    <mergeCell ref="AT11:AU11"/>
    <mergeCell ref="Q2:U2"/>
    <mergeCell ref="AP9:AQ9"/>
    <mergeCell ref="Y11:AC11"/>
    <mergeCell ref="J9:V9"/>
    <mergeCell ref="L11:P11"/>
    <mergeCell ref="R11:V11"/>
    <mergeCell ref="AF11:AJ11"/>
    <mergeCell ref="AR9:AS9"/>
    <mergeCell ref="AL8:AS8"/>
    <mergeCell ref="I3:K3"/>
    <mergeCell ref="L3:N3"/>
    <mergeCell ref="J2:P2"/>
    <mergeCell ref="P3:R3"/>
    <mergeCell ref="T3:V3"/>
    <mergeCell ref="AN9:AO9"/>
    <mergeCell ref="C109:G109"/>
    <mergeCell ref="C114:G114"/>
    <mergeCell ref="C59:D59"/>
    <mergeCell ref="C43:D43"/>
    <mergeCell ref="C56:D56"/>
    <mergeCell ref="C119:G119"/>
    <mergeCell ref="C121:G121"/>
    <mergeCell ref="C90:G90"/>
    <mergeCell ref="C95:G95"/>
    <mergeCell ref="C99:G99"/>
    <mergeCell ref="C100:G100"/>
    <mergeCell ref="C105:G105"/>
  </mergeCells>
  <phoneticPr fontId="19" type="noConversion"/>
  <dataValidations xWindow="544" yWindow="579" count="6">
    <dataValidation type="decimal" operator="greaterThan" allowBlank="1" showInputMessage="1" showErrorMessage="1" errorTitle="Invalid Entry" error="Please enter a value greater than 0." promptTitle="Enter Viscosity" prompt="This is a pre-calculated fluid viscosity you have obtained from another source. Any value you enter here will override the selection above." sqref="D45 D61 D76" xr:uid="{00000000-0002-0000-0300-000000000000}">
      <formula1>0</formula1>
    </dataValidation>
    <dataValidation allowBlank="1" showInputMessage="1" showErrorMessage="1" promptTitle="Fluid Density Calculation" prompt="Based on variables for density." sqref="K11" xr:uid="{00000000-0002-0000-0300-000001000000}"/>
    <dataValidation type="decimal" operator="greaterThan" allowBlank="1" showErrorMessage="1" errorTitle="Invalid Entry" error="Please enter a numerical value only." promptTitle="Temperature" prompt="Enter the temperature of your liquid. The temperature should generally be within the range of the liquid, as specified above." sqref="D18" xr:uid="{00000000-0002-0000-0300-000002000000}">
      <formula1>-10000</formula1>
    </dataValidation>
    <dataValidation type="decimal" operator="greaterThan" allowBlank="1" showInputMessage="1" showErrorMessage="1" errorTitle="Invalid Entry" error="Please enter a value greater than 0." promptTitle="Enter density" prompt="This is a pre-calculated fluid density you have obtained from another source. Any value you enter here will override the selections above." sqref="D28" xr:uid="{00000000-0002-0000-0300-000003000000}">
      <formula1>0</formula1>
    </dataValidation>
    <dataValidation allowBlank="1" showInputMessage="1" showErrorMessage="1" promptTitle="Fluid Specific Heat Calculation" prompt="Based on variables for specific heat_x000a_." sqref="C52" xr:uid="{00000000-0002-0000-0300-000004000000}"/>
    <dataValidation type="list" allowBlank="1" showErrorMessage="1" promptTitle="Liquid Selection" prompt="If your liquid is not listed here or if you have a fluid density calculated from elsewhere, you may instead enter it in the next section, thereby ignoring this selection menu." sqref="D13" xr:uid="{00000000-0002-0000-0300-000005000000}">
      <formula1>$J$13:$J$86</formula1>
    </dataValidation>
  </dataValidations>
  <hyperlinks>
    <hyperlink ref="J2" r:id="rId1" location="p200139d89822_98001" display="Table 2-32 in Perry's Chemical Engineers' Handbook, 8th Ed." xr:uid="{ACF2B632-5F46-47D8-8DB5-4510AE13DCAF}"/>
    <hyperlink ref="J2:N2" r:id="rId2" location="c9780071834087ch02" display="Perry's Chemical Engineers' Handbook, 9th Ed, Ch. 2, Physical and Chemical Data" xr:uid="{E0F6791F-5E77-4B38-8086-B60A47EEB90B}"/>
    <hyperlink ref="I3:K3" r:id="rId3" location="ch02table139" display="Liquid Viscosity:  Table 2-139" xr:uid="{72EBF60E-16B6-4302-B1F2-7809E2A6BB7E}"/>
    <hyperlink ref="L3:N3" r:id="rId4" location="ch02table32" display="Liquid Density:  Table 2-32" xr:uid="{C536D838-F153-403F-A402-818910A1AC5C}"/>
    <hyperlink ref="P3:R3" r:id="rId5" location="ch02table147" display="Liquid Thermal Conductivity:  Table 2-147" xr:uid="{2FC38F47-2844-4E63-9F7B-62F53C822050}"/>
    <hyperlink ref="T3:V3" r:id="rId6" location="ch02table72" display="Liquid Sp. Heat:  Table 2-72" xr:uid="{467834CA-956C-406B-ABE9-C0591C800624}"/>
    <hyperlink ref="C95" r:id="rId7" location="p200139d89822_98001" display="Table 2-32 in Perry's Chemical Engineers' Handbook, 8th Ed." xr:uid="{AF7AA028-475E-4EA3-8CEC-C1F8798196B5}"/>
    <hyperlink ref="C95:G95" r:id="rId8" location="c9780071834087ch02" display="Perry's Chemical Engineers' Handbook, 9th Ed., Ch. 2, Physical and Chemical Data" xr:uid="{89BF0374-90EC-4989-8B7E-682A6B2ACD73}"/>
  </hyperlinks>
  <pageMargins left="0.75" right="0.75" top="1" bottom="1" header="0.5" footer="0.5"/>
  <pageSetup orientation="portrait" horizontalDpi="0" verticalDpi="0" r:id="rId9"/>
  <headerFooter alignWithMargins="0"/>
  <ignoredErrors>
    <ignoredError sqref="AG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43"/>
  <sheetViews>
    <sheetView workbookViewId="0"/>
  </sheetViews>
  <sheetFormatPr defaultRowHeight="12.75" x14ac:dyDescent="0.2"/>
  <cols>
    <col min="2" max="2" width="6.7109375" customWidth="1"/>
    <col min="3" max="3" width="38.85546875" customWidth="1"/>
    <col min="4" max="4" width="14.85546875" customWidth="1"/>
    <col min="5" max="5" width="13.5703125" customWidth="1"/>
    <col min="9" max="9" width="3.7109375" customWidth="1"/>
    <col min="10" max="10" width="19" customWidth="1"/>
    <col min="11" max="11" width="11.85546875" customWidth="1"/>
    <col min="17" max="17" width="10.7109375" customWidth="1"/>
    <col min="18" max="18" width="10.5703125" customWidth="1"/>
    <col min="24" max="24" width="19.7109375" customWidth="1"/>
    <col min="25" max="25" width="10.5703125" customWidth="1"/>
    <col min="27" max="27" width="12.7109375" customWidth="1"/>
    <col min="28" max="28" width="11.5703125" customWidth="1"/>
  </cols>
  <sheetData>
    <row r="1" spans="1:30" ht="15" thickBot="1" x14ac:dyDescent="0.25">
      <c r="J1" s="57" t="s">
        <v>302</v>
      </c>
      <c r="K1" s="58"/>
      <c r="L1" s="58"/>
      <c r="M1" s="58"/>
      <c r="N1" s="58"/>
      <c r="Q1" s="57"/>
      <c r="R1" s="1"/>
      <c r="S1" s="1"/>
      <c r="T1" s="1"/>
      <c r="U1" s="1"/>
      <c r="V1" s="1"/>
    </row>
    <row r="2" spans="1:30" ht="18" x14ac:dyDescent="0.25">
      <c r="B2" s="383" t="s">
        <v>509</v>
      </c>
      <c r="C2" s="384"/>
      <c r="D2" s="384"/>
      <c r="E2" s="384"/>
      <c r="F2" s="385"/>
      <c r="J2" s="395" t="s">
        <v>869</v>
      </c>
      <c r="K2" s="395"/>
      <c r="L2" s="395"/>
      <c r="M2" s="395"/>
      <c r="N2" s="395"/>
      <c r="O2" s="395"/>
      <c r="P2" s="395"/>
      <c r="Q2" s="396"/>
      <c r="R2" s="396"/>
      <c r="S2" s="396"/>
      <c r="T2" s="396"/>
      <c r="U2" s="396"/>
      <c r="V2" s="1"/>
      <c r="X2" t="s">
        <v>303</v>
      </c>
    </row>
    <row r="3" spans="1:30" ht="18" x14ac:dyDescent="0.25">
      <c r="B3" s="389" t="s">
        <v>673</v>
      </c>
      <c r="C3" s="390"/>
      <c r="D3" s="390"/>
      <c r="E3" s="390"/>
      <c r="F3" s="391"/>
      <c r="I3" s="395" t="s">
        <v>870</v>
      </c>
      <c r="J3" s="395"/>
      <c r="K3" s="395"/>
      <c r="L3" s="401" t="s">
        <v>230</v>
      </c>
      <c r="M3" s="401"/>
      <c r="N3" s="401"/>
      <c r="P3" s="402" t="s">
        <v>871</v>
      </c>
      <c r="Q3" s="402"/>
      <c r="R3" s="402"/>
      <c r="S3" s="402"/>
      <c r="T3" s="402" t="s">
        <v>872</v>
      </c>
      <c r="U3" s="402"/>
      <c r="V3" s="402"/>
      <c r="X3" s="126" t="s">
        <v>228</v>
      </c>
      <c r="AA3" s="126" t="s">
        <v>228</v>
      </c>
    </row>
    <row r="4" spans="1:30" ht="15.75" thickBot="1" x14ac:dyDescent="0.25">
      <c r="B4" s="414"/>
      <c r="C4" s="415"/>
      <c r="D4" s="415"/>
      <c r="E4" s="415"/>
      <c r="F4" s="416"/>
      <c r="J4" s="2"/>
      <c r="K4" s="2"/>
      <c r="Q4" s="1"/>
      <c r="R4" s="58"/>
      <c r="S4" s="58"/>
      <c r="T4" s="58"/>
      <c r="U4" s="58"/>
      <c r="V4" s="1"/>
      <c r="X4" s="220">
        <f>(D12+459.67)/1.8</f>
        <v>282.59444444444443</v>
      </c>
      <c r="AA4" s="220">
        <f>(D33+459.67)/1.8</f>
        <v>282.59444444444443</v>
      </c>
    </row>
    <row r="5" spans="1:30" x14ac:dyDescent="0.2">
      <c r="J5" s="2"/>
      <c r="K5" s="2"/>
      <c r="Q5" s="1"/>
      <c r="R5" s="58"/>
      <c r="S5" s="58"/>
      <c r="T5" s="58"/>
      <c r="U5" s="58"/>
      <c r="V5" s="1"/>
      <c r="X5" s="126" t="s">
        <v>304</v>
      </c>
      <c r="AA5" s="126" t="s">
        <v>304</v>
      </c>
    </row>
    <row r="6" spans="1:30" x14ac:dyDescent="0.2">
      <c r="J6" s="2"/>
      <c r="K6" s="2"/>
      <c r="Q6" s="1"/>
      <c r="R6" s="58"/>
      <c r="S6" s="58"/>
      <c r="T6" s="58"/>
      <c r="U6" s="58"/>
      <c r="V6" s="1"/>
      <c r="X6" s="128">
        <f>1-(X4/540.2)</f>
        <v>0.47687070632276118</v>
      </c>
      <c r="AA6" s="128">
        <f>1-(AA4/540.2)</f>
        <v>0.47687070632276118</v>
      </c>
    </row>
    <row r="7" spans="1:30" ht="13.5" customHeight="1" thickBot="1" x14ac:dyDescent="0.25">
      <c r="A7" s="377" t="s">
        <v>536</v>
      </c>
      <c r="Q7" s="1"/>
      <c r="R7" s="1"/>
      <c r="S7" s="1"/>
      <c r="T7" s="1"/>
      <c r="U7" s="1"/>
      <c r="V7" s="1"/>
      <c r="X7" s="173" t="s">
        <v>534</v>
      </c>
      <c r="AA7" s="173" t="s">
        <v>535</v>
      </c>
    </row>
    <row r="8" spans="1:30" ht="17.25" customHeight="1" x14ac:dyDescent="0.25">
      <c r="A8" s="377"/>
      <c r="C8" s="418" t="s">
        <v>510</v>
      </c>
      <c r="D8" s="419"/>
      <c r="I8" s="50"/>
      <c r="J8" s="90"/>
      <c r="K8" s="90"/>
      <c r="L8" s="51"/>
      <c r="M8" s="51"/>
      <c r="N8" s="51"/>
      <c r="O8" s="51"/>
      <c r="P8" s="51"/>
      <c r="Q8" s="9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</row>
    <row r="9" spans="1:30" ht="14.25" x14ac:dyDescent="0.2">
      <c r="A9" s="377"/>
      <c r="C9" s="4"/>
      <c r="D9" s="5"/>
      <c r="E9" s="205" t="s">
        <v>305</v>
      </c>
      <c r="I9" s="4"/>
      <c r="J9" s="420" t="s">
        <v>532</v>
      </c>
      <c r="K9" s="421"/>
      <c r="L9" s="421"/>
      <c r="M9" s="421"/>
      <c r="N9" s="421"/>
      <c r="O9" s="421"/>
      <c r="P9" s="421"/>
      <c r="Q9" s="422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50"/>
    </row>
    <row r="10" spans="1:30" ht="14.25" x14ac:dyDescent="0.2">
      <c r="A10" s="377"/>
      <c r="C10" s="146" t="s">
        <v>511</v>
      </c>
      <c r="D10" s="71" t="str">
        <f>TubesideLiquid</f>
        <v>Ethyl acetate</v>
      </c>
      <c r="E10" s="205" t="s">
        <v>512</v>
      </c>
      <c r="I10" s="4"/>
      <c r="J10" s="86"/>
      <c r="K10" s="13" t="str">
        <f>VLOOKUP($D$10,$J$16:$P$89,2)</f>
        <v xml:space="preserve"> -53 to 200</v>
      </c>
      <c r="L10" s="13">
        <f>VLOOKUP($D$10,$J$16:$P$89,3)</f>
        <v>14.353999999999999</v>
      </c>
      <c r="M10" s="13">
        <f>VLOOKUP($D$10,$J$16:$P$89,4)</f>
        <v>-154.6</v>
      </c>
      <c r="N10" s="13">
        <f>VLOOKUP($D$10,$J$16:$P$89,5)</f>
        <v>-3.7887</v>
      </c>
      <c r="O10" s="13">
        <f>VLOOKUP($D$10,$J$16:$P$89,6)</f>
        <v>0</v>
      </c>
      <c r="P10" s="13">
        <f>VLOOKUP($D$10,$J$16:$P$89,7)</f>
        <v>0</v>
      </c>
      <c r="Q10" s="88">
        <f>VLOOKUP($D$10,$J$16:$Q$89,8)</f>
        <v>88.105000000000004</v>
      </c>
      <c r="R10" s="88" t="str">
        <f>VLOOKUP($D$10,$J$16:$W$89,9)</f>
        <v xml:space="preserve"> -83 to 133</v>
      </c>
      <c r="S10" s="88">
        <f>VLOOKUP($D$10,$J$16:$W$89,10)</f>
        <v>226230</v>
      </c>
      <c r="T10" s="88">
        <f>VLOOKUP($D$10,$J$16:$W$89,11)</f>
        <v>-624.79999999999995</v>
      </c>
      <c r="U10" s="88">
        <f>VLOOKUP($D$10,$J$16:$W$89,12)</f>
        <v>1.472</v>
      </c>
      <c r="V10" s="88">
        <f>VLOOKUP($D$10,$J$16:$W$89,13)</f>
        <v>0</v>
      </c>
      <c r="W10" s="88">
        <f>VLOOKUP($D$10,$J$16:$W$89,14)</f>
        <v>0</v>
      </c>
      <c r="X10" s="175"/>
      <c r="Y10" s="88" t="str">
        <f>VLOOKUP($D$10,$J$16:$AC$89,16)</f>
        <v xml:space="preserve"> -84 to 77</v>
      </c>
      <c r="Z10" s="88">
        <f>VLOOKUP($D$10,$J$16:$AC$89,17)</f>
        <v>0.25009999999999999</v>
      </c>
      <c r="AA10" s="88">
        <f>VLOOKUP($D$10,$J$16:$AC$89,18)</f>
        <v>-3.5630000000000004E-4</v>
      </c>
      <c r="AB10" s="88">
        <f>VLOOKUP($D$10,$J$16:$AC$89,19)</f>
        <v>0</v>
      </c>
      <c r="AC10" s="88">
        <f>VLOOKUP($D$10,$J$16:$AC$89,20)</f>
        <v>0</v>
      </c>
      <c r="AD10" s="151"/>
    </row>
    <row r="11" spans="1:30" ht="14.25" x14ac:dyDescent="0.2">
      <c r="A11" s="377"/>
      <c r="C11" s="243" t="s">
        <v>253</v>
      </c>
      <c r="D11" s="71" t="str">
        <f>K10</f>
        <v xml:space="preserve"> -53 to 200</v>
      </c>
      <c r="I11" s="4"/>
      <c r="J11" s="206" t="s">
        <v>83</v>
      </c>
      <c r="K11" s="24">
        <f>EXP(L10+(M10/((D12+273.15)))+(N10*LN((D12+273.15)))+(O10*((D12+273.15))^P10))</f>
        <v>3.3355305513526885E-4</v>
      </c>
      <c r="L11" s="397" t="s">
        <v>81</v>
      </c>
      <c r="M11" s="397"/>
      <c r="N11" s="397"/>
      <c r="O11" s="397"/>
      <c r="P11" s="397"/>
      <c r="Q11" s="207"/>
      <c r="R11" s="94">
        <f>IF(D10="Heptane",(1/Q10)*(((S10^2)/X6)+T10-(2*S10*U10*X6)-(S10*V10*(AE12^2))-(((U10^2)*X6^3)/3)-(U10*V10*(X6^4))-((W10^2)*(X6^5)/5)),(1/Q10)*(S10+(T10*(((D12+273.15))))+(U10*((((D12+273.15)))^2))+(V10*((((D12+273.15)))^3))+(W10*((((D12+273.15)))^4))))</f>
        <v>2017.0904752284202</v>
      </c>
      <c r="S11" s="397" t="s">
        <v>124</v>
      </c>
      <c r="T11" s="397"/>
      <c r="U11" s="397"/>
      <c r="V11" s="397"/>
      <c r="W11" s="397"/>
      <c r="X11" s="12"/>
      <c r="Y11" s="208">
        <f>(Z10+(AA10*((D12+273.15)))+(AB10*(((D12+273.15))^2))+(AC10*(((D12+273.15))^3))+(AD10*(((D12+273.15))^4)))</f>
        <v>0.13531795499999999</v>
      </c>
      <c r="Z11" s="397" t="s">
        <v>256</v>
      </c>
      <c r="AA11" s="397"/>
      <c r="AB11" s="397"/>
      <c r="AC11" s="397"/>
      <c r="AD11" s="409"/>
    </row>
    <row r="12" spans="1:30" ht="15" thickBot="1" x14ac:dyDescent="0.25">
      <c r="A12" s="377"/>
      <c r="C12" s="147" t="s">
        <v>523</v>
      </c>
      <c r="D12" s="209">
        <f>TSurfTube</f>
        <v>49</v>
      </c>
      <c r="E12" s="205" t="s">
        <v>306</v>
      </c>
      <c r="I12" s="4"/>
      <c r="J12" s="420" t="s">
        <v>533</v>
      </c>
      <c r="K12" s="421"/>
      <c r="L12" s="421"/>
      <c r="M12" s="421"/>
      <c r="N12" s="421"/>
      <c r="O12" s="421"/>
      <c r="P12" s="421"/>
      <c r="Q12" s="42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50"/>
    </row>
    <row r="13" spans="1:30" ht="14.25" x14ac:dyDescent="0.2">
      <c r="A13" s="377"/>
      <c r="E13" s="205" t="s">
        <v>519</v>
      </c>
      <c r="I13" s="4"/>
      <c r="J13" s="86"/>
      <c r="K13" s="13" t="str">
        <f>VLOOKUP($D$31,$J$16:$P$89,2)</f>
        <v xml:space="preserve"> 0 to 373</v>
      </c>
      <c r="L13" s="13">
        <f>VLOOKUP($D$31,$J$16:$P$89,3)</f>
        <v>-52.843000000000004</v>
      </c>
      <c r="M13" s="13">
        <f>VLOOKUP($D$31,$J$16:$P$89,4)</f>
        <v>3703.6</v>
      </c>
      <c r="N13" s="13">
        <f>VLOOKUP($D$31,$J$16:$P$89,5)</f>
        <v>5.8659999999999997</v>
      </c>
      <c r="O13" s="13">
        <f>VLOOKUP($D$31,$J$16:$P$89,6)</f>
        <v>-5.8789999999999996E-29</v>
      </c>
      <c r="P13" s="13">
        <f>VLOOKUP($D$31,$J$16:$P$89,7)</f>
        <v>10</v>
      </c>
      <c r="Q13" s="88">
        <f>VLOOKUP($D$31,$J$16:$Q$89,8)</f>
        <v>18.015000000000001</v>
      </c>
      <c r="R13" s="88" t="str">
        <f>VLOOKUP($D$31,$J$16:$W$89,9)</f>
        <v xml:space="preserve"> 0 to 260</v>
      </c>
      <c r="S13" s="88">
        <f>VLOOKUP($D$31,$J$16:$W$89,10)</f>
        <v>276370</v>
      </c>
      <c r="T13" s="88">
        <f>VLOOKUP($D$31,$J$16:$W$89,11)</f>
        <v>-2090.1</v>
      </c>
      <c r="U13" s="88">
        <f>VLOOKUP($D$31,$J$16:$W$89,12)</f>
        <v>8.125</v>
      </c>
      <c r="V13" s="88">
        <f>VLOOKUP($D$31,$J$16:$W$89,13)</f>
        <v>-1.4116E-2</v>
      </c>
      <c r="W13" s="88">
        <f>VLOOKUP($D$31,$J$16:$W$89,14)</f>
        <v>9.3699999999999984E-6</v>
      </c>
      <c r="X13" s="175"/>
      <c r="Y13" s="88" t="str">
        <f>VLOOKUP($D$31,$J$16:$AC$89,16)</f>
        <v xml:space="preserve"> 0 to 360</v>
      </c>
      <c r="Z13" s="88">
        <f>VLOOKUP($D$31,$J$16:$AC$89,17)</f>
        <v>-0.432</v>
      </c>
      <c r="AA13" s="88">
        <f>VLOOKUP($D$31,$J$16:$AC$89,18)</f>
        <v>5.7254999999999997E-3</v>
      </c>
      <c r="AB13" s="88">
        <f>VLOOKUP($D$31,$J$16:$AC$89,19)</f>
        <v>-8.0779999999999996E-6</v>
      </c>
      <c r="AC13" s="88">
        <f>VLOOKUP($D$31,$J$16:$AC$89,20)</f>
        <v>1.8610000000000001E-9</v>
      </c>
      <c r="AD13" s="151"/>
    </row>
    <row r="14" spans="1:30" ht="15" thickBot="1" x14ac:dyDescent="0.25">
      <c r="A14" s="377"/>
      <c r="E14" s="205" t="s">
        <v>520</v>
      </c>
      <c r="I14" s="4"/>
      <c r="J14" s="206" t="s">
        <v>83</v>
      </c>
      <c r="K14" s="24">
        <f>EXP(L13+(M13/((D33+273.15)))+(N13*LN((D33+273.15)))+(O13*((D33+273.15))^P13))</f>
        <v>5.6938792976735173E-4</v>
      </c>
      <c r="L14" s="397" t="s">
        <v>81</v>
      </c>
      <c r="M14" s="397"/>
      <c r="N14" s="397"/>
      <c r="O14" s="397"/>
      <c r="P14" s="397"/>
      <c r="Q14" s="207"/>
      <c r="R14" s="94">
        <f>IF(D13="Heptane",(1/Q13)*(((S13^2)/AA6)+T13-(2*S13*U13*AA6)-(S13*V13*(AE15^2))-(((U13^2)*AA6^3)/3)-(U13*V13*(AA6^4))-((W13^2)*(AA6^5)/5)),(1/Q13)*(S13+(T13*(((D33+273.15))))+(U13*((((D33+273.15)))^2))+(V13*((((D33+273.15)))^3))+(W13*((((D33+273.15)))^4))))</f>
        <v>4176.6000917894144</v>
      </c>
      <c r="S14" s="397" t="s">
        <v>124</v>
      </c>
      <c r="T14" s="397"/>
      <c r="U14" s="397"/>
      <c r="V14" s="397"/>
      <c r="W14" s="397"/>
      <c r="X14" s="12"/>
      <c r="Y14" s="208">
        <f>(Z13+(AA13*((D33+273.15)))+(AB13*(((D33+273.15))^2))+(AC13*(((D33+273.15))^3))+(AD13*(((D33+273.15))^4)))</f>
        <v>0.63634863459391589</v>
      </c>
      <c r="Z14" s="397" t="s">
        <v>256</v>
      </c>
      <c r="AA14" s="397"/>
      <c r="AB14" s="397"/>
      <c r="AC14" s="397"/>
      <c r="AD14" s="409"/>
    </row>
    <row r="15" spans="1:30" ht="17.25" customHeight="1" x14ac:dyDescent="0.2">
      <c r="A15" s="377"/>
      <c r="C15" s="378" t="s">
        <v>551</v>
      </c>
      <c r="D15" s="379"/>
      <c r="I15" s="4"/>
      <c r="J15" s="86"/>
      <c r="K15" s="16" t="s">
        <v>307</v>
      </c>
      <c r="L15" s="10" t="s">
        <v>75</v>
      </c>
      <c r="M15" s="10" t="s">
        <v>76</v>
      </c>
      <c r="N15" s="10" t="s">
        <v>77</v>
      </c>
      <c r="O15" s="10" t="s">
        <v>78</v>
      </c>
      <c r="P15" s="10" t="s">
        <v>82</v>
      </c>
      <c r="Q15" s="53" t="s">
        <v>79</v>
      </c>
      <c r="R15" s="161" t="s">
        <v>307</v>
      </c>
      <c r="S15" s="10" t="s">
        <v>75</v>
      </c>
      <c r="T15" s="10" t="s">
        <v>76</v>
      </c>
      <c r="U15" s="10" t="s">
        <v>77</v>
      </c>
      <c r="V15" s="10" t="s">
        <v>78</v>
      </c>
      <c r="W15" s="10" t="s">
        <v>82</v>
      </c>
      <c r="X15" s="12"/>
      <c r="Y15" s="16" t="s">
        <v>307</v>
      </c>
      <c r="Z15" s="10" t="s">
        <v>75</v>
      </c>
      <c r="AA15" s="10" t="s">
        <v>76</v>
      </c>
      <c r="AB15" s="10" t="s">
        <v>77</v>
      </c>
      <c r="AC15" s="10" t="s">
        <v>78</v>
      </c>
      <c r="AD15" s="8"/>
    </row>
    <row r="16" spans="1:30" ht="16.5" customHeight="1" x14ac:dyDescent="0.2">
      <c r="A16" s="377"/>
      <c r="C16" s="211">
        <f>K11</f>
        <v>3.3355305513526885E-4</v>
      </c>
      <c r="D16" s="315" t="s">
        <v>685</v>
      </c>
      <c r="I16" s="4"/>
      <c r="J16" s="210" t="s">
        <v>67</v>
      </c>
      <c r="K16" s="131" t="s">
        <v>308</v>
      </c>
      <c r="L16" s="131">
        <v>0.38800000000000001</v>
      </c>
      <c r="M16" s="131">
        <v>736.5</v>
      </c>
      <c r="N16" s="131">
        <v>-1.7062999999999999</v>
      </c>
      <c r="O16" s="130"/>
      <c r="P16" s="130"/>
      <c r="Q16" s="132">
        <v>133.404</v>
      </c>
      <c r="R16" s="131" t="s">
        <v>309</v>
      </c>
      <c r="S16" s="131">
        <v>103350</v>
      </c>
      <c r="T16" s="131">
        <v>159.30000000000001</v>
      </c>
      <c r="U16" s="131"/>
      <c r="V16" s="130"/>
      <c r="W16" s="130"/>
      <c r="X16" s="210" t="s">
        <v>67</v>
      </c>
      <c r="Y16" s="131" t="s">
        <v>310</v>
      </c>
      <c r="Z16" s="152">
        <v>0.20730999999999999</v>
      </c>
      <c r="AA16" s="153">
        <f>-2.4997/10000</f>
        <v>-2.4996999999999997E-4</v>
      </c>
      <c r="AB16" s="131"/>
      <c r="AC16" s="130"/>
      <c r="AD16" s="5"/>
    </row>
    <row r="17" spans="1:30" ht="13.5" thickBot="1" x14ac:dyDescent="0.25">
      <c r="A17" s="377"/>
      <c r="C17" s="147" t="s">
        <v>319</v>
      </c>
      <c r="D17" s="212"/>
      <c r="I17" s="4"/>
      <c r="J17" s="210" t="s">
        <v>10</v>
      </c>
      <c r="K17" s="10" t="s">
        <v>311</v>
      </c>
      <c r="L17" s="10">
        <v>-10.143000000000001</v>
      </c>
      <c r="M17" s="10">
        <v>472.79</v>
      </c>
      <c r="N17" s="10">
        <v>-2.8240999999999999E-2</v>
      </c>
      <c r="O17" s="10"/>
      <c r="P17" s="10"/>
      <c r="Q17" s="53">
        <v>54.09</v>
      </c>
      <c r="R17" s="10" t="s">
        <v>312</v>
      </c>
      <c r="S17" s="10">
        <v>135150</v>
      </c>
      <c r="T17" s="10">
        <v>-311.14</v>
      </c>
      <c r="U17" s="10">
        <v>0.97006999999999999</v>
      </c>
      <c r="V17" s="10">
        <v>-1.5229999999999999E-4</v>
      </c>
      <c r="W17" s="10"/>
      <c r="X17" s="210" t="s">
        <v>10</v>
      </c>
      <c r="Y17" s="10" t="s">
        <v>311</v>
      </c>
      <c r="Z17" s="152">
        <v>0.21965999999999999</v>
      </c>
      <c r="AA17" s="154">
        <f>-3.436/10000</f>
        <v>-3.436E-4</v>
      </c>
      <c r="AB17" s="155"/>
      <c r="AC17" s="10"/>
      <c r="AD17" s="8"/>
    </row>
    <row r="18" spans="1:30" x14ac:dyDescent="0.2">
      <c r="A18" s="377"/>
      <c r="I18" s="4"/>
      <c r="J18" s="210" t="s">
        <v>63</v>
      </c>
      <c r="K18" s="131" t="s">
        <v>313</v>
      </c>
      <c r="L18" s="131">
        <v>-804.54</v>
      </c>
      <c r="M18" s="131">
        <v>30487</v>
      </c>
      <c r="N18" s="131">
        <v>130.79</v>
      </c>
      <c r="O18" s="131">
        <v>-0.15448999999999999</v>
      </c>
      <c r="P18" s="131">
        <v>1</v>
      </c>
      <c r="Q18" s="132">
        <v>76.093999999999994</v>
      </c>
      <c r="R18" s="131" t="s">
        <v>314</v>
      </c>
      <c r="S18" s="131">
        <v>58080</v>
      </c>
      <c r="T18" s="131">
        <v>445.2</v>
      </c>
      <c r="U18" s="131"/>
      <c r="V18" s="131"/>
      <c r="W18" s="131"/>
      <c r="X18" s="210" t="s">
        <v>63</v>
      </c>
      <c r="Y18" s="131" t="s">
        <v>315</v>
      </c>
      <c r="Z18" s="152">
        <v>0.214</v>
      </c>
      <c r="AA18" s="154">
        <f>-1.834/10000</f>
        <v>-1.8340000000000001E-4</v>
      </c>
      <c r="AB18" s="131"/>
      <c r="AC18" s="131"/>
      <c r="AD18" s="8"/>
    </row>
    <row r="19" spans="1:30" ht="15" x14ac:dyDescent="0.25">
      <c r="A19" s="377"/>
      <c r="C19" s="423" t="s">
        <v>254</v>
      </c>
      <c r="D19" s="423"/>
      <c r="E19" s="59" t="s">
        <v>270</v>
      </c>
      <c r="I19" s="4"/>
      <c r="J19" s="210" t="s">
        <v>11</v>
      </c>
      <c r="K19" s="10" t="s">
        <v>316</v>
      </c>
      <c r="L19" s="10">
        <v>17.844000000000001</v>
      </c>
      <c r="M19" s="10">
        <v>-310.2</v>
      </c>
      <c r="N19" s="10">
        <v>-4.5057999999999998</v>
      </c>
      <c r="O19" s="10"/>
      <c r="P19" s="10"/>
      <c r="Q19" s="53">
        <v>54.09</v>
      </c>
      <c r="R19" s="10" t="s">
        <v>317</v>
      </c>
      <c r="S19" s="10">
        <v>128860</v>
      </c>
      <c r="T19" s="10">
        <v>-323.10000000000002</v>
      </c>
      <c r="U19" s="10">
        <v>1.0149999999999999</v>
      </c>
      <c r="V19" s="10">
        <v>3.1999999999999999E-5</v>
      </c>
      <c r="W19" s="10"/>
      <c r="X19" s="210" t="s">
        <v>11</v>
      </c>
      <c r="Y19" s="10" t="s">
        <v>318</v>
      </c>
      <c r="Z19" s="152">
        <v>0.22231000000000001</v>
      </c>
      <c r="AA19" s="154">
        <f>-3.664/10000</f>
        <v>-3.6640000000000002E-4</v>
      </c>
      <c r="AB19" s="10"/>
      <c r="AC19" s="10"/>
      <c r="AD19" s="8"/>
    </row>
    <row r="20" spans="1:30" ht="15.75" thickBot="1" x14ac:dyDescent="0.3">
      <c r="A20" s="377"/>
      <c r="E20" s="59" t="s">
        <v>530</v>
      </c>
      <c r="I20" s="4"/>
      <c r="J20" s="210" t="s">
        <v>12</v>
      </c>
      <c r="K20" s="131" t="s">
        <v>320</v>
      </c>
      <c r="L20" s="131">
        <v>0.87668999999999997</v>
      </c>
      <c r="M20" s="131">
        <v>1602.9</v>
      </c>
      <c r="N20" s="131">
        <v>-2.1475</v>
      </c>
      <c r="O20" s="131">
        <f>3.3866*1E+22</f>
        <v>3.3866000000000002E+22</v>
      </c>
      <c r="P20" s="131">
        <v>-9.9230999999999998</v>
      </c>
      <c r="Q20" s="132">
        <v>74.122</v>
      </c>
      <c r="R20" s="131" t="s">
        <v>321</v>
      </c>
      <c r="S20" s="131">
        <v>191200</v>
      </c>
      <c r="T20" s="131">
        <v>-730.4</v>
      </c>
      <c r="U20" s="131">
        <v>2.2997999999999998</v>
      </c>
      <c r="V20" s="131"/>
      <c r="W20" s="131"/>
      <c r="X20" s="210" t="s">
        <v>12</v>
      </c>
      <c r="Y20" s="131" t="s">
        <v>322</v>
      </c>
      <c r="Z20" s="152">
        <v>0.21360000000000001</v>
      </c>
      <c r="AA20" s="154">
        <f>-2.034/10000</f>
        <v>-2.0339999999999998E-4</v>
      </c>
      <c r="AB20" s="131"/>
      <c r="AC20" s="131"/>
      <c r="AD20" s="8"/>
    </row>
    <row r="21" spans="1:30" ht="15" x14ac:dyDescent="0.25">
      <c r="A21" s="377"/>
      <c r="C21" s="378" t="s">
        <v>106</v>
      </c>
      <c r="D21" s="379"/>
      <c r="E21" s="59" t="s">
        <v>528</v>
      </c>
      <c r="I21" s="4"/>
      <c r="J21" s="210" t="s">
        <v>53</v>
      </c>
      <c r="K21" s="10" t="s">
        <v>323</v>
      </c>
      <c r="L21" s="10">
        <v>-19.907</v>
      </c>
      <c r="M21" s="10">
        <v>2791.7</v>
      </c>
      <c r="N21" s="10">
        <v>0.94296000000000002</v>
      </c>
      <c r="O21" s="15">
        <f>2.3041*1E+24</f>
        <v>2.3040999999999999E+24</v>
      </c>
      <c r="P21" s="10">
        <v>-10.09</v>
      </c>
      <c r="Q21" s="53">
        <v>130.22800000000001</v>
      </c>
      <c r="R21" s="10" t="s">
        <v>324</v>
      </c>
      <c r="S21" s="10">
        <v>571370</v>
      </c>
      <c r="T21" s="10">
        <v>-4849</v>
      </c>
      <c r="U21" s="10">
        <v>19.725000000000001</v>
      </c>
      <c r="V21" s="15">
        <v>-2.1553200000000002E-2</v>
      </c>
      <c r="W21" s="10"/>
      <c r="X21" s="210" t="s">
        <v>53</v>
      </c>
      <c r="Y21" s="10" t="s">
        <v>325</v>
      </c>
      <c r="Z21" s="152">
        <v>0.214</v>
      </c>
      <c r="AA21" s="154">
        <f>-1.834/10000</f>
        <v>-1.8340000000000001E-4</v>
      </c>
      <c r="AB21" s="10"/>
      <c r="AC21" s="15"/>
      <c r="AD21" s="8"/>
    </row>
    <row r="22" spans="1:30" ht="15" x14ac:dyDescent="0.25">
      <c r="A22" s="377"/>
      <c r="C22" s="7"/>
      <c r="D22" s="8"/>
      <c r="E22" s="59" t="s">
        <v>529</v>
      </c>
      <c r="F22" s="213"/>
      <c r="I22" s="4"/>
      <c r="J22" s="210" t="s">
        <v>59</v>
      </c>
      <c r="K22" s="131" t="s">
        <v>326</v>
      </c>
      <c r="L22" s="131">
        <v>23.466999999999999</v>
      </c>
      <c r="M22" s="131">
        <v>116.07</v>
      </c>
      <c r="N22" s="131">
        <v>-5.3372000000000002</v>
      </c>
      <c r="O22" s="135">
        <f>2.8801*1000000000</f>
        <v>2880100000</v>
      </c>
      <c r="P22" s="131">
        <v>-4.0266999999999999</v>
      </c>
      <c r="Q22" s="132">
        <v>60.094999999999999</v>
      </c>
      <c r="R22" s="131" t="s">
        <v>327</v>
      </c>
      <c r="S22" s="131">
        <v>158760</v>
      </c>
      <c r="T22" s="131">
        <v>-635</v>
      </c>
      <c r="U22" s="131">
        <v>1.9690000000000001</v>
      </c>
      <c r="V22" s="135"/>
      <c r="W22" s="131"/>
      <c r="X22" s="210" t="s">
        <v>59</v>
      </c>
      <c r="Y22" s="131" t="s">
        <v>328</v>
      </c>
      <c r="Z22" s="152">
        <v>0.214</v>
      </c>
      <c r="AA22" s="154">
        <f>-1.834/10000</f>
        <v>-1.8340000000000001E-4</v>
      </c>
      <c r="AB22" s="131"/>
      <c r="AC22" s="156"/>
      <c r="AD22" s="8"/>
    </row>
    <row r="23" spans="1:30" ht="15.75" thickBot="1" x14ac:dyDescent="0.3">
      <c r="A23" s="377"/>
      <c r="C23" s="307" t="s">
        <v>697</v>
      </c>
      <c r="D23" s="84"/>
      <c r="E23" s="59" t="s">
        <v>337</v>
      </c>
      <c r="I23" s="4"/>
      <c r="J23" s="210" t="s">
        <v>13</v>
      </c>
      <c r="K23" s="10" t="s">
        <v>329</v>
      </c>
      <c r="L23" s="10">
        <v>-16.323</v>
      </c>
      <c r="M23" s="10">
        <v>3141.7</v>
      </c>
      <c r="N23" s="10"/>
      <c r="O23" s="10"/>
      <c r="P23" s="10"/>
      <c r="Q23" s="53">
        <v>74.122</v>
      </c>
      <c r="R23" s="10" t="s">
        <v>330</v>
      </c>
      <c r="S23" s="10">
        <v>426790</v>
      </c>
      <c r="T23" s="10">
        <v>-3694.6</v>
      </c>
      <c r="U23" s="10">
        <v>13.827999999999999</v>
      </c>
      <c r="V23" s="10">
        <v>-1.35E-2</v>
      </c>
      <c r="W23" s="10"/>
      <c r="X23" s="210" t="s">
        <v>13</v>
      </c>
      <c r="Y23" s="10" t="s">
        <v>329</v>
      </c>
      <c r="Z23" s="152">
        <v>0.22786999999999999</v>
      </c>
      <c r="AA23" s="153">
        <f>-3.0727/10000</f>
        <v>-3.0727E-4</v>
      </c>
      <c r="AB23" s="10"/>
      <c r="AC23" s="10"/>
      <c r="AD23" s="8"/>
    </row>
    <row r="24" spans="1:30" x14ac:dyDescent="0.2">
      <c r="A24" s="377"/>
      <c r="I24" s="4"/>
      <c r="J24" s="210" t="s">
        <v>54</v>
      </c>
      <c r="K24" s="131" t="s">
        <v>331</v>
      </c>
      <c r="L24" s="131">
        <v>16.792000000000002</v>
      </c>
      <c r="M24" s="131">
        <v>1353.6</v>
      </c>
      <c r="N24" s="131">
        <v>-4.6356999999999999</v>
      </c>
      <c r="O24" s="130">
        <f>2.6663*1E+31</f>
        <v>2.6663000000000001E+31</v>
      </c>
      <c r="P24" s="131">
        <v>-13.039</v>
      </c>
      <c r="Q24" s="132">
        <v>130.22800000000001</v>
      </c>
      <c r="R24" s="131" t="s">
        <v>332</v>
      </c>
      <c r="S24" s="131">
        <v>319198</v>
      </c>
      <c r="T24" s="131">
        <v>-1042.21</v>
      </c>
      <c r="U24" s="131">
        <v>3.5294300000000001</v>
      </c>
      <c r="V24" s="130"/>
      <c r="W24" s="131"/>
      <c r="X24" s="210" t="s">
        <v>54</v>
      </c>
      <c r="Y24" s="131" t="s">
        <v>333</v>
      </c>
      <c r="Z24" s="152">
        <v>0.214</v>
      </c>
      <c r="AA24" s="154">
        <f>-1.834/10000</f>
        <v>-1.8340000000000001E-4</v>
      </c>
      <c r="AB24" s="131"/>
      <c r="AC24" s="130"/>
      <c r="AD24" s="8"/>
    </row>
    <row r="25" spans="1:30" ht="17.25" customHeight="1" x14ac:dyDescent="0.25">
      <c r="A25" s="377"/>
      <c r="C25" s="214" t="s">
        <v>541</v>
      </c>
      <c r="D25" s="215">
        <f>IF(D10="Other Liquid",D23,C16)</f>
        <v>3.3355305513526885E-4</v>
      </c>
      <c r="E25" s="85" t="s">
        <v>685</v>
      </c>
      <c r="F25" s="59" t="str">
        <f>IF(D$10="Other Liquid","     (manual entry)","     (from menu selection)")</f>
        <v xml:space="preserve">     (from menu selection)</v>
      </c>
      <c r="I25" s="4"/>
      <c r="J25" s="210" t="s">
        <v>60</v>
      </c>
      <c r="K25" s="10" t="s">
        <v>334</v>
      </c>
      <c r="L25" s="10">
        <v>-8.8917999999999999</v>
      </c>
      <c r="M25" s="10">
        <v>2357.6</v>
      </c>
      <c r="N25" s="10">
        <v>-0.91376000000000002</v>
      </c>
      <c r="O25" s="15"/>
      <c r="P25" s="15"/>
      <c r="Q25" s="53">
        <v>60.094999999999999</v>
      </c>
      <c r="R25" s="10" t="s">
        <v>335</v>
      </c>
      <c r="S25" s="10">
        <v>471710</v>
      </c>
      <c r="T25" s="10">
        <v>-4172.1000000000004</v>
      </c>
      <c r="U25" s="10">
        <v>14.744999999999999</v>
      </c>
      <c r="V25" s="15">
        <v>-1.44E-2</v>
      </c>
      <c r="W25" s="15"/>
      <c r="X25" s="210" t="s">
        <v>60</v>
      </c>
      <c r="Y25" s="10" t="s">
        <v>336</v>
      </c>
      <c r="Z25" s="152">
        <v>0.214</v>
      </c>
      <c r="AA25" s="154">
        <f>-1.834/10000</f>
        <v>-1.8340000000000001E-4</v>
      </c>
      <c r="AB25" s="10"/>
      <c r="AC25" s="15"/>
      <c r="AD25" s="5"/>
    </row>
    <row r="26" spans="1:30" ht="18.75" customHeight="1" x14ac:dyDescent="0.25">
      <c r="A26" s="377"/>
      <c r="C26" s="129" t="s">
        <v>521</v>
      </c>
      <c r="I26" s="4"/>
      <c r="J26" s="210" t="s">
        <v>2</v>
      </c>
      <c r="K26" s="131" t="s">
        <v>338</v>
      </c>
      <c r="L26" s="136">
        <v>-9.0299999999999994</v>
      </c>
      <c r="M26" s="136">
        <v>1212.3</v>
      </c>
      <c r="N26" s="136">
        <v>-0.32200000000000001</v>
      </c>
      <c r="O26" s="136"/>
      <c r="P26" s="136"/>
      <c r="Q26" s="132">
        <v>60.052</v>
      </c>
      <c r="R26" s="131" t="s">
        <v>338</v>
      </c>
      <c r="S26" s="136">
        <v>139640</v>
      </c>
      <c r="T26" s="136">
        <v>-320.8</v>
      </c>
      <c r="U26" s="136">
        <v>0.89849999999999997</v>
      </c>
      <c r="V26" s="136"/>
      <c r="W26" s="136"/>
      <c r="X26" s="210" t="s">
        <v>2</v>
      </c>
      <c r="Y26" s="131" t="s">
        <v>338</v>
      </c>
      <c r="Z26" s="152">
        <v>0.214</v>
      </c>
      <c r="AA26" s="154">
        <f>-1.834/10000</f>
        <v>-1.8340000000000001E-4</v>
      </c>
      <c r="AB26" s="152"/>
      <c r="AC26" s="136"/>
      <c r="AD26" s="157"/>
    </row>
    <row r="27" spans="1:30" x14ac:dyDescent="0.2">
      <c r="A27" s="377"/>
      <c r="I27" s="4"/>
      <c r="J27" s="210" t="s">
        <v>3</v>
      </c>
      <c r="K27" s="10" t="s">
        <v>339</v>
      </c>
      <c r="L27" s="10">
        <v>-14.164</v>
      </c>
      <c r="M27" s="10">
        <v>1350.3</v>
      </c>
      <c r="N27" s="10">
        <v>0.44919999999999999</v>
      </c>
      <c r="O27" s="10"/>
      <c r="P27" s="10"/>
      <c r="Q27" s="53">
        <v>102.09</v>
      </c>
      <c r="R27" s="10" t="s">
        <v>340</v>
      </c>
      <c r="S27" s="10">
        <v>36600</v>
      </c>
      <c r="T27" s="10">
        <v>511</v>
      </c>
      <c r="U27" s="10"/>
      <c r="V27" s="10"/>
      <c r="W27" s="10"/>
      <c r="X27" s="210" t="s">
        <v>3</v>
      </c>
      <c r="Y27" s="10" t="s">
        <v>341</v>
      </c>
      <c r="Z27" s="158">
        <v>0.23638000000000001</v>
      </c>
      <c r="AA27" s="153">
        <f>-2.4263/10000</f>
        <v>-2.4263E-4</v>
      </c>
      <c r="AB27" s="10"/>
      <c r="AC27" s="10"/>
      <c r="AD27" s="8"/>
    </row>
    <row r="28" spans="1:30" ht="17.25" customHeight="1" thickBot="1" x14ac:dyDescent="0.25">
      <c r="A28" s="377"/>
      <c r="I28" s="4"/>
      <c r="J28" s="210" t="s">
        <v>4</v>
      </c>
      <c r="K28" s="131" t="s">
        <v>342</v>
      </c>
      <c r="L28" s="131">
        <v>-14.917999999999999</v>
      </c>
      <c r="M28" s="131">
        <v>1023.4</v>
      </c>
      <c r="N28" s="131">
        <v>0.59609999999999996</v>
      </c>
      <c r="O28" s="131"/>
      <c r="P28" s="131"/>
      <c r="Q28" s="132">
        <v>58.079000000000001</v>
      </c>
      <c r="R28" s="131" t="s">
        <v>343</v>
      </c>
      <c r="S28" s="131">
        <v>135600</v>
      </c>
      <c r="T28" s="131">
        <v>-177</v>
      </c>
      <c r="U28" s="131">
        <v>0.28370000000000001</v>
      </c>
      <c r="V28" s="131">
        <v>6.8900000000000005E-4</v>
      </c>
      <c r="W28" s="131"/>
      <c r="X28" s="210" t="s">
        <v>4</v>
      </c>
      <c r="Y28" s="131" t="s">
        <v>344</v>
      </c>
      <c r="Z28" s="131">
        <v>0.2878</v>
      </c>
      <c r="AA28" s="159">
        <f>-4.27/10000</f>
        <v>-4.2699999999999997E-4</v>
      </c>
      <c r="AB28" s="131"/>
      <c r="AC28" s="131"/>
      <c r="AD28" s="8"/>
    </row>
    <row r="29" spans="1:30" ht="21" customHeight="1" x14ac:dyDescent="0.25">
      <c r="A29" s="377"/>
      <c r="C29" s="418" t="s">
        <v>525</v>
      </c>
      <c r="D29" s="419"/>
      <c r="I29" s="4"/>
      <c r="J29" s="210" t="s">
        <v>5</v>
      </c>
      <c r="K29" s="10" t="s">
        <v>345</v>
      </c>
      <c r="L29" s="10">
        <v>-10.906000000000001</v>
      </c>
      <c r="M29" s="10">
        <v>872.02</v>
      </c>
      <c r="N29" s="10"/>
      <c r="O29" s="10"/>
      <c r="P29" s="10"/>
      <c r="Q29" s="53">
        <v>41.052</v>
      </c>
      <c r="R29" s="10" t="s">
        <v>346</v>
      </c>
      <c r="S29" s="10">
        <v>97582</v>
      </c>
      <c r="T29" s="10">
        <v>-122.2</v>
      </c>
      <c r="U29" s="10">
        <v>0.34084999999999999</v>
      </c>
      <c r="V29" s="10"/>
      <c r="W29" s="10"/>
      <c r="X29" s="210" t="s">
        <v>5</v>
      </c>
      <c r="Y29" s="10" t="s">
        <v>347</v>
      </c>
      <c r="Z29" s="158">
        <v>0.33191999999999999</v>
      </c>
      <c r="AA29" s="153">
        <f>-4.3243/10000</f>
        <v>-4.3242999999999998E-4</v>
      </c>
      <c r="AB29" s="10"/>
      <c r="AC29" s="10"/>
      <c r="AD29" s="8"/>
    </row>
    <row r="30" spans="1:30" ht="13.5" customHeight="1" x14ac:dyDescent="0.2">
      <c r="A30" s="377"/>
      <c r="C30" s="4"/>
      <c r="D30" s="5"/>
      <c r="E30" s="205" t="s">
        <v>305</v>
      </c>
      <c r="I30" s="4"/>
      <c r="J30" s="210" t="s">
        <v>6</v>
      </c>
      <c r="K30" s="131" t="s">
        <v>348</v>
      </c>
      <c r="L30" s="131">
        <v>-28.12</v>
      </c>
      <c r="M30" s="131">
        <v>2280.1999999999998</v>
      </c>
      <c r="N30" s="131">
        <v>2.3956</v>
      </c>
      <c r="O30" s="131"/>
      <c r="P30" s="131"/>
      <c r="Q30" s="132">
        <v>72.063000000000002</v>
      </c>
      <c r="R30" s="131" t="s">
        <v>349</v>
      </c>
      <c r="S30" s="131">
        <v>55300</v>
      </c>
      <c r="T30" s="131">
        <v>300</v>
      </c>
      <c r="U30" s="131"/>
      <c r="V30" s="131"/>
      <c r="W30" s="131"/>
      <c r="X30" s="210" t="s">
        <v>6</v>
      </c>
      <c r="Y30" s="131" t="s">
        <v>350</v>
      </c>
      <c r="Z30" s="160">
        <v>0.24410000000000001</v>
      </c>
      <c r="AA30" s="154">
        <f>-2904/10000</f>
        <v>-0.29039999999999999</v>
      </c>
      <c r="AB30" s="131"/>
      <c r="AC30" s="131"/>
      <c r="AD30" s="8"/>
    </row>
    <row r="31" spans="1:30" ht="14.25" x14ac:dyDescent="0.2">
      <c r="A31" s="377"/>
      <c r="C31" s="146" t="s">
        <v>522</v>
      </c>
      <c r="D31" s="71" t="str">
        <f>AnnulusLiquid</f>
        <v>Water</v>
      </c>
      <c r="E31" s="205" t="s">
        <v>526</v>
      </c>
      <c r="I31" s="4"/>
      <c r="J31" s="210" t="s">
        <v>7</v>
      </c>
      <c r="K31" s="131" t="s">
        <v>352</v>
      </c>
      <c r="L31" s="131">
        <v>7.5117000000000003</v>
      </c>
      <c r="M31" s="131">
        <v>294.68</v>
      </c>
      <c r="N31" s="131">
        <v>-2.794</v>
      </c>
      <c r="O31" s="131"/>
      <c r="P31" s="131"/>
      <c r="Q31" s="132">
        <v>78.111999999999995</v>
      </c>
      <c r="R31" s="131" t="s">
        <v>353</v>
      </c>
      <c r="S31" s="131">
        <v>129440</v>
      </c>
      <c r="T31" s="131">
        <v>-169.5</v>
      </c>
      <c r="U31" s="131">
        <v>0.64781</v>
      </c>
      <c r="V31" s="131"/>
      <c r="W31" s="131"/>
      <c r="X31" s="210" t="s">
        <v>7</v>
      </c>
      <c r="Y31" s="131" t="s">
        <v>354</v>
      </c>
      <c r="Z31" s="160">
        <v>0.23444000000000001</v>
      </c>
      <c r="AA31" s="153">
        <f>-3.0572/10000</f>
        <v>-3.0571999999999999E-4</v>
      </c>
      <c r="AB31" s="131"/>
      <c r="AC31" s="131"/>
      <c r="AD31" s="8"/>
    </row>
    <row r="32" spans="1:30" ht="14.25" x14ac:dyDescent="0.2">
      <c r="A32" s="377"/>
      <c r="C32" s="243" t="s">
        <v>253</v>
      </c>
      <c r="D32" s="224" t="str">
        <f>K13</f>
        <v xml:space="preserve"> 0 to 373</v>
      </c>
      <c r="I32" s="4"/>
      <c r="J32" s="210" t="s">
        <v>8</v>
      </c>
      <c r="K32" s="10" t="s">
        <v>356</v>
      </c>
      <c r="L32" s="10">
        <v>-12.946999999999999</v>
      </c>
      <c r="M32" s="10">
        <v>2557.9</v>
      </c>
      <c r="N32" s="10"/>
      <c r="O32" s="10"/>
      <c r="P32" s="10"/>
      <c r="Q32" s="53">
        <v>122.121</v>
      </c>
      <c r="R32" s="10" t="s">
        <v>357</v>
      </c>
      <c r="S32" s="10">
        <v>-5480</v>
      </c>
      <c r="T32" s="10">
        <v>647.12</v>
      </c>
      <c r="U32" s="10"/>
      <c r="V32" s="10"/>
      <c r="W32" s="10"/>
      <c r="X32" s="210" t="s">
        <v>8</v>
      </c>
      <c r="Y32" s="10" t="s">
        <v>358</v>
      </c>
      <c r="Z32" s="162">
        <v>0.23910000000000001</v>
      </c>
      <c r="AA32" s="154">
        <f>-2.325/10000</f>
        <v>-2.3250000000000001E-4</v>
      </c>
      <c r="AB32" s="10"/>
      <c r="AC32" s="10"/>
      <c r="AD32" s="8"/>
    </row>
    <row r="33" spans="1:30" ht="15" thickBot="1" x14ac:dyDescent="0.25">
      <c r="A33" s="377"/>
      <c r="C33" s="147" t="s">
        <v>524</v>
      </c>
      <c r="D33" s="209">
        <f>TSurfAnnulus</f>
        <v>49</v>
      </c>
      <c r="E33" s="205" t="s">
        <v>306</v>
      </c>
      <c r="I33" s="4"/>
      <c r="J33" s="210" t="s">
        <v>9</v>
      </c>
      <c r="K33" s="131" t="s">
        <v>360</v>
      </c>
      <c r="L33" s="131">
        <v>-20.611000000000001</v>
      </c>
      <c r="M33" s="131">
        <v>1656.5</v>
      </c>
      <c r="N33" s="131">
        <v>1.4415</v>
      </c>
      <c r="O33" s="131"/>
      <c r="P33" s="131"/>
      <c r="Q33" s="132">
        <v>157.00800000000001</v>
      </c>
      <c r="R33" s="131" t="s">
        <v>361</v>
      </c>
      <c r="S33" s="131">
        <v>121600</v>
      </c>
      <c r="T33" s="131">
        <v>-9.4499999999999993</v>
      </c>
      <c r="U33" s="131">
        <v>0.35799999999999998</v>
      </c>
      <c r="V33" s="131"/>
      <c r="W33" s="131"/>
      <c r="X33" s="210" t="s">
        <v>9</v>
      </c>
      <c r="Y33" s="131" t="s">
        <v>362</v>
      </c>
      <c r="Z33" s="158">
        <v>0.16983000000000001</v>
      </c>
      <c r="AA33" s="154">
        <f>-1.981/10000</f>
        <v>-1.9810000000000002E-4</v>
      </c>
      <c r="AB33" s="131"/>
      <c r="AC33" s="131"/>
      <c r="AD33" s="8"/>
    </row>
    <row r="34" spans="1:30" ht="14.25" x14ac:dyDescent="0.2">
      <c r="A34" s="377"/>
      <c r="E34" s="205" t="s">
        <v>519</v>
      </c>
      <c r="I34" s="4"/>
      <c r="J34" s="210" t="s">
        <v>14</v>
      </c>
      <c r="K34" s="10" t="s">
        <v>363</v>
      </c>
      <c r="L34" s="10">
        <v>-17.488</v>
      </c>
      <c r="M34" s="10">
        <v>1478.2</v>
      </c>
      <c r="N34" s="10">
        <v>0.91827999999999999</v>
      </c>
      <c r="O34" s="10"/>
      <c r="P34" s="10"/>
      <c r="Q34" s="53">
        <v>116.16</v>
      </c>
      <c r="R34" s="10" t="s">
        <v>364</v>
      </c>
      <c r="S34" s="10">
        <v>111850</v>
      </c>
      <c r="T34" s="10">
        <v>384.52</v>
      </c>
      <c r="U34" s="10"/>
      <c r="V34" s="10"/>
      <c r="W34" s="10"/>
      <c r="X34" s="210" t="s">
        <v>14</v>
      </c>
      <c r="Y34" s="10" t="s">
        <v>365</v>
      </c>
      <c r="Z34" s="160">
        <v>0.21720999999999999</v>
      </c>
      <c r="AA34" s="153">
        <f>-2.6563/10000</f>
        <v>-2.6562999999999999E-4</v>
      </c>
      <c r="AB34" s="10"/>
      <c r="AC34" s="10"/>
      <c r="AD34" s="8"/>
    </row>
    <row r="35" spans="1:30" ht="15" thickBot="1" x14ac:dyDescent="0.25">
      <c r="A35" s="377"/>
      <c r="E35" s="205" t="s">
        <v>520</v>
      </c>
      <c r="I35" s="4"/>
      <c r="J35" s="210" t="s">
        <v>15</v>
      </c>
      <c r="K35" s="131" t="s">
        <v>366</v>
      </c>
      <c r="L35" s="131">
        <v>-10.305999999999999</v>
      </c>
      <c r="M35" s="131">
        <v>703.01</v>
      </c>
      <c r="N35" s="131"/>
      <c r="O35" s="131"/>
      <c r="P35" s="131"/>
      <c r="Q35" s="132">
        <v>76.141000000000005</v>
      </c>
      <c r="R35" s="131" t="s">
        <v>367</v>
      </c>
      <c r="S35" s="131">
        <v>85600</v>
      </c>
      <c r="T35" s="131">
        <v>-122</v>
      </c>
      <c r="U35" s="131">
        <v>0.5605</v>
      </c>
      <c r="V35" s="131">
        <v>-1.4519999999999999E-3</v>
      </c>
      <c r="W35" s="131">
        <f>2.008/1000000</f>
        <v>2.0080000000000001E-6</v>
      </c>
      <c r="X35" s="210" t="s">
        <v>15</v>
      </c>
      <c r="Y35" s="131" t="s">
        <v>368</v>
      </c>
      <c r="Z35" s="162">
        <v>0.23330000000000001</v>
      </c>
      <c r="AA35" s="159">
        <f>-2.75/10000</f>
        <v>-2.7500000000000002E-4</v>
      </c>
      <c r="AB35" s="131"/>
      <c r="AC35" s="131"/>
      <c r="AD35" s="8"/>
    </row>
    <row r="36" spans="1:30" ht="17.25" customHeight="1" x14ac:dyDescent="0.2">
      <c r="A36" s="377"/>
      <c r="C36" s="378" t="s">
        <v>552</v>
      </c>
      <c r="D36" s="379"/>
      <c r="I36" s="4"/>
      <c r="J36" s="210" t="s">
        <v>16</v>
      </c>
      <c r="K36" s="10" t="s">
        <v>369</v>
      </c>
      <c r="L36" s="10">
        <v>-8.0738000000000003</v>
      </c>
      <c r="M36" s="10">
        <v>1121.0999999999999</v>
      </c>
      <c r="N36" s="10">
        <v>-0.47260000000000002</v>
      </c>
      <c r="O36" s="15"/>
      <c r="P36" s="15"/>
      <c r="Q36" s="53">
        <v>153.82300000000001</v>
      </c>
      <c r="R36" s="10" t="s">
        <v>370</v>
      </c>
      <c r="S36" s="10">
        <v>-752700</v>
      </c>
      <c r="T36" s="10">
        <v>8966.1</v>
      </c>
      <c r="U36" s="10">
        <v>-30.393999999999998</v>
      </c>
      <c r="V36" s="15">
        <v>3.4455E-2</v>
      </c>
      <c r="W36" s="15"/>
      <c r="X36" s="210" t="s">
        <v>16</v>
      </c>
      <c r="Y36" s="10" t="s">
        <v>340</v>
      </c>
      <c r="Z36" s="163">
        <v>0.15890000000000001</v>
      </c>
      <c r="AA36" s="154">
        <f>-1.987/10000</f>
        <v>-1.9870000000000001E-4</v>
      </c>
      <c r="AB36" s="10"/>
      <c r="AC36" s="15"/>
      <c r="AD36" s="5"/>
    </row>
    <row r="37" spans="1:30" ht="15.75" customHeight="1" x14ac:dyDescent="0.2">
      <c r="A37" s="377"/>
      <c r="C37" s="211">
        <f>K14</f>
        <v>5.6938792976735173E-4</v>
      </c>
      <c r="D37" s="315" t="s">
        <v>685</v>
      </c>
      <c r="I37" s="4"/>
      <c r="J37" s="210" t="s">
        <v>17</v>
      </c>
      <c r="K37" s="131" t="s">
        <v>371</v>
      </c>
      <c r="L37" s="131">
        <v>0.15772</v>
      </c>
      <c r="M37" s="131">
        <v>540.5</v>
      </c>
      <c r="N37" s="131">
        <v>-1.6074999999999999</v>
      </c>
      <c r="O37" s="130"/>
      <c r="P37" s="130"/>
      <c r="Q37" s="132">
        <v>112.557</v>
      </c>
      <c r="R37" s="131" t="s">
        <v>372</v>
      </c>
      <c r="S37" s="131">
        <v>-1307500</v>
      </c>
      <c r="T37" s="131">
        <v>15338</v>
      </c>
      <c r="U37" s="131">
        <v>-53.973999999999997</v>
      </c>
      <c r="V37" s="130">
        <v>6.3482999999999998E-2</v>
      </c>
      <c r="W37" s="130"/>
      <c r="X37" s="210" t="s">
        <v>17</v>
      </c>
      <c r="Y37" s="131" t="s">
        <v>373</v>
      </c>
      <c r="Z37" s="162">
        <v>0.18410000000000001</v>
      </c>
      <c r="AA37" s="154">
        <f>-1.917/10000</f>
        <v>-1.917E-4</v>
      </c>
      <c r="AB37" s="131"/>
      <c r="AC37" s="130"/>
      <c r="AD37" s="5"/>
    </row>
    <row r="38" spans="1:30" ht="12" customHeight="1" thickBot="1" x14ac:dyDescent="0.25">
      <c r="A38" s="377"/>
      <c r="C38" s="147" t="s">
        <v>319</v>
      </c>
      <c r="D38" s="212"/>
      <c r="I38" s="4"/>
      <c r="J38" s="210" t="s">
        <v>18</v>
      </c>
      <c r="K38" s="10" t="s">
        <v>374</v>
      </c>
      <c r="L38" s="10">
        <v>-14.109</v>
      </c>
      <c r="M38" s="10">
        <v>1049.2</v>
      </c>
      <c r="N38" s="10">
        <v>0.53769999999999996</v>
      </c>
      <c r="O38" s="15"/>
      <c r="P38" s="15"/>
      <c r="Q38" s="53">
        <v>119.378</v>
      </c>
      <c r="R38" s="10" t="s">
        <v>375</v>
      </c>
      <c r="S38" s="10">
        <v>124850</v>
      </c>
      <c r="T38" s="10">
        <v>-166.34</v>
      </c>
      <c r="U38" s="10">
        <v>0.43208999999999997</v>
      </c>
      <c r="V38" s="15"/>
      <c r="W38" s="15"/>
      <c r="X38" s="210" t="s">
        <v>18</v>
      </c>
      <c r="Y38" s="10" t="s">
        <v>376</v>
      </c>
      <c r="Z38" s="163">
        <v>0.17780000000000001</v>
      </c>
      <c r="AA38" s="154">
        <f>-2.023/10000</f>
        <v>-2.0230000000000001E-4</v>
      </c>
      <c r="AB38" s="10"/>
      <c r="AC38" s="15"/>
      <c r="AD38" s="5"/>
    </row>
    <row r="39" spans="1:30" x14ac:dyDescent="0.2">
      <c r="A39" s="377"/>
      <c r="I39" s="4"/>
      <c r="J39" s="210" t="s">
        <v>19</v>
      </c>
      <c r="K39" s="131" t="s">
        <v>377</v>
      </c>
      <c r="L39" s="131">
        <v>-25.132000000000001</v>
      </c>
      <c r="M39" s="131">
        <v>1381.9</v>
      </c>
      <c r="N39" s="131">
        <v>2.0811000000000002</v>
      </c>
      <c r="O39" s="130">
        <f>-4.4999/1E+27</f>
        <v>-4.4999E-27</v>
      </c>
      <c r="P39" s="131">
        <v>10</v>
      </c>
      <c r="Q39" s="132">
        <v>50.488</v>
      </c>
      <c r="R39" s="131" t="s">
        <v>378</v>
      </c>
      <c r="S39" s="131">
        <v>96910</v>
      </c>
      <c r="T39" s="131">
        <v>-207.9</v>
      </c>
      <c r="U39" s="131">
        <v>0.37456</v>
      </c>
      <c r="V39" s="130">
        <v>4.8799999999999999E-4</v>
      </c>
      <c r="W39" s="131"/>
      <c r="X39" s="210" t="s">
        <v>19</v>
      </c>
      <c r="Y39" s="131" t="s">
        <v>379</v>
      </c>
      <c r="Z39" s="160">
        <v>0.41066999999999998</v>
      </c>
      <c r="AA39" s="154">
        <f>-8.478/10000</f>
        <v>-8.4780000000000001E-4</v>
      </c>
      <c r="AB39" s="131"/>
      <c r="AC39" s="130"/>
      <c r="AD39" s="8"/>
    </row>
    <row r="40" spans="1:30" ht="15" x14ac:dyDescent="0.25">
      <c r="A40" s="377"/>
      <c r="C40" s="423" t="s">
        <v>254</v>
      </c>
      <c r="D40" s="423"/>
      <c r="E40" s="59" t="s">
        <v>270</v>
      </c>
      <c r="I40" s="4"/>
      <c r="J40" s="210" t="s">
        <v>20</v>
      </c>
      <c r="K40" s="10" t="s">
        <v>380</v>
      </c>
      <c r="L40" s="10">
        <v>-24.988</v>
      </c>
      <c r="M40" s="10">
        <v>1807.9</v>
      </c>
      <c r="N40" s="10">
        <v>2.0556000000000001</v>
      </c>
      <c r="O40" s="15"/>
      <c r="P40" s="15"/>
      <c r="Q40" s="53">
        <v>120.19199999999999</v>
      </c>
      <c r="R40" s="10" t="s">
        <v>381</v>
      </c>
      <c r="S40" s="10">
        <v>61723</v>
      </c>
      <c r="T40" s="10">
        <v>494.81</v>
      </c>
      <c r="U40" s="10"/>
      <c r="V40" s="15"/>
      <c r="W40" s="15"/>
      <c r="X40" s="210" t="s">
        <v>20</v>
      </c>
      <c r="Y40" s="10" t="s">
        <v>382</v>
      </c>
      <c r="Z40" s="163">
        <v>0.1855</v>
      </c>
      <c r="AA40" s="153">
        <f>-2.0895/10000</f>
        <v>-2.0895000000000001E-4</v>
      </c>
      <c r="AB40" s="10"/>
      <c r="AC40" s="15"/>
      <c r="AD40" s="5"/>
    </row>
    <row r="41" spans="1:30" ht="15.75" thickBot="1" x14ac:dyDescent="0.3">
      <c r="A41" s="377"/>
      <c r="E41" s="59" t="s">
        <v>530</v>
      </c>
      <c r="I41" s="4"/>
      <c r="J41" s="210" t="s">
        <v>21</v>
      </c>
      <c r="K41" s="131" t="s">
        <v>383</v>
      </c>
      <c r="L41" s="131">
        <v>-33.762999999999998</v>
      </c>
      <c r="M41" s="131">
        <v>2497.1999999999998</v>
      </c>
      <c r="N41" s="131">
        <v>3.2235999999999998</v>
      </c>
      <c r="O41" s="130"/>
      <c r="P41" s="130"/>
      <c r="Q41" s="132">
        <v>84.159000000000006</v>
      </c>
      <c r="R41" s="131" t="s">
        <v>384</v>
      </c>
      <c r="S41" s="131">
        <v>-220600</v>
      </c>
      <c r="T41" s="131">
        <v>3118.3</v>
      </c>
      <c r="U41" s="131">
        <v>-9.4215999999999998</v>
      </c>
      <c r="V41" s="130">
        <v>1.0687E-2</v>
      </c>
      <c r="W41" s="130"/>
      <c r="X41" s="210" t="s">
        <v>21</v>
      </c>
      <c r="Y41" s="131" t="s">
        <v>385</v>
      </c>
      <c r="Z41" s="160">
        <v>0.19813</v>
      </c>
      <c r="AA41" s="154">
        <f>-2.505/10000</f>
        <v>-2.5049999999999996E-4</v>
      </c>
      <c r="AB41" s="131"/>
      <c r="AC41" s="130"/>
      <c r="AD41" s="5"/>
    </row>
    <row r="42" spans="1:30" ht="15" x14ac:dyDescent="0.25">
      <c r="A42" s="377"/>
      <c r="C42" s="378" t="s">
        <v>106</v>
      </c>
      <c r="D42" s="379"/>
      <c r="E42" s="59" t="s">
        <v>531</v>
      </c>
      <c r="I42" s="4"/>
      <c r="J42" s="210" t="s">
        <v>22</v>
      </c>
      <c r="K42" s="10" t="s">
        <v>386</v>
      </c>
      <c r="L42" s="10">
        <v>-3.2612000000000001</v>
      </c>
      <c r="M42" s="10">
        <v>614.16</v>
      </c>
      <c r="N42" s="10">
        <v>-1.1559999999999999</v>
      </c>
      <c r="O42" s="15"/>
      <c r="P42" s="15"/>
      <c r="Q42" s="53">
        <v>70.132999999999996</v>
      </c>
      <c r="R42" s="10" t="s">
        <v>387</v>
      </c>
      <c r="S42" s="10">
        <v>122530</v>
      </c>
      <c r="T42" s="10">
        <v>-403.8</v>
      </c>
      <c r="U42" s="10">
        <v>1.7343999999999999</v>
      </c>
      <c r="V42" s="15">
        <v>-1.0975E-3</v>
      </c>
      <c r="W42" s="15"/>
      <c r="X42" s="210" t="s">
        <v>22</v>
      </c>
      <c r="Y42" s="10" t="s">
        <v>388</v>
      </c>
      <c r="Z42" s="163">
        <v>0.20660000000000001</v>
      </c>
      <c r="AA42" s="154">
        <f>-2.696/10000</f>
        <v>-2.6959999999999999E-4</v>
      </c>
      <c r="AB42" s="10"/>
      <c r="AC42" s="15"/>
      <c r="AD42" s="5"/>
    </row>
    <row r="43" spans="1:30" ht="15" x14ac:dyDescent="0.25">
      <c r="A43" s="377"/>
      <c r="C43" s="7"/>
      <c r="D43" s="8"/>
      <c r="E43" s="59" t="s">
        <v>529</v>
      </c>
      <c r="F43" s="213"/>
      <c r="I43" s="4"/>
      <c r="J43" s="210" t="s">
        <v>23</v>
      </c>
      <c r="K43" s="131" t="s">
        <v>389</v>
      </c>
      <c r="L43" s="131">
        <v>-10.115</v>
      </c>
      <c r="M43" s="131">
        <v>1111.9000000000001</v>
      </c>
      <c r="N43" s="131">
        <v>-1.5658999999999999E-2</v>
      </c>
      <c r="O43" s="130"/>
      <c r="P43" s="130"/>
      <c r="Q43" s="132">
        <v>142.28200000000001</v>
      </c>
      <c r="R43" s="131" t="s">
        <v>390</v>
      </c>
      <c r="S43" s="131">
        <v>278620</v>
      </c>
      <c r="T43" s="131">
        <v>-197.91</v>
      </c>
      <c r="U43" s="131">
        <v>1.0737000000000001</v>
      </c>
      <c r="V43" s="130"/>
      <c r="W43" s="130"/>
      <c r="X43" s="210" t="s">
        <v>23</v>
      </c>
      <c r="Y43" s="131" t="s">
        <v>391</v>
      </c>
      <c r="Z43" s="162">
        <v>0.20630000000000001</v>
      </c>
      <c r="AA43" s="164">
        <f>-2.5/10000</f>
        <v>-2.5000000000000001E-4</v>
      </c>
      <c r="AB43" s="131"/>
      <c r="AC43" s="130"/>
      <c r="AD43" s="5"/>
    </row>
    <row r="44" spans="1:30" ht="15.75" thickBot="1" x14ac:dyDescent="0.3">
      <c r="A44" s="377"/>
      <c r="C44" s="307" t="s">
        <v>697</v>
      </c>
      <c r="D44" s="84"/>
      <c r="E44" s="59" t="s">
        <v>337</v>
      </c>
      <c r="I44" s="4"/>
      <c r="J44" s="210" t="s">
        <v>24</v>
      </c>
      <c r="K44" s="10" t="s">
        <v>392</v>
      </c>
      <c r="L44" s="10">
        <v>10.026999999999999</v>
      </c>
      <c r="M44" s="10">
        <v>206</v>
      </c>
      <c r="N44" s="10">
        <v>-3.1606999999999998</v>
      </c>
      <c r="O44" s="15"/>
      <c r="P44" s="15"/>
      <c r="Q44" s="53">
        <v>130.22800000000001</v>
      </c>
      <c r="R44" s="10" t="s">
        <v>393</v>
      </c>
      <c r="S44" s="10">
        <v>270720</v>
      </c>
      <c r="T44" s="10">
        <v>-259.83</v>
      </c>
      <c r="U44" s="10">
        <v>0.95426999999999995</v>
      </c>
      <c r="V44" s="15"/>
      <c r="W44" s="15"/>
      <c r="X44" s="210" t="s">
        <v>24</v>
      </c>
      <c r="Y44" s="10" t="s">
        <v>394</v>
      </c>
      <c r="Z44" s="160">
        <v>0.19417999999999999</v>
      </c>
      <c r="AA44" s="153">
        <f>-2.2246/10000</f>
        <v>-2.2246000000000001E-4</v>
      </c>
      <c r="AB44" s="10"/>
      <c r="AC44" s="15"/>
      <c r="AD44" s="5"/>
    </row>
    <row r="45" spans="1:30" x14ac:dyDescent="0.2">
      <c r="A45" s="377"/>
      <c r="I45" s="4"/>
      <c r="J45" s="210" t="s">
        <v>25</v>
      </c>
      <c r="K45" s="131" t="s">
        <v>395</v>
      </c>
      <c r="L45" s="131">
        <v>-375.21</v>
      </c>
      <c r="M45" s="131">
        <v>17177</v>
      </c>
      <c r="N45" s="131">
        <v>66.66</v>
      </c>
      <c r="O45" s="131">
        <v>-3.6366999999999998</v>
      </c>
      <c r="P45" s="131">
        <v>0.5</v>
      </c>
      <c r="Q45" s="132">
        <v>105.136</v>
      </c>
      <c r="R45" s="131" t="s">
        <v>396</v>
      </c>
      <c r="S45" s="131">
        <v>184200</v>
      </c>
      <c r="T45" s="131">
        <v>286</v>
      </c>
      <c r="U45" s="131"/>
      <c r="V45" s="131"/>
      <c r="W45" s="131"/>
      <c r="X45" s="210" t="s">
        <v>25</v>
      </c>
      <c r="Y45" s="131" t="s">
        <v>397</v>
      </c>
      <c r="Z45" s="162">
        <v>2.18E-2</v>
      </c>
      <c r="AA45" s="153">
        <f>1.0315/1000</f>
        <v>1.0315000000000001E-3</v>
      </c>
      <c r="AB45" s="165">
        <f>-1.355/1000000</f>
        <v>-1.3549999999999999E-6</v>
      </c>
      <c r="AC45" s="131"/>
      <c r="AD45" s="8"/>
    </row>
    <row r="46" spans="1:30" ht="18" customHeight="1" x14ac:dyDescent="0.25">
      <c r="A46" s="377"/>
      <c r="C46" s="214" t="s">
        <v>542</v>
      </c>
      <c r="D46" s="215">
        <f>IF(D31="Other Liquid",D44,C37)</f>
        <v>5.6938792976735173E-4</v>
      </c>
      <c r="E46" s="85" t="s">
        <v>698</v>
      </c>
      <c r="F46" s="59" t="str">
        <f>IF(D$10="Other Liquid","     (manual entry)","     (from menu selection)")</f>
        <v xml:space="preserve">     (from menu selection)</v>
      </c>
      <c r="I46" s="4"/>
      <c r="J46" s="210" t="s">
        <v>26</v>
      </c>
      <c r="K46" s="10" t="s">
        <v>398</v>
      </c>
      <c r="L46" s="10">
        <v>10.196999999999999</v>
      </c>
      <c r="M46" s="10">
        <v>-63.8</v>
      </c>
      <c r="N46" s="10">
        <v>-3.226</v>
      </c>
      <c r="O46" s="15"/>
      <c r="P46" s="15"/>
      <c r="Q46" s="53">
        <v>74.122</v>
      </c>
      <c r="R46" s="10" t="s">
        <v>398</v>
      </c>
      <c r="S46" s="10">
        <v>44400</v>
      </c>
      <c r="T46" s="10">
        <v>1301</v>
      </c>
      <c r="U46" s="10">
        <v>-5.5</v>
      </c>
      <c r="V46" s="15">
        <v>8.763E-3</v>
      </c>
      <c r="W46" s="15"/>
      <c r="X46" s="210" t="s">
        <v>26</v>
      </c>
      <c r="Y46" s="10" t="s">
        <v>399</v>
      </c>
      <c r="Z46" s="162">
        <v>0.2495</v>
      </c>
      <c r="AA46" s="159">
        <f>-4.07/10000</f>
        <v>-4.0700000000000003E-4</v>
      </c>
      <c r="AB46" s="10"/>
      <c r="AC46" s="15"/>
      <c r="AD46" s="5"/>
    </row>
    <row r="47" spans="1:30" ht="18" customHeight="1" x14ac:dyDescent="0.2">
      <c r="A47" s="377"/>
      <c r="C47" s="129" t="s">
        <v>527</v>
      </c>
      <c r="I47" s="4"/>
      <c r="J47" s="210" t="s">
        <v>27</v>
      </c>
      <c r="K47" s="131" t="s">
        <v>400</v>
      </c>
      <c r="L47" s="131">
        <v>-37.347000000000001</v>
      </c>
      <c r="M47" s="131">
        <v>2835</v>
      </c>
      <c r="N47" s="131">
        <v>3.7936999999999999</v>
      </c>
      <c r="O47" s="130"/>
      <c r="P47" s="130"/>
      <c r="Q47" s="132">
        <v>78.132999999999996</v>
      </c>
      <c r="R47" s="131" t="s">
        <v>401</v>
      </c>
      <c r="S47" s="131">
        <v>240300</v>
      </c>
      <c r="T47" s="131">
        <v>-595</v>
      </c>
      <c r="U47" s="131">
        <v>1013</v>
      </c>
      <c r="V47" s="130"/>
      <c r="W47" s="130"/>
      <c r="X47" s="210" t="s">
        <v>27</v>
      </c>
      <c r="Y47" s="131" t="s">
        <v>400</v>
      </c>
      <c r="Z47" s="162">
        <v>0.31419999999999998</v>
      </c>
      <c r="AA47" s="153">
        <f>-3.0809/10000</f>
        <v>-3.0809000000000001E-4</v>
      </c>
      <c r="AB47" s="131"/>
      <c r="AC47" s="130"/>
      <c r="AD47" s="5"/>
    </row>
    <row r="48" spans="1:30" x14ac:dyDescent="0.2">
      <c r="I48" s="4"/>
      <c r="J48" s="210" t="s">
        <v>28</v>
      </c>
      <c r="K48" s="10" t="s">
        <v>402</v>
      </c>
      <c r="L48" s="10">
        <v>-12.372999999999999</v>
      </c>
      <c r="M48" s="10">
        <v>2017.5</v>
      </c>
      <c r="N48" s="15"/>
      <c r="O48" s="15"/>
      <c r="P48" s="15"/>
      <c r="Q48" s="53">
        <v>170.20699999999999</v>
      </c>
      <c r="R48" s="10" t="s">
        <v>403</v>
      </c>
      <c r="S48" s="10">
        <v>134160</v>
      </c>
      <c r="T48" s="10">
        <v>447.67</v>
      </c>
      <c r="U48" s="15"/>
      <c r="V48" s="15"/>
      <c r="W48" s="15"/>
      <c r="X48" s="210" t="s">
        <v>28</v>
      </c>
      <c r="Y48" s="10" t="s">
        <v>404</v>
      </c>
      <c r="Z48" s="160">
        <v>0.18686</v>
      </c>
      <c r="AA48" s="153">
        <f>-1.4953/10000</f>
        <v>-1.4953000000000001E-4</v>
      </c>
      <c r="AB48" s="15"/>
      <c r="AC48" s="15"/>
      <c r="AD48" s="5"/>
    </row>
    <row r="49" spans="1:30" ht="16.5" thickBot="1" x14ac:dyDescent="0.3">
      <c r="E49" s="188" t="s">
        <v>351</v>
      </c>
      <c r="I49" s="4"/>
      <c r="J49" s="210" t="s">
        <v>29</v>
      </c>
      <c r="K49" s="131" t="s">
        <v>405</v>
      </c>
      <c r="L49" s="131">
        <v>-7.8243999999999998</v>
      </c>
      <c r="M49" s="131">
        <v>1191.9000000000001</v>
      </c>
      <c r="N49" s="131">
        <v>-0.49963000000000002</v>
      </c>
      <c r="O49" s="130">
        <f>3.9572*1E+23</f>
        <v>3.9571999999999996E+23</v>
      </c>
      <c r="P49" s="131">
        <v>-10</v>
      </c>
      <c r="Q49" s="132">
        <v>170.33500000000001</v>
      </c>
      <c r="R49" s="131" t="s">
        <v>406</v>
      </c>
      <c r="S49" s="131">
        <v>508210</v>
      </c>
      <c r="T49" s="131">
        <v>-1368.7</v>
      </c>
      <c r="U49" s="131">
        <v>3.1015000000000001</v>
      </c>
      <c r="V49" s="130"/>
      <c r="W49" s="131"/>
      <c r="X49" s="210" t="s">
        <v>29</v>
      </c>
      <c r="Y49" s="131" t="s">
        <v>407</v>
      </c>
      <c r="Z49" s="162">
        <v>0.20469999999999999</v>
      </c>
      <c r="AA49" s="154">
        <f>-2.326/10000</f>
        <v>-2.3260000000000002E-4</v>
      </c>
      <c r="AB49" s="131"/>
      <c r="AC49" s="130"/>
      <c r="AD49" s="8"/>
    </row>
    <row r="50" spans="1:30" ht="15.75" customHeight="1" x14ac:dyDescent="0.25">
      <c r="A50" s="377" t="s">
        <v>540</v>
      </c>
      <c r="C50" s="418" t="s">
        <v>550</v>
      </c>
      <c r="D50" s="419"/>
      <c r="E50" s="188" t="s">
        <v>355</v>
      </c>
      <c r="I50" s="4"/>
      <c r="J50" s="210" t="s">
        <v>30</v>
      </c>
      <c r="K50" s="10" t="s">
        <v>408</v>
      </c>
      <c r="L50" s="10">
        <v>7.875</v>
      </c>
      <c r="M50" s="10">
        <v>781.98</v>
      </c>
      <c r="N50" s="10">
        <v>-3.0417999999999998</v>
      </c>
      <c r="O50" s="15"/>
      <c r="P50" s="15"/>
      <c r="Q50" s="53">
        <v>46.067999999999998</v>
      </c>
      <c r="R50" s="10" t="s">
        <v>409</v>
      </c>
      <c r="S50" s="10">
        <v>102640</v>
      </c>
      <c r="T50" s="10">
        <v>-139.63</v>
      </c>
      <c r="U50" s="10">
        <v>-3.0341E-2</v>
      </c>
      <c r="V50" s="15">
        <v>2.0303859999999999E-3</v>
      </c>
      <c r="W50" s="15"/>
      <c r="X50" s="210" t="s">
        <v>30</v>
      </c>
      <c r="Y50" s="10" t="s">
        <v>410</v>
      </c>
      <c r="Z50" s="162">
        <v>0.24679999999999999</v>
      </c>
      <c r="AA50" s="159">
        <f>-2.64/10000</f>
        <v>-2.6400000000000002E-4</v>
      </c>
      <c r="AB50" s="10"/>
      <c r="AC50" s="15"/>
      <c r="AD50" s="5"/>
    </row>
    <row r="51" spans="1:30" ht="15.75" x14ac:dyDescent="0.25">
      <c r="A51" s="377"/>
      <c r="C51" s="225">
        <f>R11</f>
        <v>2017.0904752284202</v>
      </c>
      <c r="D51" s="308" t="s">
        <v>688</v>
      </c>
      <c r="E51" s="216" t="s">
        <v>359</v>
      </c>
      <c r="I51" s="4"/>
      <c r="J51" s="210" t="s">
        <v>31</v>
      </c>
      <c r="K51" s="131" t="s">
        <v>411</v>
      </c>
      <c r="L51" s="131">
        <v>14.353999999999999</v>
      </c>
      <c r="M51" s="131">
        <v>-154.6</v>
      </c>
      <c r="N51" s="131">
        <v>-3.7887</v>
      </c>
      <c r="O51" s="130"/>
      <c r="P51" s="130"/>
      <c r="Q51" s="132">
        <v>88.105000000000004</v>
      </c>
      <c r="R51" s="131" t="s">
        <v>412</v>
      </c>
      <c r="S51" s="131">
        <v>226230</v>
      </c>
      <c r="T51" s="131">
        <v>-624.79999999999995</v>
      </c>
      <c r="U51" s="131">
        <v>1.472</v>
      </c>
      <c r="V51" s="130"/>
      <c r="W51" s="130"/>
      <c r="X51" s="210" t="s">
        <v>31</v>
      </c>
      <c r="Y51" s="131" t="s">
        <v>413</v>
      </c>
      <c r="Z51" s="162">
        <v>0.25009999999999999</v>
      </c>
      <c r="AA51" s="154">
        <f>-3.563/10000</f>
        <v>-3.5630000000000004E-4</v>
      </c>
      <c r="AB51" s="131"/>
      <c r="AC51" s="130"/>
      <c r="AD51" s="5"/>
    </row>
    <row r="52" spans="1:30" ht="17.25" customHeight="1" thickBot="1" x14ac:dyDescent="0.25">
      <c r="A52" s="377"/>
      <c r="C52" s="305" t="s">
        <v>253</v>
      </c>
      <c r="D52" s="78" t="str">
        <f>R10</f>
        <v xml:space="preserve"> -83 to 133</v>
      </c>
      <c r="I52" s="4"/>
      <c r="J52" s="210" t="s">
        <v>32</v>
      </c>
      <c r="K52" s="10" t="s">
        <v>414</v>
      </c>
      <c r="L52" s="10">
        <v>-40.706000000000003</v>
      </c>
      <c r="M52" s="10">
        <v>3035</v>
      </c>
      <c r="N52" s="10">
        <v>4.2655000000000003</v>
      </c>
      <c r="O52" s="15"/>
      <c r="P52" s="15"/>
      <c r="Q52" s="53">
        <v>150.17500000000001</v>
      </c>
      <c r="R52" s="10" t="s">
        <v>415</v>
      </c>
      <c r="S52" s="10">
        <v>124500</v>
      </c>
      <c r="T52" s="10">
        <v>370.6</v>
      </c>
      <c r="U52" s="10"/>
      <c r="V52" s="15"/>
      <c r="W52" s="15"/>
      <c r="X52" s="210" t="s">
        <v>32</v>
      </c>
      <c r="Y52" s="10" t="s">
        <v>416</v>
      </c>
      <c r="Z52" s="160">
        <v>0.20771000000000001</v>
      </c>
      <c r="AA52" s="153">
        <f>-2.1265/10000</f>
        <v>-2.1265000000000002E-4</v>
      </c>
      <c r="AB52" s="10"/>
      <c r="AC52" s="15"/>
      <c r="AD52" s="5"/>
    </row>
    <row r="53" spans="1:30" x14ac:dyDescent="0.2">
      <c r="A53" s="377"/>
      <c r="I53" s="4"/>
      <c r="J53" s="210" t="s">
        <v>34</v>
      </c>
      <c r="K53" s="131" t="s">
        <v>417</v>
      </c>
      <c r="L53" s="131">
        <v>-20.515000000000001</v>
      </c>
      <c r="M53" s="131">
        <v>2468.5</v>
      </c>
      <c r="N53" s="131">
        <v>1.2435</v>
      </c>
      <c r="O53" s="130">
        <f>2.4998*1000000000000</f>
        <v>2499800000000</v>
      </c>
      <c r="P53" s="131">
        <v>-5</v>
      </c>
      <c r="Q53" s="132">
        <v>62.067999999999998</v>
      </c>
      <c r="R53" s="131" t="s">
        <v>418</v>
      </c>
      <c r="S53" s="131">
        <v>35540</v>
      </c>
      <c r="T53" s="131">
        <v>436.78</v>
      </c>
      <c r="U53" s="131">
        <v>-0.18486</v>
      </c>
      <c r="V53" s="130"/>
      <c r="W53" s="131"/>
      <c r="X53" s="210" t="s">
        <v>34</v>
      </c>
      <c r="Y53" s="131" t="s">
        <v>419</v>
      </c>
      <c r="Z53" s="166">
        <v>8.8067000000000006E-2</v>
      </c>
      <c r="AA53" s="153">
        <f>9.4712/10000</f>
        <v>9.4711999999999997E-4</v>
      </c>
      <c r="AB53" s="131"/>
      <c r="AC53" s="130"/>
      <c r="AD53" s="8"/>
    </row>
    <row r="54" spans="1:30" ht="15" x14ac:dyDescent="0.25">
      <c r="A54" s="377"/>
      <c r="C54" s="423" t="s">
        <v>254</v>
      </c>
      <c r="D54" s="423"/>
      <c r="E54" s="59" t="s">
        <v>270</v>
      </c>
      <c r="I54" s="4"/>
      <c r="J54" s="210" t="s">
        <v>33</v>
      </c>
      <c r="K54" s="10" t="s">
        <v>420</v>
      </c>
      <c r="L54" s="10">
        <v>-53.908000000000001</v>
      </c>
      <c r="M54" s="10">
        <v>4030.8</v>
      </c>
      <c r="N54" s="10">
        <v>5.9703999999999997</v>
      </c>
      <c r="O54" s="15"/>
      <c r="P54" s="15"/>
      <c r="Q54" s="53">
        <v>43.067999999999998</v>
      </c>
      <c r="R54" s="10" t="s">
        <v>421</v>
      </c>
      <c r="S54" s="10">
        <v>184440</v>
      </c>
      <c r="T54" s="10">
        <v>-150.19999999999999</v>
      </c>
      <c r="U54" s="10">
        <v>0.37043999999999999</v>
      </c>
      <c r="V54" s="15"/>
      <c r="W54" s="15"/>
      <c r="X54" s="210" t="s">
        <v>33</v>
      </c>
      <c r="Y54" s="10" t="s">
        <v>421</v>
      </c>
      <c r="Z54" s="160">
        <v>0.36434</v>
      </c>
      <c r="AA54" s="154">
        <f>-4.433/10000</f>
        <v>-4.4329999999999999E-4</v>
      </c>
      <c r="AB54" s="10"/>
      <c r="AC54" s="15"/>
      <c r="AD54" s="5"/>
    </row>
    <row r="55" spans="1:30" ht="15.75" thickBot="1" x14ac:dyDescent="0.3">
      <c r="A55" s="377"/>
      <c r="E55" s="59" t="s">
        <v>530</v>
      </c>
      <c r="I55" s="4"/>
      <c r="J55" s="210" t="s">
        <v>35</v>
      </c>
      <c r="K55" s="131" t="s">
        <v>422</v>
      </c>
      <c r="L55" s="131">
        <v>-10.064</v>
      </c>
      <c r="M55" s="131">
        <v>1058.7</v>
      </c>
      <c r="N55" s="131">
        <v>-0.17161999999999999</v>
      </c>
      <c r="O55" s="130"/>
      <c r="P55" s="130"/>
      <c r="Q55" s="132">
        <v>96.102000000000004</v>
      </c>
      <c r="R55" s="131" t="s">
        <v>423</v>
      </c>
      <c r="S55" s="131">
        <v>-21</v>
      </c>
      <c r="T55" s="131">
        <v>11734</v>
      </c>
      <c r="U55" s="131">
        <v>-40669</v>
      </c>
      <c r="V55" s="130">
        <v>4.7333E-2</v>
      </c>
      <c r="W55" s="130"/>
      <c r="X55" s="210" t="s">
        <v>35</v>
      </c>
      <c r="Y55" s="131" t="s">
        <v>424</v>
      </c>
      <c r="Z55" s="160">
        <v>0.20962</v>
      </c>
      <c r="AA55" s="153">
        <f>-2.8034/10000</f>
        <v>-2.8034000000000002E-4</v>
      </c>
      <c r="AB55" s="131"/>
      <c r="AC55" s="130"/>
      <c r="AD55" s="5"/>
    </row>
    <row r="56" spans="1:30" ht="15" x14ac:dyDescent="0.25">
      <c r="A56" s="377"/>
      <c r="C56" s="378" t="s">
        <v>199</v>
      </c>
      <c r="D56" s="379"/>
      <c r="E56" s="59" t="s">
        <v>528</v>
      </c>
      <c r="I56" s="4"/>
      <c r="J56" s="210" t="s">
        <v>36</v>
      </c>
      <c r="K56" s="10" t="s">
        <v>425</v>
      </c>
      <c r="L56" s="10">
        <v>40.152999999999999</v>
      </c>
      <c r="M56" s="10">
        <v>-912.39</v>
      </c>
      <c r="N56" s="10">
        <v>-7.5663999999999998</v>
      </c>
      <c r="O56" s="15">
        <f>1.6873*1E+24</f>
        <v>1.6873000000000001E+24</v>
      </c>
      <c r="P56" s="10">
        <v>-10</v>
      </c>
      <c r="Q56" s="53">
        <v>45.040999999999997</v>
      </c>
      <c r="R56" s="10" t="s">
        <v>426</v>
      </c>
      <c r="S56" s="10">
        <v>63400</v>
      </c>
      <c r="T56" s="10">
        <v>150.6</v>
      </c>
      <c r="U56" s="10"/>
      <c r="V56" s="15"/>
      <c r="W56" s="10"/>
      <c r="X56" s="210" t="s">
        <v>36</v>
      </c>
      <c r="Y56" s="10" t="s">
        <v>427</v>
      </c>
      <c r="Z56" s="160">
        <v>0.38469999999999999</v>
      </c>
      <c r="AA56" s="154">
        <f>-1.065/10000</f>
        <v>-1.065E-4</v>
      </c>
      <c r="AB56" s="10"/>
      <c r="AC56" s="15"/>
      <c r="AD56" s="8"/>
    </row>
    <row r="57" spans="1:30" ht="15" x14ac:dyDescent="0.25">
      <c r="A57" s="377"/>
      <c r="C57" s="7"/>
      <c r="D57" s="8"/>
      <c r="E57" s="59" t="s">
        <v>529</v>
      </c>
      <c r="I57" s="4"/>
      <c r="J57" s="210" t="s">
        <v>37</v>
      </c>
      <c r="K57" s="131" t="s">
        <v>428</v>
      </c>
      <c r="L57" s="131">
        <v>-9.4621999999999993</v>
      </c>
      <c r="M57" s="131">
        <v>877.07</v>
      </c>
      <c r="N57" s="131">
        <v>-0.23444999999999999</v>
      </c>
      <c r="O57" s="130">
        <f>1.4022*1E+22</f>
        <v>1.4021999999999998E+22</v>
      </c>
      <c r="P57" s="131">
        <v>-10</v>
      </c>
      <c r="Q57" s="132">
        <v>100.202</v>
      </c>
      <c r="R57" s="131" t="s">
        <v>429</v>
      </c>
      <c r="S57" s="131">
        <v>61.26</v>
      </c>
      <c r="T57" s="131">
        <v>314410</v>
      </c>
      <c r="U57" s="131">
        <v>1824.6</v>
      </c>
      <c r="V57" s="130">
        <v>-2547.9</v>
      </c>
      <c r="W57" s="131">
        <v>-10</v>
      </c>
      <c r="X57" s="210" t="s">
        <v>37</v>
      </c>
      <c r="Y57" s="131" t="s">
        <v>430</v>
      </c>
      <c r="Z57" s="160">
        <v>0.215</v>
      </c>
      <c r="AA57" s="159">
        <f>-3.03/10000</f>
        <v>-3.0299999999999999E-4</v>
      </c>
      <c r="AB57" s="131"/>
      <c r="AC57" s="130"/>
      <c r="AD57" s="8"/>
    </row>
    <row r="58" spans="1:30" ht="15.75" thickBot="1" x14ac:dyDescent="0.3">
      <c r="A58" s="377"/>
      <c r="C58" s="307" t="s">
        <v>687</v>
      </c>
      <c r="D58" s="84"/>
      <c r="E58" s="59" t="s">
        <v>537</v>
      </c>
      <c r="I58" s="4"/>
      <c r="J58" s="210" t="s">
        <v>38</v>
      </c>
      <c r="K58" s="10" t="s">
        <v>431</v>
      </c>
      <c r="L58" s="10">
        <v>-20.181999999999999</v>
      </c>
      <c r="M58" s="10">
        <v>2203.5</v>
      </c>
      <c r="N58" s="10">
        <v>1.2289000000000001</v>
      </c>
      <c r="O58" s="15"/>
      <c r="P58" s="15"/>
      <c r="Q58" s="53">
        <v>226.441</v>
      </c>
      <c r="R58" s="10" t="s">
        <v>432</v>
      </c>
      <c r="S58" s="10">
        <v>370350</v>
      </c>
      <c r="T58" s="10">
        <v>231.47</v>
      </c>
      <c r="U58" s="10">
        <v>0.68632000000000004</v>
      </c>
      <c r="V58" s="15"/>
      <c r="W58" s="15"/>
      <c r="X58" s="210" t="s">
        <v>38</v>
      </c>
      <c r="Y58" s="10" t="s">
        <v>432</v>
      </c>
      <c r="Z58" s="160">
        <v>0.20749000000000001</v>
      </c>
      <c r="AA58" s="153">
        <f>-2.1917/10000</f>
        <v>-2.1917E-4</v>
      </c>
      <c r="AB58" s="131"/>
      <c r="AC58" s="15"/>
      <c r="AD58" s="5"/>
    </row>
    <row r="59" spans="1:30" ht="15.75" customHeight="1" x14ac:dyDescent="0.2">
      <c r="A59" s="377"/>
      <c r="I59" s="4"/>
      <c r="J59" s="210" t="s">
        <v>39</v>
      </c>
      <c r="K59" s="131" t="s">
        <v>433</v>
      </c>
      <c r="L59" s="131">
        <v>-6.3276000000000003</v>
      </c>
      <c r="M59" s="131">
        <v>640</v>
      </c>
      <c r="N59" s="131">
        <v>-0.69399999999999995</v>
      </c>
      <c r="O59" s="130">
        <f>5.6884*1E+21</f>
        <v>5.6883999999999995E+21</v>
      </c>
      <c r="P59" s="131">
        <v>-10</v>
      </c>
      <c r="Q59" s="132">
        <v>86.174999999999997</v>
      </c>
      <c r="R59" s="131" t="s">
        <v>434</v>
      </c>
      <c r="S59" s="131">
        <v>172120</v>
      </c>
      <c r="T59" s="131">
        <v>-183.78</v>
      </c>
      <c r="U59" s="131">
        <v>0.88734000000000002</v>
      </c>
      <c r="V59" s="130"/>
      <c r="W59" s="131"/>
      <c r="X59" s="210" t="s">
        <v>39</v>
      </c>
      <c r="Y59" s="131" t="s">
        <v>435</v>
      </c>
      <c r="Z59" s="160">
        <v>0.22492000000000001</v>
      </c>
      <c r="AA59" s="154">
        <f>-3.533/10000</f>
        <v>-3.5329999999999997E-4</v>
      </c>
      <c r="AB59" s="131"/>
      <c r="AC59" s="130"/>
      <c r="AD59" s="8"/>
    </row>
    <row r="60" spans="1:30" ht="16.5" customHeight="1" x14ac:dyDescent="0.25">
      <c r="A60" s="377"/>
      <c r="C60" s="214" t="s">
        <v>543</v>
      </c>
      <c r="D60" s="227">
        <f>IF(D10="Other Liquid",D58,C51)</f>
        <v>2017.0904752284202</v>
      </c>
      <c r="E60" s="85" t="s">
        <v>688</v>
      </c>
      <c r="F60" s="59" t="str">
        <f>IF(D$15="Other Liquid","     (manual entry)","     (from menu selection)")</f>
        <v xml:space="preserve">     (from menu selection)</v>
      </c>
      <c r="I60" s="4"/>
      <c r="J60" s="210" t="s">
        <v>40</v>
      </c>
      <c r="K60" s="10" t="s">
        <v>436</v>
      </c>
      <c r="L60" s="10">
        <v>-75.781000000000006</v>
      </c>
      <c r="M60" s="10">
        <v>4175.3999999999996</v>
      </c>
      <c r="N60" s="10">
        <v>9.6508000000000003</v>
      </c>
      <c r="O60" s="15">
        <f>-7.27/1000000000</f>
        <v>-7.2699999999999999E-9</v>
      </c>
      <c r="P60" s="10">
        <v>3</v>
      </c>
      <c r="Q60" s="53">
        <v>32.045000000000002</v>
      </c>
      <c r="R60" s="10" t="s">
        <v>437</v>
      </c>
      <c r="S60" s="10">
        <v>79815</v>
      </c>
      <c r="T60" s="10">
        <v>50.929000000000002</v>
      </c>
      <c r="U60" s="10">
        <v>4.3379000000000001E-2</v>
      </c>
      <c r="V60" s="15"/>
      <c r="W60" s="10"/>
      <c r="X60" s="210" t="s">
        <v>40</v>
      </c>
      <c r="Y60" s="10" t="s">
        <v>438</v>
      </c>
      <c r="Z60" s="162">
        <v>1.3674999999999999</v>
      </c>
      <c r="AA60" s="153">
        <f>-1.5895/1000</f>
        <v>-1.5895E-3</v>
      </c>
      <c r="AB60" s="131"/>
      <c r="AC60" s="15"/>
      <c r="AD60" s="8"/>
    </row>
    <row r="61" spans="1:30" ht="16.5" customHeight="1" x14ac:dyDescent="0.2">
      <c r="A61" s="377"/>
      <c r="C61" s="129" t="s">
        <v>538</v>
      </c>
      <c r="D61" s="309"/>
      <c r="E61" s="310"/>
      <c r="I61" s="4"/>
      <c r="J61" s="210" t="s">
        <v>41</v>
      </c>
      <c r="K61" s="131" t="s">
        <v>439</v>
      </c>
      <c r="L61" s="131">
        <v>-31.157</v>
      </c>
      <c r="M61" s="131">
        <v>1926</v>
      </c>
      <c r="N61" s="131">
        <v>2.9249999999999998</v>
      </c>
      <c r="O61" s="130"/>
      <c r="P61" s="130"/>
      <c r="Q61" s="132">
        <v>59.11</v>
      </c>
      <c r="R61" s="131" t="s">
        <v>440</v>
      </c>
      <c r="S61" s="131">
        <v>-32469</v>
      </c>
      <c r="T61" s="131">
        <v>1977.1</v>
      </c>
      <c r="U61" s="131">
        <v>-7.0145</v>
      </c>
      <c r="V61" s="130">
        <v>8.6913000000000008E-3</v>
      </c>
      <c r="W61" s="130"/>
      <c r="X61" s="210" t="s">
        <v>41</v>
      </c>
      <c r="Y61" s="131" t="s">
        <v>441</v>
      </c>
      <c r="Z61" s="167">
        <v>0.23699999999999999</v>
      </c>
      <c r="AA61" s="154">
        <f>-3.32/10000</f>
        <v>-3.3199999999999999E-4</v>
      </c>
      <c r="AB61" s="131"/>
      <c r="AC61" s="130"/>
      <c r="AD61" s="5"/>
    </row>
    <row r="62" spans="1:30" ht="15" customHeight="1" x14ac:dyDescent="0.2">
      <c r="A62" s="377"/>
      <c r="I62" s="4"/>
      <c r="J62" s="210" t="s">
        <v>42</v>
      </c>
      <c r="K62" s="10" t="s">
        <v>442</v>
      </c>
      <c r="L62" s="10">
        <v>-14.526999999999999</v>
      </c>
      <c r="M62" s="10">
        <v>1497.7</v>
      </c>
      <c r="N62" s="10">
        <v>0.51746999999999999</v>
      </c>
      <c r="O62" s="15"/>
      <c r="P62" s="15"/>
      <c r="Q62" s="53">
        <v>86.088999999999999</v>
      </c>
      <c r="R62" s="10" t="s">
        <v>442</v>
      </c>
      <c r="S62" s="10">
        <v>146290</v>
      </c>
      <c r="T62" s="10">
        <v>-58.59</v>
      </c>
      <c r="U62" s="10">
        <v>0.35820000000000002</v>
      </c>
      <c r="V62" s="15"/>
      <c r="W62" s="15"/>
      <c r="X62" s="210" t="s">
        <v>42</v>
      </c>
      <c r="Y62" s="10" t="s">
        <v>443</v>
      </c>
      <c r="Z62" s="162">
        <v>0.2306</v>
      </c>
      <c r="AA62" s="153">
        <f>-2.5201/10000</f>
        <v>-2.5200999999999999E-4</v>
      </c>
      <c r="AB62" s="131"/>
      <c r="AC62" s="15"/>
      <c r="AD62" s="5"/>
    </row>
    <row r="63" spans="1:30" ht="19.5" customHeight="1" thickBot="1" x14ac:dyDescent="0.25">
      <c r="A63" s="377"/>
      <c r="I63" s="4"/>
      <c r="J63" s="210" t="s">
        <v>43</v>
      </c>
      <c r="K63" s="131" t="s">
        <v>444</v>
      </c>
      <c r="L63" s="131">
        <v>-25.317</v>
      </c>
      <c r="M63" s="131">
        <v>1789.2</v>
      </c>
      <c r="N63" s="131">
        <v>2.069</v>
      </c>
      <c r="O63" s="130"/>
      <c r="P63" s="130"/>
      <c r="Q63" s="132">
        <v>32.042000000000002</v>
      </c>
      <c r="R63" s="131" t="s">
        <v>445</v>
      </c>
      <c r="S63" s="131">
        <v>105800</v>
      </c>
      <c r="T63" s="131">
        <v>-362.23</v>
      </c>
      <c r="U63" s="131">
        <v>0.93789999999999996</v>
      </c>
      <c r="V63" s="130"/>
      <c r="W63" s="130"/>
      <c r="X63" s="210" t="s">
        <v>43</v>
      </c>
      <c r="Y63" s="131" t="s">
        <v>444</v>
      </c>
      <c r="Z63" s="162">
        <v>0.28370000000000001</v>
      </c>
      <c r="AA63" s="159">
        <f>-2.81/10000</f>
        <v>-2.81E-4</v>
      </c>
      <c r="AB63" s="131"/>
      <c r="AC63" s="130"/>
      <c r="AD63" s="5"/>
    </row>
    <row r="64" spans="1:30" ht="16.5" customHeight="1" x14ac:dyDescent="0.25">
      <c r="A64" s="377"/>
      <c r="C64" s="418" t="s">
        <v>549</v>
      </c>
      <c r="D64" s="419"/>
      <c r="I64" s="4"/>
      <c r="J64" s="210" t="s">
        <v>44</v>
      </c>
      <c r="K64" s="10" t="s">
        <v>446</v>
      </c>
      <c r="L64" s="10">
        <v>13.557</v>
      </c>
      <c r="M64" s="10">
        <v>-187.3</v>
      </c>
      <c r="N64" s="10">
        <v>-3.6591999999999998</v>
      </c>
      <c r="O64" s="15"/>
      <c r="P64" s="15"/>
      <c r="Q64" s="53">
        <v>74.078999999999994</v>
      </c>
      <c r="R64" s="10" t="s">
        <v>447</v>
      </c>
      <c r="S64" s="10">
        <v>61260</v>
      </c>
      <c r="T64" s="10">
        <v>270.89999999999998</v>
      </c>
      <c r="U64" s="10"/>
      <c r="V64" s="15"/>
      <c r="W64" s="15"/>
      <c r="X64" s="210" t="s">
        <v>44</v>
      </c>
      <c r="Y64" s="10" t="s">
        <v>448</v>
      </c>
      <c r="Z64" s="162">
        <v>0.2777</v>
      </c>
      <c r="AA64" s="159">
        <f>-4.17/10000</f>
        <v>-4.17E-4</v>
      </c>
      <c r="AB64" s="10"/>
      <c r="AC64" s="15"/>
      <c r="AD64" s="5"/>
    </row>
    <row r="65" spans="1:30" ht="16.5" customHeight="1" x14ac:dyDescent="0.2">
      <c r="A65" s="377"/>
      <c r="C65" s="225">
        <f>R14</f>
        <v>4176.6000917894144</v>
      </c>
      <c r="D65" s="308" t="s">
        <v>688</v>
      </c>
      <c r="I65" s="4"/>
      <c r="J65" s="210" t="s">
        <v>48</v>
      </c>
      <c r="K65" s="131" t="s">
        <v>449</v>
      </c>
      <c r="L65" s="131">
        <v>-9.9000000000000005E-2</v>
      </c>
      <c r="M65" s="131">
        <v>496</v>
      </c>
      <c r="N65" s="131">
        <v>-1.5939000000000001</v>
      </c>
      <c r="O65" s="130"/>
      <c r="P65" s="130"/>
      <c r="Q65" s="132">
        <v>100.116</v>
      </c>
      <c r="R65" s="131" t="s">
        <v>450</v>
      </c>
      <c r="S65" s="131">
        <v>255100</v>
      </c>
      <c r="T65" s="131">
        <v>-938.4</v>
      </c>
      <c r="U65" s="131">
        <v>2413</v>
      </c>
      <c r="V65" s="130"/>
      <c r="W65" s="130"/>
      <c r="X65" s="210" t="s">
        <v>48</v>
      </c>
      <c r="Y65" s="131" t="s">
        <v>451</v>
      </c>
      <c r="Z65" s="162">
        <v>0.25829999999999997</v>
      </c>
      <c r="AA65" s="159">
        <f>-3.79/10000</f>
        <v>-3.79E-4</v>
      </c>
      <c r="AB65" s="131"/>
      <c r="AC65" s="130"/>
      <c r="AD65" s="5"/>
    </row>
    <row r="66" spans="1:30" ht="18.75" customHeight="1" thickBot="1" x14ac:dyDescent="0.25">
      <c r="A66" s="377"/>
      <c r="C66" s="305" t="s">
        <v>253</v>
      </c>
      <c r="D66" s="78" t="str">
        <f>R13</f>
        <v xml:space="preserve"> 0 to 260</v>
      </c>
      <c r="I66" s="4"/>
      <c r="J66" s="210" t="s">
        <v>49</v>
      </c>
      <c r="K66" s="10" t="s">
        <v>452</v>
      </c>
      <c r="L66" s="10">
        <v>-6.9210000000000003</v>
      </c>
      <c r="M66" s="10">
        <v>790.77300000000002</v>
      </c>
      <c r="N66" s="10">
        <v>-0.65400000000000003</v>
      </c>
      <c r="O66" s="15"/>
      <c r="P66" s="15"/>
      <c r="Q66" s="53">
        <v>88.147999999999996</v>
      </c>
      <c r="R66" s="10" t="s">
        <v>453</v>
      </c>
      <c r="S66" s="10">
        <v>134300</v>
      </c>
      <c r="T66" s="10">
        <v>94.355999999999995</v>
      </c>
      <c r="U66" s="10">
        <v>-3.2000000000000002E-3</v>
      </c>
      <c r="V66" s="15">
        <v>9.794999999999999E-4</v>
      </c>
      <c r="W66" s="15"/>
      <c r="X66" s="210" t="s">
        <v>49</v>
      </c>
      <c r="Y66" s="10" t="s">
        <v>453</v>
      </c>
      <c r="Z66" s="162">
        <v>0.2253</v>
      </c>
      <c r="AA66" s="153">
        <f>-3.7273/10000</f>
        <v>-3.7272999999999999E-4</v>
      </c>
      <c r="AB66" s="10">
        <f>1.1728/10000000</f>
        <v>1.1728E-7</v>
      </c>
      <c r="AC66" s="15"/>
      <c r="AD66" s="5"/>
    </row>
    <row r="67" spans="1:30" x14ac:dyDescent="0.2">
      <c r="A67" s="377"/>
      <c r="I67" s="4"/>
      <c r="J67" s="210" t="s">
        <v>45</v>
      </c>
      <c r="K67" s="131" t="s">
        <v>454</v>
      </c>
      <c r="L67" s="131">
        <v>-11.358000000000001</v>
      </c>
      <c r="M67" s="131">
        <v>1213.0999999999999</v>
      </c>
      <c r="N67" s="130"/>
      <c r="O67" s="130"/>
      <c r="P67" s="130"/>
      <c r="Q67" s="132">
        <v>98.186000000000007</v>
      </c>
      <c r="R67" s="131" t="s">
        <v>455</v>
      </c>
      <c r="S67" s="131">
        <v>131340</v>
      </c>
      <c r="T67" s="131">
        <v>-63.1</v>
      </c>
      <c r="U67" s="130">
        <v>0.8125</v>
      </c>
      <c r="V67" s="130"/>
      <c r="W67" s="130"/>
      <c r="X67" s="210" t="s">
        <v>45</v>
      </c>
      <c r="Y67" s="131" t="s">
        <v>456</v>
      </c>
      <c r="Z67" s="162">
        <v>0.17910000000000001</v>
      </c>
      <c r="AA67" s="154">
        <f>-2.291/10000</f>
        <v>-2.2909999999999999E-4</v>
      </c>
      <c r="AB67" s="130"/>
      <c r="AC67" s="130"/>
      <c r="AD67" s="5"/>
    </row>
    <row r="68" spans="1:30" ht="15" x14ac:dyDescent="0.25">
      <c r="A68" s="377"/>
      <c r="C68" s="423" t="s">
        <v>254</v>
      </c>
      <c r="D68" s="423"/>
      <c r="E68" s="59" t="s">
        <v>270</v>
      </c>
      <c r="I68" s="4"/>
      <c r="J68" s="210" t="s">
        <v>46</v>
      </c>
      <c r="K68" s="10" t="s">
        <v>457</v>
      </c>
      <c r="L68" s="10">
        <v>-1.0598000000000001</v>
      </c>
      <c r="M68" s="10">
        <v>520.67999999999995</v>
      </c>
      <c r="N68" s="10">
        <v>-1.4961</v>
      </c>
      <c r="O68" s="15"/>
      <c r="P68" s="15"/>
      <c r="Q68" s="53">
        <v>72.105999999999995</v>
      </c>
      <c r="R68" s="10" t="s">
        <v>458</v>
      </c>
      <c r="S68" s="10">
        <v>132300</v>
      </c>
      <c r="T68" s="10">
        <v>200.87</v>
      </c>
      <c r="U68" s="10">
        <v>-0.9597</v>
      </c>
      <c r="V68" s="15">
        <v>1.9532999999999998E-3</v>
      </c>
      <c r="W68" s="15"/>
      <c r="X68" s="210" t="s">
        <v>46</v>
      </c>
      <c r="Y68" s="10" t="s">
        <v>459</v>
      </c>
      <c r="Z68" s="162">
        <v>0.21970000000000001</v>
      </c>
      <c r="AA68" s="154">
        <f>-2.505/10000</f>
        <v>-2.5049999999999996E-4</v>
      </c>
      <c r="AB68" s="10"/>
      <c r="AC68" s="15"/>
      <c r="AD68" s="5"/>
    </row>
    <row r="69" spans="1:30" ht="15.75" thickBot="1" x14ac:dyDescent="0.3">
      <c r="A69" s="377"/>
      <c r="E69" s="59" t="s">
        <v>530</v>
      </c>
      <c r="I69" s="4"/>
      <c r="J69" s="210" t="s">
        <v>47</v>
      </c>
      <c r="K69" s="131" t="s">
        <v>460</v>
      </c>
      <c r="L69" s="131">
        <v>-11.394</v>
      </c>
      <c r="M69" s="131">
        <v>1168.7</v>
      </c>
      <c r="N69" s="131">
        <v>-7.5389999999999997E-3</v>
      </c>
      <c r="O69" s="130"/>
      <c r="P69" s="130"/>
      <c r="Q69" s="132">
        <v>100.15900000000001</v>
      </c>
      <c r="R69" s="131" t="s">
        <v>461</v>
      </c>
      <c r="S69" s="131">
        <v>183650</v>
      </c>
      <c r="T69" s="131">
        <v>-79.861999999999995</v>
      </c>
      <c r="U69" s="131">
        <v>0.60768999999999995</v>
      </c>
      <c r="V69" s="130"/>
      <c r="W69" s="130"/>
      <c r="X69" s="210" t="s">
        <v>47</v>
      </c>
      <c r="Y69" s="131" t="s">
        <v>462</v>
      </c>
      <c r="Z69" s="162">
        <v>0.2301</v>
      </c>
      <c r="AA69" s="153">
        <f>-2.8899/10000</f>
        <v>-2.8898999999999998E-4</v>
      </c>
      <c r="AB69" s="131"/>
      <c r="AC69" s="130"/>
      <c r="AD69" s="5"/>
    </row>
    <row r="70" spans="1:30" ht="15" x14ac:dyDescent="0.25">
      <c r="A70" s="377"/>
      <c r="C70" s="378" t="s">
        <v>199</v>
      </c>
      <c r="D70" s="379"/>
      <c r="E70" s="59" t="s">
        <v>531</v>
      </c>
      <c r="I70" s="4"/>
      <c r="J70" s="210" t="s">
        <v>72</v>
      </c>
      <c r="K70" s="10" t="s">
        <v>463</v>
      </c>
      <c r="L70" s="10">
        <v>-11.91</v>
      </c>
      <c r="M70" s="10">
        <v>1094.9000000000001</v>
      </c>
      <c r="N70" s="10">
        <v>0.13825000000000001</v>
      </c>
      <c r="O70" s="15"/>
      <c r="P70" s="15"/>
      <c r="Q70" s="53">
        <v>106.16500000000001</v>
      </c>
      <c r="R70" s="10" t="s">
        <v>464</v>
      </c>
      <c r="S70" s="10">
        <v>133860</v>
      </c>
      <c r="T70" s="10">
        <v>78754</v>
      </c>
      <c r="U70" s="10">
        <v>0.52264999999999995</v>
      </c>
      <c r="V70" s="15"/>
      <c r="W70" s="15"/>
      <c r="X70" s="210" t="s">
        <v>72</v>
      </c>
      <c r="Y70" s="10" t="s">
        <v>465</v>
      </c>
      <c r="Z70" s="160">
        <v>0.20044000000000001</v>
      </c>
      <c r="AA70" s="153">
        <f>-2.3544/10000</f>
        <v>-2.3544000000000001E-4</v>
      </c>
      <c r="AB70" s="10"/>
      <c r="AC70" s="15"/>
      <c r="AD70" s="5"/>
    </row>
    <row r="71" spans="1:30" ht="13.5" customHeight="1" x14ac:dyDescent="0.25">
      <c r="A71" s="377"/>
      <c r="C71" s="7"/>
      <c r="D71" s="8"/>
      <c r="E71" s="59" t="s">
        <v>529</v>
      </c>
      <c r="I71" s="4"/>
      <c r="J71" s="210" t="s">
        <v>50</v>
      </c>
      <c r="K71" s="131" t="s">
        <v>466</v>
      </c>
      <c r="L71" s="131">
        <v>-68.540000000000006</v>
      </c>
      <c r="M71" s="131">
        <v>3165.3</v>
      </c>
      <c r="N71" s="131">
        <v>9.0919000000000008</v>
      </c>
      <c r="O71" s="130"/>
      <c r="P71" s="130"/>
      <c r="Q71" s="132">
        <v>128.255</v>
      </c>
      <c r="R71" s="131" t="s">
        <v>467</v>
      </c>
      <c r="S71" s="131">
        <v>383080</v>
      </c>
      <c r="T71" s="131">
        <v>-1139.8</v>
      </c>
      <c r="U71" s="131">
        <v>2.7101000000000002</v>
      </c>
      <c r="V71" s="130"/>
      <c r="W71" s="130"/>
      <c r="X71" s="210" t="s">
        <v>50</v>
      </c>
      <c r="Y71" s="131" t="s">
        <v>468</v>
      </c>
      <c r="Z71" s="167">
        <v>0.20899999999999999</v>
      </c>
      <c r="AA71" s="159">
        <f>-2.64/10000</f>
        <v>-2.6400000000000002E-4</v>
      </c>
      <c r="AB71" s="131"/>
      <c r="AC71" s="156"/>
      <c r="AD71" s="5"/>
    </row>
    <row r="72" spans="1:30" ht="18.75" customHeight="1" thickBot="1" x14ac:dyDescent="0.3">
      <c r="A72" s="377"/>
      <c r="C72" s="307" t="s">
        <v>687</v>
      </c>
      <c r="D72" s="84"/>
      <c r="E72" s="59" t="s">
        <v>537</v>
      </c>
      <c r="I72" s="4"/>
      <c r="J72" s="210" t="s">
        <v>51</v>
      </c>
      <c r="K72" s="10" t="s">
        <v>469</v>
      </c>
      <c r="L72" s="10">
        <v>-7.556</v>
      </c>
      <c r="M72" s="10">
        <v>881.09</v>
      </c>
      <c r="N72" s="10">
        <v>-0.52502000000000004</v>
      </c>
      <c r="O72" s="15">
        <f>4.6342*1E+22</f>
        <v>4.6342000000000003E+22</v>
      </c>
      <c r="P72" s="10">
        <v>-10</v>
      </c>
      <c r="Q72" s="53">
        <v>114.229</v>
      </c>
      <c r="R72" s="10" t="s">
        <v>470</v>
      </c>
      <c r="S72" s="10">
        <v>224830</v>
      </c>
      <c r="T72" s="10">
        <v>-186.63</v>
      </c>
      <c r="U72" s="10">
        <v>0.95891000000000004</v>
      </c>
      <c r="V72" s="15"/>
      <c r="W72" s="10"/>
      <c r="X72" s="210" t="s">
        <v>51</v>
      </c>
      <c r="Y72" s="10" t="s">
        <v>471</v>
      </c>
      <c r="Z72" s="162">
        <v>0.21560000000000001</v>
      </c>
      <c r="AA72" s="153">
        <f>-2.9483/10000</f>
        <v>-2.9482999999999999E-4</v>
      </c>
      <c r="AB72" s="10"/>
      <c r="AC72" s="15"/>
      <c r="AD72" s="8"/>
    </row>
    <row r="73" spans="1:30" x14ac:dyDescent="0.2">
      <c r="A73" s="377"/>
      <c r="I73" s="4"/>
      <c r="J73" s="210" t="s">
        <v>52</v>
      </c>
      <c r="K73" s="131" t="s">
        <v>472</v>
      </c>
      <c r="L73" s="131">
        <v>-60.795000000000002</v>
      </c>
      <c r="M73" s="131">
        <v>4617.8</v>
      </c>
      <c r="N73" s="131">
        <v>7.0279999999999996</v>
      </c>
      <c r="O73" s="130"/>
      <c r="P73" s="130"/>
      <c r="Q73" s="132">
        <v>144.21100000000001</v>
      </c>
      <c r="R73" s="131" t="s">
        <v>473</v>
      </c>
      <c r="S73" s="131">
        <v>205260</v>
      </c>
      <c r="T73" s="131">
        <v>44.392000000000003</v>
      </c>
      <c r="U73" s="131">
        <v>0.89559999999999995</v>
      </c>
      <c r="V73" s="130"/>
      <c r="W73" s="130"/>
      <c r="X73" s="210" t="s">
        <v>52</v>
      </c>
      <c r="Y73" s="131" t="s">
        <v>472</v>
      </c>
      <c r="Z73" s="167">
        <v>0.20300000000000001</v>
      </c>
      <c r="AA73" s="168">
        <f>-2/10000</f>
        <v>-2.0000000000000001E-4</v>
      </c>
      <c r="AB73" s="131"/>
      <c r="AC73" s="130"/>
      <c r="AD73" s="5"/>
    </row>
    <row r="74" spans="1:30" ht="17.25" customHeight="1" x14ac:dyDescent="0.25">
      <c r="A74" s="377"/>
      <c r="C74" s="214" t="s">
        <v>544</v>
      </c>
      <c r="D74" s="226">
        <f>IF(D10="Other Liquid",D72,C65)</f>
        <v>4176.6000917894144</v>
      </c>
      <c r="E74" s="85" t="s">
        <v>688</v>
      </c>
      <c r="F74" s="59" t="str">
        <f>IF(D$15="Other Liquid","     (manual entry)","     (from menu selection)")</f>
        <v xml:space="preserve">     (from menu selection)</v>
      </c>
      <c r="I74" s="4"/>
      <c r="J74" s="218" t="s">
        <v>269</v>
      </c>
      <c r="K74" s="131"/>
      <c r="L74" s="131"/>
      <c r="M74" s="131"/>
      <c r="N74" s="131"/>
      <c r="O74" s="130"/>
      <c r="P74" s="130"/>
      <c r="Q74" s="132"/>
      <c r="R74" s="131"/>
      <c r="S74" s="131"/>
      <c r="T74" s="131"/>
      <c r="U74" s="131"/>
      <c r="V74" s="130"/>
      <c r="W74" s="130"/>
      <c r="X74" s="218" t="s">
        <v>269</v>
      </c>
      <c r="Y74" s="131"/>
      <c r="Z74" s="167"/>
      <c r="AA74" s="168"/>
      <c r="AB74" s="131"/>
      <c r="AC74" s="130"/>
      <c r="AD74" s="5"/>
    </row>
    <row r="75" spans="1:30" ht="17.25" customHeight="1" x14ac:dyDescent="0.2">
      <c r="A75" s="377"/>
      <c r="C75" s="129" t="s">
        <v>539</v>
      </c>
      <c r="D75" s="309"/>
      <c r="E75" s="310"/>
      <c r="I75" s="4"/>
      <c r="J75" s="210" t="s">
        <v>73</v>
      </c>
      <c r="K75" s="10" t="s">
        <v>474</v>
      </c>
      <c r="L75" s="10">
        <v>-15.489000000000001</v>
      </c>
      <c r="M75" s="10">
        <v>1393.5</v>
      </c>
      <c r="N75" s="10">
        <v>0.63710999999999995</v>
      </c>
      <c r="O75" s="15"/>
      <c r="P75" s="15"/>
      <c r="Q75" s="53">
        <v>106.16500000000001</v>
      </c>
      <c r="R75" s="10" t="s">
        <v>475</v>
      </c>
      <c r="S75" s="10">
        <v>36500</v>
      </c>
      <c r="T75" s="10">
        <v>1017.5</v>
      </c>
      <c r="U75" s="10">
        <v>-2.63</v>
      </c>
      <c r="V75" s="15">
        <v>3.0200000000000001E-3</v>
      </c>
      <c r="W75" s="15"/>
      <c r="X75" s="210" t="s">
        <v>73</v>
      </c>
      <c r="Y75" s="10" t="s">
        <v>475</v>
      </c>
      <c r="Z75" s="160">
        <v>0.19989000000000001</v>
      </c>
      <c r="AA75" s="154">
        <f>-2.299/10000</f>
        <v>-2.299E-4</v>
      </c>
      <c r="AB75" s="10"/>
      <c r="AC75" s="15"/>
      <c r="AD75" s="5"/>
    </row>
    <row r="76" spans="1:30" ht="18" customHeight="1" x14ac:dyDescent="0.2">
      <c r="A76" s="377"/>
      <c r="C76" s="129"/>
      <c r="I76" s="4"/>
      <c r="J76" s="210" t="s">
        <v>55</v>
      </c>
      <c r="K76" s="131" t="s">
        <v>476</v>
      </c>
      <c r="L76" s="131">
        <v>-19.298999999999999</v>
      </c>
      <c r="M76" s="131">
        <v>2088.6</v>
      </c>
      <c r="N76" s="131">
        <v>1.1091</v>
      </c>
      <c r="O76" s="130"/>
      <c r="P76" s="130"/>
      <c r="Q76" s="132">
        <v>212.41499999999999</v>
      </c>
      <c r="R76" s="131" t="s">
        <v>476</v>
      </c>
      <c r="S76" s="131">
        <v>346910</v>
      </c>
      <c r="T76" s="131">
        <v>219.54</v>
      </c>
      <c r="U76" s="131">
        <v>0.65632000000000001</v>
      </c>
      <c r="V76" s="130"/>
      <c r="W76" s="130"/>
      <c r="X76" s="210" t="s">
        <v>55</v>
      </c>
      <c r="Y76" s="131" t="s">
        <v>476</v>
      </c>
      <c r="Z76" s="160">
        <v>0.20649000000000001</v>
      </c>
      <c r="AA76" s="153">
        <f>-2.1911/10000</f>
        <v>-2.1911000000000001E-4</v>
      </c>
      <c r="AB76" s="131"/>
      <c r="AC76" s="130"/>
      <c r="AD76" s="5"/>
    </row>
    <row r="77" spans="1:30" ht="13.5" customHeight="1" x14ac:dyDescent="0.2">
      <c r="I77" s="4"/>
      <c r="J77" s="210" t="s">
        <v>56</v>
      </c>
      <c r="K77" s="10" t="s">
        <v>477</v>
      </c>
      <c r="L77" s="10">
        <v>-53.509</v>
      </c>
      <c r="M77" s="10">
        <v>1836.6</v>
      </c>
      <c r="N77" s="10">
        <v>7.1409000000000002</v>
      </c>
      <c r="O77" s="89">
        <v>-1.9627E-5</v>
      </c>
      <c r="P77" s="10">
        <v>2</v>
      </c>
      <c r="Q77" s="53">
        <v>72.149000000000001</v>
      </c>
      <c r="R77" s="10" t="s">
        <v>478</v>
      </c>
      <c r="S77" s="10">
        <v>159080</v>
      </c>
      <c r="T77" s="10">
        <v>-270.5</v>
      </c>
      <c r="U77" s="10">
        <v>0.99536999999999998</v>
      </c>
      <c r="V77" s="89"/>
      <c r="W77" s="10"/>
      <c r="X77" s="210" t="s">
        <v>56</v>
      </c>
      <c r="Y77" s="10" t="s">
        <v>479</v>
      </c>
      <c r="Z77" s="162">
        <v>0.25369999999999998</v>
      </c>
      <c r="AA77" s="159">
        <f>-5.76/10000</f>
        <v>-5.7600000000000001E-4</v>
      </c>
      <c r="AB77" s="131">
        <f>3.44/10000000</f>
        <v>3.4400000000000001E-7</v>
      </c>
      <c r="AC77" s="89"/>
      <c r="AD77" s="8"/>
    </row>
    <row r="78" spans="1:30" ht="16.5" thickBot="1" x14ac:dyDescent="0.3">
      <c r="E78" s="188" t="s">
        <v>351</v>
      </c>
      <c r="I78" s="4"/>
      <c r="J78" s="210" t="s">
        <v>57</v>
      </c>
      <c r="K78" s="131" t="s">
        <v>480</v>
      </c>
      <c r="L78" s="131">
        <v>-43.335000000000001</v>
      </c>
      <c r="M78" s="131">
        <v>3881.7</v>
      </c>
      <c r="N78" s="131">
        <v>4.3982999999999999</v>
      </c>
      <c r="O78" s="130">
        <f>3.0548*1E+24</f>
        <v>3.0548000000000002E+24</v>
      </c>
      <c r="P78" s="131">
        <v>-10</v>
      </c>
      <c r="Q78" s="132">
        <v>94.111000000000004</v>
      </c>
      <c r="R78" s="131" t="s">
        <v>481</v>
      </c>
      <c r="S78" s="131">
        <v>101720</v>
      </c>
      <c r="T78" s="131">
        <v>317.61</v>
      </c>
      <c r="U78" s="131"/>
      <c r="V78" s="130"/>
      <c r="W78" s="131"/>
      <c r="X78" s="210" t="s">
        <v>57</v>
      </c>
      <c r="Y78" s="131" t="s">
        <v>482</v>
      </c>
      <c r="Z78" s="160">
        <v>0.18831000000000001</v>
      </c>
      <c r="AA78" s="168">
        <f>-1/10000</f>
        <v>-1E-4</v>
      </c>
      <c r="AB78" s="131"/>
      <c r="AC78" s="130"/>
      <c r="AD78" s="8"/>
    </row>
    <row r="79" spans="1:30" ht="15.75" customHeight="1" x14ac:dyDescent="0.25">
      <c r="A79" s="377" t="s">
        <v>555</v>
      </c>
      <c r="C79" s="418" t="s">
        <v>548</v>
      </c>
      <c r="D79" s="419"/>
      <c r="E79" s="188" t="s">
        <v>355</v>
      </c>
      <c r="I79" s="4"/>
      <c r="J79" s="210" t="s">
        <v>58</v>
      </c>
      <c r="K79" s="10" t="s">
        <v>483</v>
      </c>
      <c r="L79" s="10">
        <v>195.25</v>
      </c>
      <c r="M79" s="10">
        <v>-11072</v>
      </c>
      <c r="N79" s="10">
        <v>-29.084</v>
      </c>
      <c r="O79" s="15"/>
      <c r="P79" s="15"/>
      <c r="Q79" s="53">
        <v>148.11600000000001</v>
      </c>
      <c r="R79" s="10" t="s">
        <v>483</v>
      </c>
      <c r="S79" s="10">
        <v>145400</v>
      </c>
      <c r="T79" s="10">
        <v>252.4</v>
      </c>
      <c r="U79" s="10"/>
      <c r="V79" s="15"/>
      <c r="W79" s="15"/>
      <c r="X79" s="210" t="s">
        <v>58</v>
      </c>
      <c r="Y79" s="10" t="s">
        <v>483</v>
      </c>
      <c r="Z79" s="162">
        <v>0.22946</v>
      </c>
      <c r="AA79" s="153">
        <f>-2.1345/10000</f>
        <v>-2.1345000000000001E-4</v>
      </c>
      <c r="AB79" s="131"/>
      <c r="AC79" s="15"/>
      <c r="AD79" s="5"/>
    </row>
    <row r="80" spans="1:30" ht="18" customHeight="1" x14ac:dyDescent="0.25">
      <c r="A80" s="377"/>
      <c r="C80" s="148">
        <f>Y11</f>
        <v>0.13531795499999999</v>
      </c>
      <c r="D80" s="247" t="s">
        <v>689</v>
      </c>
      <c r="E80" s="216" t="s">
        <v>359</v>
      </c>
      <c r="I80" s="4"/>
      <c r="J80" s="210" t="s">
        <v>61</v>
      </c>
      <c r="K80" s="131" t="s">
        <v>484</v>
      </c>
      <c r="L80" s="131">
        <v>-23.931999999999999</v>
      </c>
      <c r="M80" s="131">
        <v>1834.6</v>
      </c>
      <c r="N80" s="131">
        <v>1.9124000000000001</v>
      </c>
      <c r="O80" s="130"/>
      <c r="P80" s="130"/>
      <c r="Q80" s="132">
        <v>74.078999999999994</v>
      </c>
      <c r="R80" s="131" t="s">
        <v>484</v>
      </c>
      <c r="S80" s="131">
        <v>213660</v>
      </c>
      <c r="T80" s="131">
        <v>-702.7</v>
      </c>
      <c r="U80" s="131">
        <v>1.6605000000000001</v>
      </c>
      <c r="V80" s="130"/>
      <c r="W80" s="130"/>
      <c r="X80" s="210" t="s">
        <v>61</v>
      </c>
      <c r="Y80" s="131" t="s">
        <v>485</v>
      </c>
      <c r="Z80" s="162">
        <v>0.19539999999999999</v>
      </c>
      <c r="AA80" s="159">
        <f>-1.64/10000</f>
        <v>-1.64E-4</v>
      </c>
      <c r="AB80" s="131"/>
      <c r="AC80" s="130"/>
      <c r="AD80" s="5"/>
    </row>
    <row r="81" spans="1:30" ht="18" customHeight="1" thickBot="1" x14ac:dyDescent="0.25">
      <c r="A81" s="377"/>
      <c r="C81" s="305" t="s">
        <v>253</v>
      </c>
      <c r="D81" s="78" t="str">
        <f>Y10</f>
        <v xml:space="preserve"> -84 to 77</v>
      </c>
      <c r="I81" s="4"/>
      <c r="J81" s="210" t="s">
        <v>62</v>
      </c>
      <c r="K81" s="10" t="s">
        <v>486</v>
      </c>
      <c r="L81" s="10">
        <v>-18.282</v>
      </c>
      <c r="M81" s="10">
        <v>1549.7</v>
      </c>
      <c r="N81" s="10">
        <v>1.0454000000000001</v>
      </c>
      <c r="O81" s="10"/>
      <c r="P81" s="15"/>
      <c r="Q81" s="53">
        <v>120.19199999999999</v>
      </c>
      <c r="R81" s="10" t="s">
        <v>487</v>
      </c>
      <c r="S81" s="10">
        <v>174380</v>
      </c>
      <c r="T81" s="10">
        <v>-101.8</v>
      </c>
      <c r="U81" s="10">
        <v>0.79</v>
      </c>
      <c r="V81" s="10"/>
      <c r="W81" s="15"/>
      <c r="X81" s="210" t="s">
        <v>62</v>
      </c>
      <c r="Y81" s="10" t="s">
        <v>488</v>
      </c>
      <c r="Z81" s="160">
        <v>0.18706999999999999</v>
      </c>
      <c r="AA81" s="153">
        <f>-1.9846/10000</f>
        <v>-1.9845999999999999E-4</v>
      </c>
      <c r="AB81" s="10"/>
      <c r="AC81" s="10"/>
      <c r="AD81" s="5"/>
    </row>
    <row r="82" spans="1:30" x14ac:dyDescent="0.2">
      <c r="A82" s="377"/>
      <c r="I82" s="15"/>
      <c r="J82" s="210" t="s">
        <v>74</v>
      </c>
      <c r="K82" s="131" t="s">
        <v>489</v>
      </c>
      <c r="L82" s="131">
        <v>-7.3810000000000002</v>
      </c>
      <c r="M82" s="131">
        <v>911.7</v>
      </c>
      <c r="N82" s="131">
        <v>-0.54152</v>
      </c>
      <c r="O82" s="130"/>
      <c r="P82" s="130"/>
      <c r="Q82" s="132">
        <v>106.16500000000001</v>
      </c>
      <c r="R82" s="131" t="s">
        <v>490</v>
      </c>
      <c r="S82" s="131">
        <v>-35500</v>
      </c>
      <c r="T82" s="131">
        <v>1287.2</v>
      </c>
      <c r="U82" s="131">
        <v>-2.5990000000000002</v>
      </c>
      <c r="V82" s="130">
        <v>2.4260000000000002E-3</v>
      </c>
      <c r="W82" s="130"/>
      <c r="X82" s="210" t="s">
        <v>74</v>
      </c>
      <c r="Y82" s="131" t="s">
        <v>489</v>
      </c>
      <c r="Z82" s="160">
        <v>0.20003000000000001</v>
      </c>
      <c r="AA82" s="153">
        <f>-2.3573/10000</f>
        <v>-2.3572999999999999E-4</v>
      </c>
      <c r="AB82" s="131"/>
      <c r="AC82" s="130"/>
      <c r="AD82" s="5"/>
    </row>
    <row r="83" spans="1:30" ht="15.75" customHeight="1" x14ac:dyDescent="0.25">
      <c r="A83" s="377"/>
      <c r="C83" s="423" t="s">
        <v>254</v>
      </c>
      <c r="D83" s="423"/>
      <c r="E83" s="59" t="s">
        <v>270</v>
      </c>
      <c r="I83" s="4"/>
      <c r="J83" s="210" t="s">
        <v>64</v>
      </c>
      <c r="K83" s="10" t="s">
        <v>491</v>
      </c>
      <c r="L83" s="10">
        <v>-22.675000000000001</v>
      </c>
      <c r="M83" s="10">
        <v>1758</v>
      </c>
      <c r="N83" s="10">
        <v>1.6700999999999999</v>
      </c>
      <c r="O83" s="15"/>
      <c r="P83" s="15"/>
      <c r="Q83" s="53">
        <v>104.149</v>
      </c>
      <c r="R83" s="10" t="s">
        <v>492</v>
      </c>
      <c r="S83" s="10">
        <v>113340</v>
      </c>
      <c r="T83" s="10">
        <v>290.2</v>
      </c>
      <c r="U83" s="10">
        <v>-0.60509999999999997</v>
      </c>
      <c r="V83" s="15">
        <v>1.3567E-3</v>
      </c>
      <c r="W83" s="15"/>
      <c r="X83" s="210" t="s">
        <v>64</v>
      </c>
      <c r="Y83" s="10" t="s">
        <v>492</v>
      </c>
      <c r="Z83" s="160">
        <v>0.20215</v>
      </c>
      <c r="AA83" s="154">
        <f>-2.201/10000</f>
        <v>-2.2010000000000001E-4</v>
      </c>
      <c r="AB83" s="10"/>
      <c r="AC83" s="15"/>
      <c r="AD83" s="5"/>
    </row>
    <row r="84" spans="1:30" ht="15.75" thickBot="1" x14ac:dyDescent="0.3">
      <c r="A84" s="377"/>
      <c r="E84" s="59" t="s">
        <v>530</v>
      </c>
      <c r="I84" s="4"/>
      <c r="J84" s="210" t="s">
        <v>65</v>
      </c>
      <c r="K84" s="131" t="s">
        <v>493</v>
      </c>
      <c r="L84" s="131">
        <v>-10.321</v>
      </c>
      <c r="M84" s="131">
        <v>900.92</v>
      </c>
      <c r="N84" s="131">
        <v>-6.9127999999999995E-2</v>
      </c>
      <c r="O84" s="130"/>
      <c r="P84" s="130"/>
      <c r="Q84" s="132">
        <v>72.105999999999995</v>
      </c>
      <c r="R84" s="131" t="s">
        <v>494</v>
      </c>
      <c r="S84" s="131">
        <v>171730</v>
      </c>
      <c r="T84" s="131">
        <v>-800.47</v>
      </c>
      <c r="U84" s="131">
        <v>2.8934000000000002</v>
      </c>
      <c r="V84" s="130">
        <v>-2.5014999999999998E-3</v>
      </c>
      <c r="W84" s="130"/>
      <c r="X84" s="210" t="s">
        <v>65</v>
      </c>
      <c r="Y84" s="131" t="s">
        <v>494</v>
      </c>
      <c r="Z84" s="160">
        <v>0.19428000000000001</v>
      </c>
      <c r="AA84" s="159">
        <f>-2.49/10000</f>
        <v>-2.4900000000000004E-4</v>
      </c>
      <c r="AB84" s="131"/>
      <c r="AC84" s="130"/>
      <c r="AD84" s="5"/>
    </row>
    <row r="85" spans="1:30" ht="18" customHeight="1" x14ac:dyDescent="0.25">
      <c r="A85" s="377"/>
      <c r="C85" s="378" t="s">
        <v>255</v>
      </c>
      <c r="D85" s="379"/>
      <c r="E85" s="59" t="s">
        <v>528</v>
      </c>
      <c r="I85" s="4"/>
      <c r="J85" s="210" t="s">
        <v>66</v>
      </c>
      <c r="K85" s="10" t="s">
        <v>495</v>
      </c>
      <c r="L85" s="10">
        <v>-226.08</v>
      </c>
      <c r="M85" s="10">
        <v>6805.7</v>
      </c>
      <c r="N85" s="10">
        <v>37.542000000000002</v>
      </c>
      <c r="O85" s="10">
        <v>-6.0852999999999997E-2</v>
      </c>
      <c r="P85" s="10">
        <v>1</v>
      </c>
      <c r="Q85" s="53">
        <v>92.138000000000005</v>
      </c>
      <c r="R85" s="10" t="s">
        <v>496</v>
      </c>
      <c r="S85" s="10">
        <v>140140</v>
      </c>
      <c r="T85" s="10">
        <v>-152.30000000000001</v>
      </c>
      <c r="U85" s="10">
        <v>0.69499999999999995</v>
      </c>
      <c r="V85" s="10"/>
      <c r="W85" s="10"/>
      <c r="X85" s="210" t="s">
        <v>66</v>
      </c>
      <c r="Y85" s="10" t="s">
        <v>497</v>
      </c>
      <c r="Z85" s="160">
        <v>0.20463000000000001</v>
      </c>
      <c r="AA85" s="153">
        <f>-2.4252/10000</f>
        <v>-2.4251999999999998E-4</v>
      </c>
      <c r="AB85" s="10"/>
      <c r="AC85" s="10"/>
      <c r="AD85" s="8"/>
    </row>
    <row r="86" spans="1:30" ht="15" x14ac:dyDescent="0.25">
      <c r="A86" s="377"/>
      <c r="C86" s="7"/>
      <c r="D86" s="8"/>
      <c r="E86" s="59" t="s">
        <v>529</v>
      </c>
      <c r="I86" s="4"/>
      <c r="J86" s="210" t="s">
        <v>68</v>
      </c>
      <c r="K86" s="131" t="s">
        <v>498</v>
      </c>
      <c r="L86" s="131">
        <v>-3.7067000000000001</v>
      </c>
      <c r="M86" s="131">
        <v>585.78</v>
      </c>
      <c r="N86" s="131">
        <v>-1.0926</v>
      </c>
      <c r="O86" s="130"/>
      <c r="P86" s="130"/>
      <c r="Q86" s="132">
        <v>101.19</v>
      </c>
      <c r="R86" s="131" t="s">
        <v>499</v>
      </c>
      <c r="S86" s="131">
        <v>111480</v>
      </c>
      <c r="T86" s="131">
        <v>368.13</v>
      </c>
      <c r="U86" s="131"/>
      <c r="V86" s="130"/>
      <c r="W86" s="130"/>
      <c r="X86" s="210" t="s">
        <v>68</v>
      </c>
      <c r="Y86" s="131" t="s">
        <v>500</v>
      </c>
      <c r="Z86" s="162">
        <v>0.1918</v>
      </c>
      <c r="AA86" s="154">
        <f>-2.453/10000</f>
        <v>-2.453E-4</v>
      </c>
      <c r="AB86" s="131"/>
      <c r="AC86" s="130"/>
      <c r="AD86" s="5"/>
    </row>
    <row r="87" spans="1:30" ht="15.75" thickBot="1" x14ac:dyDescent="0.3">
      <c r="A87" s="377"/>
      <c r="C87" s="307" t="s">
        <v>699</v>
      </c>
      <c r="D87" s="84"/>
      <c r="E87" s="59" t="s">
        <v>537</v>
      </c>
      <c r="I87" s="6"/>
      <c r="J87" s="210" t="s">
        <v>69</v>
      </c>
      <c r="K87" s="10" t="s">
        <v>501</v>
      </c>
      <c r="L87" s="10">
        <v>52.176000000000002</v>
      </c>
      <c r="M87" s="10">
        <v>-4951.8999999999996</v>
      </c>
      <c r="N87" s="10">
        <v>-8.5676000000000005</v>
      </c>
      <c r="O87" s="10">
        <v>570980</v>
      </c>
      <c r="P87" s="10">
        <v>-2</v>
      </c>
      <c r="Q87" s="53">
        <v>156.30799999999999</v>
      </c>
      <c r="R87" s="10" t="s">
        <v>502</v>
      </c>
      <c r="S87" s="10">
        <v>293980</v>
      </c>
      <c r="T87" s="10">
        <v>-114.98</v>
      </c>
      <c r="U87" s="10">
        <v>0.96936</v>
      </c>
      <c r="V87" s="10"/>
      <c r="W87" s="10"/>
      <c r="X87" s="210" t="s">
        <v>69</v>
      </c>
      <c r="Y87" s="10" t="s">
        <v>503</v>
      </c>
      <c r="Z87" s="160">
        <v>0.20515</v>
      </c>
      <c r="AA87" s="153">
        <f>-2.3933/10000</f>
        <v>-2.3933E-4</v>
      </c>
      <c r="AB87" s="10"/>
      <c r="AC87" s="10"/>
      <c r="AD87" s="8"/>
    </row>
    <row r="88" spans="1:30" ht="15" x14ac:dyDescent="0.25">
      <c r="A88" s="377"/>
      <c r="E88" s="59"/>
      <c r="J88" s="210" t="s">
        <v>70</v>
      </c>
      <c r="K88" s="131" t="s">
        <v>504</v>
      </c>
      <c r="L88" s="131">
        <v>0.26296999999999998</v>
      </c>
      <c r="M88" s="131">
        <v>276.55</v>
      </c>
      <c r="N88" s="131">
        <v>-1.7282</v>
      </c>
      <c r="O88" s="130"/>
      <c r="P88" s="130"/>
      <c r="Q88" s="132">
        <v>62.497999999999998</v>
      </c>
      <c r="R88" s="131" t="s">
        <v>380</v>
      </c>
      <c r="S88" s="131">
        <v>-10320</v>
      </c>
      <c r="T88" s="131">
        <v>322.8</v>
      </c>
      <c r="U88" s="131"/>
      <c r="V88" s="130"/>
      <c r="W88" s="130"/>
      <c r="X88" s="210" t="s">
        <v>70</v>
      </c>
      <c r="Y88" s="131" t="s">
        <v>505</v>
      </c>
      <c r="Z88" s="162">
        <v>0.23330000000000001</v>
      </c>
      <c r="AA88" s="159">
        <f>-3.9223/10000</f>
        <v>-3.9222999999999998E-4</v>
      </c>
      <c r="AB88" s="131"/>
      <c r="AC88" s="130"/>
      <c r="AD88" s="5"/>
    </row>
    <row r="89" spans="1:30" ht="17.25" customHeight="1" x14ac:dyDescent="0.25">
      <c r="A89" s="377"/>
      <c r="C89" s="214" t="s">
        <v>545</v>
      </c>
      <c r="D89" s="217">
        <f>IF(D10="Other Liquid",D87,C80)</f>
        <v>0.13531795499999999</v>
      </c>
      <c r="E89" s="85" t="s">
        <v>689</v>
      </c>
      <c r="F89" s="59" t="str">
        <f>IF(D$15="Other Liquid","     (manual entry)","     (from menu selection)")</f>
        <v xml:space="preserve">     (from menu selection)</v>
      </c>
      <c r="J89" s="210" t="s">
        <v>71</v>
      </c>
      <c r="K89" s="131" t="s">
        <v>506</v>
      </c>
      <c r="L89" s="131">
        <v>-52.843000000000004</v>
      </c>
      <c r="M89" s="131">
        <v>3703.6</v>
      </c>
      <c r="N89" s="131">
        <v>5.8659999999999997</v>
      </c>
      <c r="O89" s="130">
        <f>-5.879/1E+29</f>
        <v>-5.8789999999999996E-29</v>
      </c>
      <c r="P89" s="131">
        <v>10</v>
      </c>
      <c r="Q89" s="132">
        <v>18.015000000000001</v>
      </c>
      <c r="R89" s="131" t="s">
        <v>507</v>
      </c>
      <c r="S89" s="131">
        <v>276370</v>
      </c>
      <c r="T89" s="131">
        <v>-2090.1</v>
      </c>
      <c r="U89" s="131">
        <v>8.125</v>
      </c>
      <c r="V89" s="130">
        <v>-1.4116E-2</v>
      </c>
      <c r="W89" s="131">
        <f>9.37/1000000</f>
        <v>9.3699999999999984E-6</v>
      </c>
      <c r="X89" s="210" t="s">
        <v>71</v>
      </c>
      <c r="Y89" s="131" t="s">
        <v>508</v>
      </c>
      <c r="Z89" s="162">
        <v>-0.432</v>
      </c>
      <c r="AA89" s="159">
        <v>5.7254999999999997E-3</v>
      </c>
      <c r="AB89" s="131">
        <f>-8.078/1000000</f>
        <v>-8.0779999999999996E-6</v>
      </c>
      <c r="AC89" s="130">
        <f>1.861/1000000000</f>
        <v>1.8610000000000001E-9</v>
      </c>
      <c r="AD89" s="8"/>
    </row>
    <row r="90" spans="1:30" ht="18" customHeight="1" thickBot="1" x14ac:dyDescent="0.25">
      <c r="A90" s="377"/>
      <c r="C90" s="129" t="s">
        <v>546</v>
      </c>
      <c r="D90" s="311"/>
      <c r="E90" s="310"/>
      <c r="J90" s="219"/>
      <c r="K90" s="92"/>
      <c r="L90" s="40"/>
      <c r="M90" s="40"/>
      <c r="N90" s="40"/>
      <c r="O90" s="40"/>
      <c r="P90" s="40"/>
      <c r="Q90" s="22"/>
      <c r="R90" s="22"/>
      <c r="S90" s="22"/>
      <c r="T90" s="22"/>
      <c r="U90" s="22"/>
      <c r="V90" s="22"/>
      <c r="W90" s="22"/>
      <c r="X90" s="93"/>
      <c r="Y90" s="22"/>
      <c r="Z90" s="22"/>
      <c r="AA90" s="22"/>
      <c r="AB90" s="22"/>
      <c r="AC90" s="22"/>
      <c r="AD90" s="169"/>
    </row>
    <row r="91" spans="1:30" ht="18" customHeight="1" x14ac:dyDescent="0.2">
      <c r="A91" s="377"/>
    </row>
    <row r="92" spans="1:30" ht="20.25" customHeight="1" thickBot="1" x14ac:dyDescent="0.25">
      <c r="A92" s="377"/>
    </row>
    <row r="93" spans="1:30" ht="18" customHeight="1" x14ac:dyDescent="0.25">
      <c r="A93" s="377"/>
      <c r="C93" s="418" t="s">
        <v>547</v>
      </c>
      <c r="D93" s="419"/>
      <c r="J93" s="205" t="s">
        <v>841</v>
      </c>
    </row>
    <row r="94" spans="1:30" ht="17.25" customHeight="1" x14ac:dyDescent="0.2">
      <c r="A94" s="377"/>
      <c r="C94" s="148">
        <f>Y14</f>
        <v>0.63634863459391589</v>
      </c>
      <c r="D94" s="247" t="s">
        <v>689</v>
      </c>
      <c r="G94" s="1"/>
    </row>
    <row r="95" spans="1:30" ht="16.5" customHeight="1" thickBot="1" x14ac:dyDescent="0.25">
      <c r="A95" s="377"/>
      <c r="C95" s="305" t="s">
        <v>253</v>
      </c>
      <c r="D95" s="78" t="str">
        <f>Y13</f>
        <v xml:space="preserve"> 0 to 360</v>
      </c>
    </row>
    <row r="96" spans="1:30" x14ac:dyDescent="0.2">
      <c r="A96" s="377"/>
    </row>
    <row r="97" spans="1:7" ht="15" x14ac:dyDescent="0.25">
      <c r="A97" s="377"/>
      <c r="C97" s="423" t="s">
        <v>254</v>
      </c>
      <c r="D97" s="423"/>
      <c r="E97" s="59" t="s">
        <v>270</v>
      </c>
    </row>
    <row r="98" spans="1:7" ht="15.75" thickBot="1" x14ac:dyDescent="0.3">
      <c r="A98" s="377"/>
      <c r="E98" s="59" t="s">
        <v>530</v>
      </c>
    </row>
    <row r="99" spans="1:7" ht="15" x14ac:dyDescent="0.25">
      <c r="A99" s="377"/>
      <c r="C99" s="378" t="s">
        <v>255</v>
      </c>
      <c r="D99" s="379"/>
      <c r="E99" s="59" t="s">
        <v>531</v>
      </c>
    </row>
    <row r="100" spans="1:7" ht="15" x14ac:dyDescent="0.25">
      <c r="A100" s="377"/>
      <c r="C100" s="7"/>
      <c r="D100" s="8"/>
      <c r="E100" s="59" t="s">
        <v>529</v>
      </c>
    </row>
    <row r="101" spans="1:7" ht="15.75" thickBot="1" x14ac:dyDescent="0.3">
      <c r="A101" s="377"/>
      <c r="C101" s="307" t="s">
        <v>699</v>
      </c>
      <c r="D101" s="84"/>
      <c r="E101" s="59" t="s">
        <v>537</v>
      </c>
    </row>
    <row r="102" spans="1:7" ht="15" x14ac:dyDescent="0.25">
      <c r="A102" s="377"/>
      <c r="E102" s="59"/>
    </row>
    <row r="103" spans="1:7" ht="18" customHeight="1" x14ac:dyDescent="0.25">
      <c r="A103" s="377"/>
      <c r="C103" s="214" t="s">
        <v>553</v>
      </c>
      <c r="D103" s="217">
        <f>IF(D24="Other Liquid",D101,C94)</f>
        <v>0.63634863459391589</v>
      </c>
      <c r="E103" s="85" t="s">
        <v>689</v>
      </c>
      <c r="F103" s="59" t="str">
        <f>IF(D$15="Other Liquid","     (manual entry)","     (from menu selection)")</f>
        <v xml:space="preserve">     (from menu selection)</v>
      </c>
    </row>
    <row r="104" spans="1:7" ht="18" customHeight="1" x14ac:dyDescent="0.2">
      <c r="A104" s="377"/>
      <c r="C104" s="129" t="s">
        <v>554</v>
      </c>
      <c r="D104" s="311"/>
      <c r="E104" s="310"/>
    </row>
    <row r="105" spans="1:7" ht="17.25" customHeight="1" x14ac:dyDescent="0.2">
      <c r="A105" s="377"/>
      <c r="C105" s="129"/>
    </row>
    <row r="108" spans="1:7" ht="13.5" thickBot="1" x14ac:dyDescent="0.25"/>
    <row r="109" spans="1:7" ht="13.5" thickBot="1" x14ac:dyDescent="0.25">
      <c r="C109" s="371" t="s">
        <v>583</v>
      </c>
      <c r="D109" s="372"/>
      <c r="E109" s="372"/>
      <c r="F109" s="372"/>
      <c r="G109" s="373"/>
    </row>
    <row r="110" spans="1:7" x14ac:dyDescent="0.2">
      <c r="C110" s="19"/>
      <c r="D110" s="270"/>
      <c r="E110" s="270"/>
      <c r="F110" s="270"/>
      <c r="G110" s="21"/>
    </row>
    <row r="111" spans="1:7" ht="14.25" x14ac:dyDescent="0.2">
      <c r="C111" s="39" t="s">
        <v>584</v>
      </c>
      <c r="D111" s="29"/>
      <c r="E111" s="29"/>
      <c r="F111" s="29"/>
      <c r="G111" s="30"/>
    </row>
    <row r="112" spans="1:7" ht="14.25" x14ac:dyDescent="0.2">
      <c r="C112" s="39" t="s">
        <v>585</v>
      </c>
      <c r="D112" s="29"/>
      <c r="E112" s="29"/>
      <c r="F112" s="29"/>
      <c r="G112" s="30"/>
    </row>
    <row r="113" spans="3:7" ht="14.25" x14ac:dyDescent="0.2">
      <c r="C113" s="39" t="s">
        <v>586</v>
      </c>
      <c r="D113" s="29"/>
      <c r="E113" s="29"/>
      <c r="F113" s="29"/>
      <c r="G113" s="30"/>
    </row>
    <row r="114" spans="3:7" ht="16.5" customHeight="1" x14ac:dyDescent="0.2">
      <c r="C114" s="374" t="s">
        <v>873</v>
      </c>
      <c r="D114" s="375"/>
      <c r="E114" s="375"/>
      <c r="F114" s="375"/>
      <c r="G114" s="376"/>
    </row>
    <row r="115" spans="3:7" ht="14.25" x14ac:dyDescent="0.2">
      <c r="C115" s="39"/>
      <c r="D115" s="29"/>
      <c r="E115" s="29"/>
      <c r="F115" s="29"/>
      <c r="G115" s="30"/>
    </row>
    <row r="116" spans="3:7" ht="14.25" x14ac:dyDescent="0.2">
      <c r="C116" s="39" t="s">
        <v>587</v>
      </c>
      <c r="D116" s="29"/>
      <c r="E116" s="29"/>
      <c r="F116" s="29"/>
      <c r="G116" s="30"/>
    </row>
    <row r="117" spans="3:7" ht="18.75" customHeight="1" x14ac:dyDescent="0.2">
      <c r="C117" s="28"/>
      <c r="D117" s="29"/>
      <c r="E117" s="29"/>
      <c r="F117" s="29"/>
      <c r="G117" s="30"/>
    </row>
    <row r="118" spans="3:7" x14ac:dyDescent="0.2">
      <c r="C118" s="368" t="s">
        <v>588</v>
      </c>
      <c r="D118" s="369"/>
      <c r="E118" s="369"/>
      <c r="F118" s="369"/>
      <c r="G118" s="370"/>
    </row>
    <row r="119" spans="3:7" x14ac:dyDescent="0.2">
      <c r="C119" s="368"/>
      <c r="D119" s="369"/>
      <c r="E119" s="369"/>
      <c r="F119" s="369"/>
      <c r="G119" s="370"/>
    </row>
    <row r="120" spans="3:7" ht="18.75" x14ac:dyDescent="0.25">
      <c r="C120" s="271" t="s">
        <v>843</v>
      </c>
      <c r="D120" s="29"/>
      <c r="E120" s="29"/>
      <c r="F120" s="29"/>
      <c r="G120" s="30"/>
    </row>
    <row r="121" spans="3:7" x14ac:dyDescent="0.2">
      <c r="C121" s="28"/>
      <c r="D121" s="29"/>
      <c r="E121" s="29"/>
      <c r="F121" s="29"/>
      <c r="G121" s="30"/>
    </row>
    <row r="122" spans="3:7" ht="17.25" x14ac:dyDescent="0.25">
      <c r="C122" s="39" t="s">
        <v>589</v>
      </c>
      <c r="D122" s="272" t="s">
        <v>590</v>
      </c>
      <c r="E122" s="273"/>
      <c r="F122" s="272" t="s">
        <v>844</v>
      </c>
      <c r="G122" s="274"/>
    </row>
    <row r="123" spans="3:7" ht="14.25" x14ac:dyDescent="0.2">
      <c r="C123" s="39"/>
      <c r="D123" s="29"/>
      <c r="E123" s="29"/>
      <c r="F123" s="29"/>
      <c r="G123" s="30"/>
    </row>
    <row r="124" spans="3:7" x14ac:dyDescent="0.2">
      <c r="C124" s="368" t="s">
        <v>591</v>
      </c>
      <c r="D124" s="369"/>
      <c r="E124" s="369"/>
      <c r="F124" s="369"/>
      <c r="G124" s="370"/>
    </row>
    <row r="125" spans="3:7" ht="14.25" x14ac:dyDescent="0.2">
      <c r="C125" s="39"/>
      <c r="D125" s="29"/>
      <c r="E125" s="29"/>
      <c r="F125" s="29"/>
      <c r="G125" s="30"/>
    </row>
    <row r="126" spans="3:7" ht="18.75" x14ac:dyDescent="0.25">
      <c r="C126" s="271" t="s">
        <v>845</v>
      </c>
      <c r="D126" s="29"/>
      <c r="E126" s="273" t="s">
        <v>589</v>
      </c>
      <c r="F126" s="272" t="s">
        <v>848</v>
      </c>
      <c r="G126" s="30"/>
    </row>
    <row r="127" spans="3:7" ht="14.25" x14ac:dyDescent="0.2">
      <c r="C127" s="39"/>
      <c r="D127" s="29"/>
      <c r="E127" s="29"/>
      <c r="F127" s="29"/>
      <c r="G127" s="30"/>
    </row>
    <row r="128" spans="3:7" x14ac:dyDescent="0.2">
      <c r="C128" s="368" t="s">
        <v>592</v>
      </c>
      <c r="D128" s="369"/>
      <c r="E128" s="369"/>
      <c r="F128" s="369"/>
      <c r="G128" s="370"/>
    </row>
    <row r="129" spans="3:7" x14ac:dyDescent="0.2">
      <c r="C129" s="28"/>
      <c r="D129" s="29"/>
      <c r="E129" s="29"/>
      <c r="F129" s="29"/>
      <c r="G129" s="30"/>
    </row>
    <row r="130" spans="3:7" ht="17.25" x14ac:dyDescent="0.25">
      <c r="C130" s="275" t="s">
        <v>846</v>
      </c>
      <c r="D130" s="29"/>
      <c r="E130" s="42" t="s">
        <v>593</v>
      </c>
      <c r="F130" s="276" t="s">
        <v>847</v>
      </c>
      <c r="G130" s="30"/>
    </row>
    <row r="131" spans="3:7" x14ac:dyDescent="0.2">
      <c r="C131" s="28"/>
      <c r="D131" s="29"/>
      <c r="E131" s="29"/>
      <c r="F131" s="29"/>
      <c r="G131" s="30"/>
    </row>
    <row r="132" spans="3:7" ht="15" x14ac:dyDescent="0.25">
      <c r="C132" s="275"/>
      <c r="D132" s="29"/>
      <c r="E132" s="42"/>
      <c r="F132" s="276"/>
      <c r="G132" s="30"/>
    </row>
    <row r="133" spans="3:7" x14ac:dyDescent="0.2">
      <c r="C133" s="368" t="s">
        <v>594</v>
      </c>
      <c r="D133" s="369"/>
      <c r="E133" s="369"/>
      <c r="F133" s="369"/>
      <c r="G133" s="370"/>
    </row>
    <row r="134" spans="3:7" x14ac:dyDescent="0.2">
      <c r="C134" s="28"/>
      <c r="D134" s="29"/>
      <c r="E134" s="29"/>
      <c r="F134" s="29"/>
      <c r="G134" s="30"/>
    </row>
    <row r="135" spans="3:7" ht="16.5" x14ac:dyDescent="0.2">
      <c r="C135" s="39" t="s">
        <v>595</v>
      </c>
      <c r="D135" s="29"/>
      <c r="E135" s="29"/>
      <c r="F135" s="29"/>
      <c r="G135" s="30"/>
    </row>
    <row r="136" spans="3:7" x14ac:dyDescent="0.2">
      <c r="C136" s="28"/>
      <c r="D136" s="42"/>
      <c r="E136" s="29"/>
      <c r="F136" s="29"/>
      <c r="G136" s="30"/>
    </row>
    <row r="137" spans="3:7" x14ac:dyDescent="0.2">
      <c r="C137" s="28"/>
      <c r="D137" s="42" t="s">
        <v>596</v>
      </c>
      <c r="E137" s="29" t="s">
        <v>849</v>
      </c>
      <c r="F137" s="29"/>
      <c r="G137" s="30"/>
    </row>
    <row r="138" spans="3:7" x14ac:dyDescent="0.2">
      <c r="C138" s="368"/>
      <c r="D138" s="369"/>
      <c r="E138" s="369"/>
      <c r="F138" s="369"/>
      <c r="G138" s="370"/>
    </row>
    <row r="139" spans="3:7" x14ac:dyDescent="0.2">
      <c r="C139" s="28"/>
      <c r="D139" s="29"/>
      <c r="E139" s="29"/>
      <c r="F139" s="29"/>
      <c r="G139" s="30"/>
    </row>
    <row r="140" spans="3:7" x14ac:dyDescent="0.2">
      <c r="C140" s="368" t="s">
        <v>597</v>
      </c>
      <c r="D140" s="369"/>
      <c r="E140" s="369"/>
      <c r="F140" s="369"/>
      <c r="G140" s="370"/>
    </row>
    <row r="141" spans="3:7" x14ac:dyDescent="0.2">
      <c r="C141" s="28"/>
      <c r="D141" s="29"/>
      <c r="E141" s="29"/>
      <c r="F141" s="29"/>
      <c r="G141" s="30"/>
    </row>
    <row r="142" spans="3:7" ht="16.5" x14ac:dyDescent="0.2">
      <c r="C142" s="39" t="s">
        <v>851</v>
      </c>
      <c r="D142" s="42"/>
      <c r="E142" s="42" t="s">
        <v>598</v>
      </c>
      <c r="F142" s="29" t="s">
        <v>850</v>
      </c>
      <c r="G142" s="30"/>
    </row>
    <row r="143" spans="3:7" ht="15" thickBot="1" x14ac:dyDescent="0.25">
      <c r="C143" s="277"/>
      <c r="D143" s="45"/>
      <c r="E143" s="278"/>
      <c r="F143" s="45"/>
      <c r="G143" s="279"/>
    </row>
  </sheetData>
  <sheetProtection sheet="1" objects="1" scenarios="1" formatCells="0"/>
  <mergeCells count="49">
    <mergeCell ref="C133:G133"/>
    <mergeCell ref="C138:G138"/>
    <mergeCell ref="C140:G140"/>
    <mergeCell ref="Z14:AD14"/>
    <mergeCell ref="Z11:AD11"/>
    <mergeCell ref="C118:G118"/>
    <mergeCell ref="C128:G128"/>
    <mergeCell ref="C109:G109"/>
    <mergeCell ref="C114:G114"/>
    <mergeCell ref="C119:G119"/>
    <mergeCell ref="C124:G124"/>
    <mergeCell ref="A79:A105"/>
    <mergeCell ref="C70:D70"/>
    <mergeCell ref="C68:D68"/>
    <mergeCell ref="A50:A76"/>
    <mergeCell ref="C93:D93"/>
    <mergeCell ref="C97:D97"/>
    <mergeCell ref="C56:D56"/>
    <mergeCell ref="C64:D64"/>
    <mergeCell ref="C50:D50"/>
    <mergeCell ref="C54:D54"/>
    <mergeCell ref="C99:D99"/>
    <mergeCell ref="C79:D79"/>
    <mergeCell ref="C83:D83"/>
    <mergeCell ref="C85:D85"/>
    <mergeCell ref="A7:A47"/>
    <mergeCell ref="C8:D8"/>
    <mergeCell ref="J9:Q9"/>
    <mergeCell ref="L11:P11"/>
    <mergeCell ref="S11:W11"/>
    <mergeCell ref="C15:D15"/>
    <mergeCell ref="C19:D19"/>
    <mergeCell ref="C21:D21"/>
    <mergeCell ref="C29:D29"/>
    <mergeCell ref="C36:D36"/>
    <mergeCell ref="C40:D40"/>
    <mergeCell ref="C42:D42"/>
    <mergeCell ref="J12:Q12"/>
    <mergeCell ref="L14:P14"/>
    <mergeCell ref="S14:W14"/>
    <mergeCell ref="B2:F2"/>
    <mergeCell ref="Q2:U2"/>
    <mergeCell ref="B3:F3"/>
    <mergeCell ref="B4:F4"/>
    <mergeCell ref="I3:K3"/>
    <mergeCell ref="L3:N3"/>
    <mergeCell ref="T3:V3"/>
    <mergeCell ref="J2:P2"/>
    <mergeCell ref="P3:S3"/>
  </mergeCells>
  <dataValidations count="4">
    <dataValidation allowBlank="1" showInputMessage="1" showErrorMessage="1" promptTitle="Fluid Specific Heat Calculation" prompt="Based on variables for specific heat_x000a_." sqref="C51 C65" xr:uid="{00000000-0002-0000-0400-000000000000}"/>
    <dataValidation type="decimal" operator="greaterThan" allowBlank="1" showInputMessage="1" showErrorMessage="1" errorTitle="Invalid Entry" error="Please enter a value greater than 0." promptTitle="Enter Viscosity" prompt="This is a pre-calculated fluid viscosity you have obtained from another source. Any value you enter here will override the selection above." sqref="D87 D58 D72 D101" xr:uid="{00000000-0002-0000-0400-000001000000}">
      <formula1>0</formula1>
    </dataValidation>
    <dataValidation type="decimal" operator="greaterThan" allowBlank="1" showInputMessage="1" showErrorMessage="1" errorTitle="Invalid Entry" error="Please enter a value greater than 0." promptTitle="Enter Viscosity" prompt="This is a pre-calculated liquid viscosity you have obtained from another source. To use a value entered here, select &quot;Other Liquid&quot; from the dropdown menu above_x000a_." sqref="D23" xr:uid="{00000000-0002-0000-0400-000002000000}">
      <formula1>0</formula1>
    </dataValidation>
    <dataValidation type="decimal" operator="greaterThan" allowBlank="1" showInputMessage="1" showErrorMessage="1" errorTitle="Invalid Entry" error="Please enter a value greater than 0." promptTitle="Enter Viscosity" prompt="This is a pre-calculated liquid viscosity you have obtained from another source. To use a value entered here, select &quot;Other Liquid&quot; in the dropdown menu above." sqref="D44" xr:uid="{00000000-0002-0000-0400-000003000000}">
      <formula1>0</formula1>
    </dataValidation>
  </dataValidations>
  <hyperlinks>
    <hyperlink ref="J2" r:id="rId1" location="p200139d89822_98001" display="Table 2-32 in Perry's Chemical Engineers' Handbook, 8th Ed." xr:uid="{6F45B87F-9E91-4772-B2A2-759344AA0A51}"/>
    <hyperlink ref="J2:N2" r:id="rId2" location="c9780071834087ch02" display="Perry's Chemical Engineers' Handbook, 9th Ed, Ch. 2, Physical and Chemical Data" xr:uid="{DA175A3F-E55B-4B15-B59E-D1A21755742E}"/>
    <hyperlink ref="I3:K3" r:id="rId3" location="ch02table139" display="Liquid Viscosity:  Table 2-139" xr:uid="{BD0D0DF7-88C1-499B-A8EA-AAE38EE22C48}"/>
    <hyperlink ref="L3:N3" r:id="rId4" location="ch02table32" display="Liquid Density:  Table 2-32" xr:uid="{86D8C64C-E3D0-4F32-96E7-3CC010DFFCB4}"/>
    <hyperlink ref="P3:R3" r:id="rId5" location="ch02table147" display="Liquid Thermal Conductivity:  Table 2-147" xr:uid="{0993EF93-C088-4E7A-8BA8-D794C123F2C1}"/>
    <hyperlink ref="T3:V3" r:id="rId6" location="ch02table72" display="Liquid Sp. Heat:  Table 2-72" xr:uid="{41187706-CEF1-4FB5-A826-B18EAACE43E8}"/>
    <hyperlink ref="C114" r:id="rId7" location="p200139d89822_98001" display="Table 2-32 in Perry's Chemical Engineers' Handbook, 8th Ed." xr:uid="{3D013F70-0898-45AD-8D11-D3CD14BF492E}"/>
    <hyperlink ref="C114:G114" r:id="rId8" location="c9780071834087ch02" display="Perry's Chemical Engineers' Handbook, 9th Ed., Ch. 2, Physical and Chemical Data" xr:uid="{9B505B4F-4783-4CF4-B551-9025AD2791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2"/>
  <sheetViews>
    <sheetView zoomScaleNormal="100" workbookViewId="0"/>
  </sheetViews>
  <sheetFormatPr defaultRowHeight="12.75" x14ac:dyDescent="0.2"/>
  <cols>
    <col min="3" max="3" width="34.85546875" customWidth="1"/>
    <col min="4" max="4" width="10.28515625" customWidth="1"/>
    <col min="5" max="5" width="22.140625" customWidth="1"/>
    <col min="6" max="6" width="9.5703125" bestFit="1" customWidth="1"/>
    <col min="7" max="7" width="6.140625" customWidth="1"/>
    <col min="8" max="8" width="11.7109375" customWidth="1"/>
    <col min="9" max="9" width="5.42578125" customWidth="1"/>
    <col min="12" max="12" width="4.42578125" customWidth="1"/>
    <col min="13" max="13" width="5.7109375" customWidth="1"/>
    <col min="15" max="15" width="6.42578125" customWidth="1"/>
    <col min="16" max="16" width="13" customWidth="1"/>
  </cols>
  <sheetData>
    <row r="1" spans="1:16" ht="13.5" thickBot="1" x14ac:dyDescent="0.25"/>
    <row r="2" spans="1:16" ht="15.75" x14ac:dyDescent="0.25">
      <c r="B2" s="424"/>
      <c r="C2" s="425"/>
      <c r="D2" s="425"/>
      <c r="E2" s="425"/>
      <c r="F2" s="426"/>
      <c r="H2" s="174" t="s">
        <v>562</v>
      </c>
      <c r="L2" s="245" t="s">
        <v>575</v>
      </c>
      <c r="M2" s="245"/>
      <c r="N2" s="245"/>
    </row>
    <row r="3" spans="1:16" ht="18.75" thickBot="1" x14ac:dyDescent="0.3">
      <c r="B3" s="389" t="s">
        <v>677</v>
      </c>
      <c r="C3" s="390"/>
      <c r="D3" s="390"/>
      <c r="E3" s="390"/>
      <c r="F3" s="391"/>
      <c r="L3" s="245"/>
      <c r="M3" s="246" t="s">
        <v>578</v>
      </c>
      <c r="N3" s="245"/>
    </row>
    <row r="4" spans="1:16" ht="15.75" thickBot="1" x14ac:dyDescent="0.25">
      <c r="B4" s="414"/>
      <c r="C4" s="415"/>
      <c r="D4" s="415"/>
      <c r="E4" s="415"/>
      <c r="F4" s="416"/>
      <c r="H4" s="232"/>
      <c r="I4" s="233"/>
      <c r="J4" s="234" t="s">
        <v>558</v>
      </c>
      <c r="K4" s="233"/>
      <c r="L4" s="233"/>
      <c r="M4" s="233"/>
      <c r="N4" s="233"/>
      <c r="O4" s="233"/>
      <c r="P4" s="235"/>
    </row>
    <row r="5" spans="1:16" ht="14.25" x14ac:dyDescent="0.2">
      <c r="H5" s="236"/>
      <c r="I5" s="230"/>
      <c r="J5" s="300">
        <f>ToutTwo</f>
        <v>42</v>
      </c>
      <c r="K5" s="231" t="s">
        <v>827</v>
      </c>
      <c r="L5" s="230"/>
      <c r="M5" s="230"/>
      <c r="N5" s="230"/>
      <c r="O5" s="230"/>
      <c r="P5" s="237"/>
    </row>
    <row r="6" spans="1:16" ht="17.25" customHeight="1" x14ac:dyDescent="0.25">
      <c r="B6" s="144" t="s">
        <v>514</v>
      </c>
      <c r="H6" s="236"/>
      <c r="I6" s="230"/>
      <c r="J6" s="230"/>
      <c r="K6" s="230"/>
      <c r="L6" s="230"/>
      <c r="M6" s="230"/>
      <c r="N6" s="230"/>
      <c r="O6" s="230"/>
      <c r="P6" s="237"/>
    </row>
    <row r="7" spans="1:16" ht="18" customHeight="1" x14ac:dyDescent="0.25">
      <c r="B7" s="144" t="s">
        <v>513</v>
      </c>
      <c r="H7" s="238" t="s">
        <v>561</v>
      </c>
      <c r="I7" s="230"/>
      <c r="J7" s="230"/>
      <c r="K7" s="230"/>
      <c r="L7" s="230"/>
      <c r="M7" s="230"/>
      <c r="N7" s="230"/>
      <c r="O7" s="231" t="s">
        <v>559</v>
      </c>
      <c r="P7" s="237"/>
    </row>
    <row r="8" spans="1:16" ht="18" x14ac:dyDescent="0.25">
      <c r="B8" s="144" t="s">
        <v>563</v>
      </c>
      <c r="H8" s="236">
        <f>TinOne</f>
        <v>66</v>
      </c>
      <c r="I8" s="231" t="s">
        <v>827</v>
      </c>
      <c r="J8" s="230"/>
      <c r="K8" s="230"/>
      <c r="L8" s="230"/>
      <c r="M8" s="230"/>
      <c r="N8" s="230"/>
      <c r="O8" s="299">
        <f>ToutOne</f>
        <v>46</v>
      </c>
      <c r="P8" s="239" t="s">
        <v>827</v>
      </c>
    </row>
    <row r="9" spans="1:16" ht="12.75" customHeight="1" x14ac:dyDescent="0.2">
      <c r="A9" s="145"/>
      <c r="H9" s="236"/>
      <c r="I9" s="230"/>
      <c r="J9" s="230"/>
      <c r="K9" s="230"/>
      <c r="L9" s="230"/>
      <c r="M9" s="230"/>
      <c r="N9" s="230"/>
      <c r="O9" s="230"/>
      <c r="P9" s="237"/>
    </row>
    <row r="10" spans="1:16" ht="14.25" x14ac:dyDescent="0.2">
      <c r="C10" s="427" t="s">
        <v>249</v>
      </c>
      <c r="D10" s="427"/>
      <c r="E10" s="427"/>
      <c r="H10" s="236"/>
      <c r="I10" s="230"/>
      <c r="J10" s="230"/>
      <c r="K10" s="230"/>
      <c r="L10" s="230"/>
      <c r="M10" s="230"/>
      <c r="N10" s="230"/>
      <c r="O10" s="230"/>
      <c r="P10" s="237"/>
    </row>
    <row r="11" spans="1:16" ht="13.5" thickBot="1" x14ac:dyDescent="0.25">
      <c r="H11" s="236"/>
      <c r="I11" s="230"/>
      <c r="J11" s="230"/>
      <c r="K11" s="230"/>
      <c r="L11" s="230"/>
      <c r="M11" s="230"/>
      <c r="N11" s="230"/>
      <c r="O11" s="230"/>
      <c r="P11" s="237"/>
    </row>
    <row r="12" spans="1:16" ht="20.25" customHeight="1" x14ac:dyDescent="0.25">
      <c r="A12" s="428" t="s">
        <v>282</v>
      </c>
      <c r="C12" s="378" t="s">
        <v>88</v>
      </c>
      <c r="D12" s="429"/>
      <c r="E12" s="379"/>
      <c r="F12" s="185" t="str">
        <f>IF(TempAlertOne="","","  Liquid temperature is")</f>
        <v/>
      </c>
      <c r="H12" s="236"/>
      <c r="I12" s="230"/>
      <c r="J12" s="230"/>
      <c r="K12" s="230"/>
      <c r="L12" s="230"/>
      <c r="M12" s="230">
        <f>TinTwo</f>
        <v>16</v>
      </c>
      <c r="N12" s="231" t="s">
        <v>827</v>
      </c>
      <c r="O12" s="230"/>
      <c r="P12" s="237"/>
    </row>
    <row r="13" spans="1:16" ht="15.75" thickBot="1" x14ac:dyDescent="0.3">
      <c r="A13" s="428"/>
      <c r="C13" s="4"/>
      <c r="D13" s="15"/>
      <c r="E13" s="5"/>
      <c r="F13" s="185" t="str">
        <f>IF(TempAlertOne="  Temperature is above density range.","  above range for density.",IF(TempAlertOne="  Temperature is below density range.","below range for density.",IF(TempAlertOne="Temp. is above viscosity range.","above range for viscosity",IF(TempAlertOne="Temp. is below viscosity range.","below range for viscosity",IF(TempAlertOne="Temp. is above specific heat range.","above range for specific heat",IF(TempAlertOne="Temp. is below specific heat range.","below range for specific heat",IF(TempAlertOne="Temp. is above therm. cond. range.","above range for thermal conductivity",IF(TempAlertOne="Temp. is below therm. cond. range.","below range for thermal conductivity",""))))))))</f>
        <v/>
      </c>
      <c r="H13" s="240"/>
      <c r="I13" s="176"/>
      <c r="J13" s="176"/>
      <c r="K13" s="176"/>
      <c r="L13" s="176"/>
      <c r="M13" s="241" t="s">
        <v>560</v>
      </c>
      <c r="N13" s="176"/>
      <c r="O13" s="176"/>
      <c r="P13" s="242"/>
    </row>
    <row r="14" spans="1:16" ht="18.75" x14ac:dyDescent="0.35">
      <c r="A14" s="428"/>
      <c r="C14" s="243" t="s">
        <v>784</v>
      </c>
      <c r="D14" s="187">
        <v>66</v>
      </c>
      <c r="E14" s="247" t="s">
        <v>767</v>
      </c>
    </row>
    <row r="15" spans="1:16" x14ac:dyDescent="0.2">
      <c r="A15" s="428"/>
      <c r="C15" s="4"/>
      <c r="D15" s="334"/>
      <c r="E15" s="5"/>
      <c r="H15" s="229" t="s">
        <v>566</v>
      </c>
      <c r="K15" t="str">
        <f>IF(H8&gt;O8,"cooled.","heated.")</f>
        <v>cooled.</v>
      </c>
      <c r="N15" s="229" t="s">
        <v>577</v>
      </c>
    </row>
    <row r="16" spans="1:16" ht="18.75" x14ac:dyDescent="0.35">
      <c r="A16" s="428"/>
      <c r="C16" s="243" t="s">
        <v>785</v>
      </c>
      <c r="D16" s="187">
        <v>46</v>
      </c>
      <c r="E16" s="247" t="s">
        <v>767</v>
      </c>
      <c r="G16" s="173"/>
      <c r="H16" s="229" t="s">
        <v>567</v>
      </c>
      <c r="K16" t="str">
        <f>IF(M12&gt;J5,"cooled.","heated.")</f>
        <v>heated.</v>
      </c>
      <c r="N16" s="229" t="s">
        <v>638</v>
      </c>
    </row>
    <row r="17" spans="1:19" ht="14.25" customHeight="1" x14ac:dyDescent="0.2">
      <c r="A17" s="428"/>
      <c r="C17" s="294"/>
      <c r="D17" s="334"/>
      <c r="E17" s="5"/>
      <c r="N17" s="229" t="s">
        <v>639</v>
      </c>
    </row>
    <row r="18" spans="1:19" ht="15.75" x14ac:dyDescent="0.25">
      <c r="A18" s="428"/>
      <c r="C18" s="243" t="s">
        <v>649</v>
      </c>
      <c r="D18" s="351">
        <v>35.052</v>
      </c>
      <c r="E18" s="247" t="s">
        <v>768</v>
      </c>
      <c r="F18" s="188" t="str">
        <f>IF(B20=B22,"",IF(B20="cooling"," Ts must be"," Ts must be"))</f>
        <v/>
      </c>
      <c r="H18" s="188" t="str">
        <f>IF(K15=K16,IF(K15="cooled.","Both liquids cannot be cooled!!","Both liquids cannot be heated!!"),"")</f>
        <v/>
      </c>
      <c r="N18" s="229"/>
    </row>
    <row r="19" spans="1:19" ht="15.75" x14ac:dyDescent="0.25">
      <c r="A19" s="428"/>
      <c r="C19" s="4"/>
      <c r="D19" s="335"/>
      <c r="E19" s="5"/>
      <c r="F19" s="188" t="str">
        <f>IF(B20=B22,"",IF(B20="cooling","  less than Tbm1=","  greater than Tbm1"))</f>
        <v/>
      </c>
    </row>
    <row r="20" spans="1:19" ht="19.5" thickBot="1" x14ac:dyDescent="0.4">
      <c r="A20" s="428"/>
      <c r="B20" s="186" t="str">
        <f>IF(ToutOne&lt;TinOne,"cooling","heating")</f>
        <v>cooling</v>
      </c>
      <c r="C20" s="243" t="s">
        <v>565</v>
      </c>
      <c r="D20" s="353">
        <v>1E-3</v>
      </c>
      <c r="E20" s="247" t="s">
        <v>769</v>
      </c>
    </row>
    <row r="21" spans="1:19" x14ac:dyDescent="0.2">
      <c r="A21" s="428"/>
      <c r="C21" s="4"/>
      <c r="D21" s="335"/>
      <c r="E21" s="5"/>
      <c r="F21" s="195"/>
      <c r="J21" s="434" t="s">
        <v>0</v>
      </c>
      <c r="K21" s="435"/>
      <c r="L21" s="435"/>
      <c r="M21" s="435"/>
      <c r="N21" s="435"/>
      <c r="O21" s="435"/>
      <c r="P21" s="435"/>
      <c r="Q21" s="435"/>
      <c r="R21" s="435"/>
      <c r="S21" s="436"/>
    </row>
    <row r="22" spans="1:19" ht="16.5" x14ac:dyDescent="0.3">
      <c r="A22" s="428"/>
      <c r="B22" s="186" t="str">
        <f>IF(D22&lt;BulkMeanTempOne,"cooling","heating")</f>
        <v>cooling</v>
      </c>
      <c r="C22" s="243" t="s">
        <v>826</v>
      </c>
      <c r="D22" s="187">
        <v>49</v>
      </c>
      <c r="E22" s="247" t="s">
        <v>767</v>
      </c>
      <c r="F22" s="195"/>
      <c r="J22" s="280"/>
      <c r="K22" s="281"/>
      <c r="L22" s="281"/>
      <c r="M22" s="281"/>
      <c r="N22" s="281"/>
      <c r="O22" s="281"/>
      <c r="P22" s="281"/>
      <c r="Q22" s="281"/>
      <c r="R22" s="281"/>
      <c r="S22" s="282"/>
    </row>
    <row r="23" spans="1:19" ht="18.75" customHeight="1" thickBot="1" x14ac:dyDescent="0.25">
      <c r="A23" s="428"/>
      <c r="C23" s="301" t="s">
        <v>637</v>
      </c>
      <c r="D23" s="40"/>
      <c r="E23" s="78"/>
      <c r="F23" s="195"/>
      <c r="J23" s="283" t="s">
        <v>599</v>
      </c>
      <c r="K23" s="284"/>
      <c r="L23" s="284"/>
      <c r="M23" s="284"/>
      <c r="N23" s="284"/>
      <c r="O23" s="281"/>
      <c r="P23" s="281"/>
      <c r="Q23" s="281"/>
      <c r="R23" s="281"/>
      <c r="S23" s="282"/>
    </row>
    <row r="24" spans="1:19" ht="23.25" customHeight="1" x14ac:dyDescent="0.25">
      <c r="A24" s="428"/>
      <c r="C24" s="79" t="s">
        <v>825</v>
      </c>
      <c r="F24" s="195"/>
      <c r="J24" s="283" t="s">
        <v>600</v>
      </c>
      <c r="K24" s="281"/>
      <c r="L24" s="281"/>
      <c r="M24" s="281"/>
      <c r="N24" s="281"/>
      <c r="O24" s="281"/>
      <c r="P24" s="281"/>
      <c r="Q24" s="281"/>
      <c r="R24" s="281"/>
      <c r="S24" s="282"/>
    </row>
    <row r="25" spans="1:19" ht="18.75" customHeight="1" x14ac:dyDescent="0.25">
      <c r="A25" s="428"/>
      <c r="C25" s="79" t="s">
        <v>861</v>
      </c>
      <c r="J25" s="280"/>
      <c r="K25" s="281"/>
      <c r="L25" s="281"/>
      <c r="M25" s="281"/>
      <c r="N25" s="281"/>
      <c r="O25" s="281"/>
      <c r="P25" s="281"/>
      <c r="Q25" s="281"/>
      <c r="R25" s="281"/>
      <c r="S25" s="282"/>
    </row>
    <row r="26" spans="1:19" ht="21" customHeight="1" x14ac:dyDescent="0.2">
      <c r="A26" s="428"/>
      <c r="C26" s="352" t="s">
        <v>862</v>
      </c>
      <c r="J26" s="374" t="s">
        <v>874</v>
      </c>
      <c r="K26" s="375"/>
      <c r="L26" s="375"/>
      <c r="M26" s="375"/>
      <c r="N26" s="375"/>
      <c r="O26" s="375"/>
      <c r="P26" s="375"/>
      <c r="Q26" s="375"/>
      <c r="R26" s="375"/>
      <c r="S26" s="282"/>
    </row>
    <row r="27" spans="1:19" ht="13.5" customHeight="1" thickBot="1" x14ac:dyDescent="0.25">
      <c r="A27" s="428"/>
      <c r="J27" s="283"/>
      <c r="K27" s="284"/>
      <c r="L27" s="284"/>
      <c r="M27" s="284"/>
      <c r="N27" s="284"/>
      <c r="O27" s="281"/>
      <c r="P27" s="281"/>
      <c r="Q27" s="281"/>
      <c r="R27" s="281"/>
      <c r="S27" s="282"/>
    </row>
    <row r="28" spans="1:19" ht="18" customHeight="1" x14ac:dyDescent="0.2">
      <c r="A28" s="428"/>
      <c r="C28" s="189" t="s">
        <v>283</v>
      </c>
      <c r="D28" s="190"/>
      <c r="E28" s="191"/>
      <c r="F28" s="195" t="s">
        <v>284</v>
      </c>
      <c r="J28" s="283"/>
      <c r="K28" s="284"/>
      <c r="L28" s="284"/>
      <c r="M28" s="284"/>
      <c r="N28" s="284"/>
      <c r="O28" s="281"/>
      <c r="P28" s="281"/>
      <c r="Q28" s="281"/>
      <c r="R28" s="281"/>
      <c r="S28" s="282"/>
    </row>
    <row r="29" spans="1:19" ht="11.25" customHeight="1" x14ac:dyDescent="0.2">
      <c r="A29" s="428"/>
      <c r="C29" s="192"/>
      <c r="D29" s="193"/>
      <c r="E29" s="5"/>
      <c r="F29" s="195" t="s">
        <v>285</v>
      </c>
      <c r="J29" s="283"/>
      <c r="K29" s="284"/>
      <c r="L29" s="284"/>
      <c r="M29" s="284"/>
      <c r="N29" s="284"/>
      <c r="O29" s="281"/>
      <c r="P29" s="281"/>
      <c r="Q29" s="281"/>
      <c r="R29" s="281"/>
      <c r="S29" s="282"/>
    </row>
    <row r="30" spans="1:19" ht="16.5" x14ac:dyDescent="0.3">
      <c r="A30" s="428"/>
      <c r="C30" s="243" t="s">
        <v>568</v>
      </c>
      <c r="D30" s="194">
        <f>(TinOne+ToutOne)/2</f>
        <v>56</v>
      </c>
      <c r="E30" s="247" t="s">
        <v>767</v>
      </c>
      <c r="F30" s="195" t="s">
        <v>286</v>
      </c>
      <c r="J30" s="283"/>
      <c r="K30" s="284"/>
      <c r="L30" s="284"/>
      <c r="M30" s="284"/>
      <c r="N30" s="284"/>
      <c r="O30" s="281"/>
      <c r="P30" s="281"/>
      <c r="Q30" s="281"/>
      <c r="R30" s="281"/>
      <c r="S30" s="282"/>
    </row>
    <row r="31" spans="1:19" ht="17.25" customHeight="1" x14ac:dyDescent="0.2">
      <c r="A31" s="428"/>
      <c r="C31" s="244"/>
      <c r="D31" s="197"/>
      <c r="E31" s="5"/>
      <c r="F31" s="195" t="s">
        <v>287</v>
      </c>
      <c r="J31" s="283"/>
      <c r="K31" s="284"/>
      <c r="L31" s="284"/>
      <c r="M31" s="284"/>
      <c r="N31" s="284"/>
      <c r="O31" s="281"/>
      <c r="P31" s="281"/>
      <c r="Q31" s="281"/>
      <c r="R31" s="281"/>
      <c r="S31" s="282"/>
    </row>
    <row r="32" spans="1:19" ht="15" x14ac:dyDescent="0.25">
      <c r="A32" s="428"/>
      <c r="C32" s="146" t="s">
        <v>515</v>
      </c>
      <c r="D32" s="122">
        <f>D20/(PI()*(D18/2000)^2)</f>
        <v>1.0362976482829158</v>
      </c>
      <c r="E32" s="296" t="s">
        <v>771</v>
      </c>
      <c r="F32" s="195" t="s">
        <v>289</v>
      </c>
      <c r="J32" s="283"/>
      <c r="K32" s="284"/>
      <c r="L32" s="284"/>
      <c r="M32" s="284"/>
      <c r="N32" s="284"/>
      <c r="O32" s="281"/>
      <c r="P32" s="281"/>
      <c r="Q32" s="281"/>
      <c r="R32" s="281"/>
      <c r="S32" s="282"/>
    </row>
    <row r="33" spans="1:19" x14ac:dyDescent="0.2">
      <c r="A33" s="428"/>
      <c r="C33" s="4"/>
      <c r="D33" s="197"/>
      <c r="E33" s="5"/>
      <c r="F33" s="195" t="s">
        <v>290</v>
      </c>
      <c r="J33" s="283"/>
      <c r="K33" s="284"/>
      <c r="L33" s="284"/>
      <c r="M33" s="284"/>
      <c r="N33" s="284"/>
      <c r="O33" s="281"/>
      <c r="P33" s="281"/>
      <c r="Q33" s="281"/>
      <c r="R33" s="281"/>
      <c r="S33" s="282"/>
    </row>
    <row r="34" spans="1:19" ht="16.5" customHeight="1" x14ac:dyDescent="0.25">
      <c r="A34" s="428"/>
      <c r="C34" s="146" t="s">
        <v>288</v>
      </c>
      <c r="D34" s="198">
        <f>(D18/1000)*D32*DensityOne/ViscosityOne</f>
        <v>100086.11611771349</v>
      </c>
      <c r="E34" s="5"/>
      <c r="F34" s="195" t="s">
        <v>557</v>
      </c>
      <c r="J34" s="283"/>
      <c r="K34" s="284"/>
      <c r="L34" s="284"/>
      <c r="M34" s="284"/>
      <c r="N34" s="284"/>
      <c r="O34" s="281"/>
      <c r="P34" s="281"/>
      <c r="Q34" s="281"/>
      <c r="R34" s="281"/>
      <c r="S34" s="282"/>
    </row>
    <row r="35" spans="1:19" ht="15.75" x14ac:dyDescent="0.25">
      <c r="A35" s="428"/>
      <c r="B35" s="144"/>
      <c r="C35" s="4"/>
      <c r="D35" s="197"/>
      <c r="E35" s="5"/>
      <c r="F35" s="195" t="s">
        <v>292</v>
      </c>
      <c r="J35" s="283"/>
      <c r="K35" s="284"/>
      <c r="L35" s="284"/>
      <c r="M35" s="284"/>
      <c r="N35" s="284"/>
      <c r="O35" s="281"/>
      <c r="P35" s="281"/>
      <c r="Q35" s="281"/>
      <c r="R35" s="281"/>
      <c r="S35" s="282"/>
    </row>
    <row r="36" spans="1:19" ht="15" x14ac:dyDescent="0.25">
      <c r="A36" s="428"/>
      <c r="C36" s="146" t="s">
        <v>291</v>
      </c>
      <c r="D36" s="122">
        <f>ViscosityOne*SpecificHeatOne/ThermCondOne</f>
        <v>4.7791555559464109</v>
      </c>
      <c r="E36" s="5"/>
      <c r="J36" s="283"/>
      <c r="K36" s="284"/>
      <c r="L36" s="284"/>
      <c r="M36" s="284"/>
      <c r="N36" s="284"/>
      <c r="O36" s="281"/>
      <c r="P36" s="281"/>
      <c r="Q36" s="281"/>
      <c r="R36" s="281"/>
      <c r="S36" s="282"/>
    </row>
    <row r="37" spans="1:19" ht="13.5" thickBot="1" x14ac:dyDescent="0.25">
      <c r="A37" s="428"/>
      <c r="C37" s="6"/>
      <c r="D37" s="199"/>
      <c r="E37" s="18"/>
      <c r="J37" s="283"/>
      <c r="K37" s="284"/>
      <c r="L37" s="284"/>
      <c r="M37" s="284"/>
      <c r="N37" s="284"/>
      <c r="O37" s="281"/>
      <c r="P37" s="281"/>
      <c r="Q37" s="281"/>
      <c r="R37" s="281"/>
      <c r="S37" s="282"/>
    </row>
    <row r="38" spans="1:19" ht="15" x14ac:dyDescent="0.25">
      <c r="J38" s="285" t="s">
        <v>606</v>
      </c>
      <c r="K38" s="284"/>
      <c r="L38" s="284"/>
      <c r="M38" s="284"/>
      <c r="N38" s="284"/>
      <c r="O38" s="281"/>
      <c r="P38" s="281"/>
      <c r="Q38" s="281"/>
      <c r="R38" s="281"/>
      <c r="S38" s="282"/>
    </row>
    <row r="39" spans="1:19" ht="15.75" x14ac:dyDescent="0.25">
      <c r="C39" s="144" t="str">
        <f>IF(D34&gt;4000,"The flow is turbulent.",IF(D34&lt;2300,"The flow is laminar.","The flow is in the transition region."))</f>
        <v>The flow is turbulent.</v>
      </c>
      <c r="J39" s="283"/>
      <c r="K39" s="284"/>
      <c r="L39" s="284"/>
      <c r="M39" s="284"/>
      <c r="N39" s="284"/>
      <c r="O39" s="281"/>
      <c r="P39" s="281"/>
      <c r="Q39" s="281"/>
      <c r="R39" s="281"/>
      <c r="S39" s="282"/>
    </row>
    <row r="40" spans="1:19" ht="15" x14ac:dyDescent="0.25">
      <c r="J40" s="283" t="s">
        <v>607</v>
      </c>
      <c r="K40" s="284"/>
      <c r="L40" s="284"/>
      <c r="M40" s="284"/>
      <c r="N40" s="284"/>
      <c r="O40" s="281"/>
      <c r="P40" s="281"/>
      <c r="Q40" s="281"/>
      <c r="R40" s="281"/>
      <c r="S40" s="282"/>
    </row>
    <row r="41" spans="1:19" ht="15.75" x14ac:dyDescent="0.25">
      <c r="C41" s="144" t="str">
        <f>IF(D34&lt;2300,"This worksheet is only useable for turbulent flow.",IF(D36&lt;0.5,"Prandtl No. is below the range for this worksheet.",IF(D36&gt;100000,"Prandtl No. is above the range for this worksheet.",IF(D34&gt;1000000,"Reynolds No. is above the range for this worksheet.","Use the Gnielinski Correlation."))))</f>
        <v>Use the Gnielinski Correlation.</v>
      </c>
      <c r="J41" s="283"/>
      <c r="K41" s="284"/>
      <c r="L41" s="284"/>
      <c r="M41" s="284"/>
      <c r="N41" s="284"/>
      <c r="O41" s="281"/>
      <c r="P41" s="281"/>
      <c r="Q41" s="281"/>
      <c r="R41" s="281"/>
      <c r="S41" s="282"/>
    </row>
    <row r="42" spans="1:19" ht="13.5" thickBot="1" x14ac:dyDescent="0.25">
      <c r="J42" s="283"/>
      <c r="K42" s="284"/>
      <c r="L42" s="284"/>
      <c r="M42" s="284"/>
      <c r="N42" s="284"/>
      <c r="O42" s="281"/>
      <c r="P42" s="281"/>
      <c r="Q42" s="281"/>
      <c r="R42" s="281"/>
      <c r="S42" s="282"/>
    </row>
    <row r="43" spans="1:19" ht="15.75" customHeight="1" x14ac:dyDescent="0.3">
      <c r="A43" s="377" t="s">
        <v>788</v>
      </c>
      <c r="C43" s="189" t="s">
        <v>293</v>
      </c>
      <c r="D43" s="142"/>
      <c r="E43" s="191"/>
      <c r="J43" s="283"/>
      <c r="K43" s="284"/>
      <c r="L43" s="284"/>
      <c r="M43" s="284"/>
      <c r="N43" s="284"/>
      <c r="O43" s="284" t="s">
        <v>601</v>
      </c>
      <c r="P43" s="281"/>
      <c r="Q43" s="281"/>
      <c r="R43" s="281"/>
      <c r="S43" s="282"/>
    </row>
    <row r="44" spans="1:19" ht="21" customHeight="1" x14ac:dyDescent="0.3">
      <c r="A44" s="377"/>
      <c r="C44" s="192" t="s">
        <v>294</v>
      </c>
      <c r="D44" s="193"/>
      <c r="E44" s="5"/>
      <c r="J44" s="283"/>
      <c r="K44" s="284"/>
      <c r="L44" s="284"/>
      <c r="M44" s="284"/>
      <c r="N44" s="284"/>
      <c r="O44" s="284" t="s">
        <v>602</v>
      </c>
      <c r="P44" s="281"/>
      <c r="Q44" s="281"/>
      <c r="R44" s="281"/>
      <c r="S44" s="282"/>
    </row>
    <row r="45" spans="1:19" ht="17.25" customHeight="1" x14ac:dyDescent="0.2">
      <c r="A45" s="377"/>
      <c r="C45" s="4"/>
      <c r="D45" s="200"/>
      <c r="E45" s="5"/>
      <c r="J45" s="283"/>
      <c r="K45" s="284"/>
      <c r="L45" s="284"/>
      <c r="M45" s="284"/>
      <c r="N45" s="284"/>
      <c r="O45" s="281"/>
      <c r="P45" s="281"/>
      <c r="Q45" s="281"/>
      <c r="R45" s="281"/>
      <c r="S45" s="282"/>
    </row>
    <row r="46" spans="1:19" ht="16.5" x14ac:dyDescent="0.3">
      <c r="A46" s="377"/>
      <c r="C46" s="201" t="s">
        <v>295</v>
      </c>
      <c r="D46" s="122">
        <f>SurfViscTubeside*SurfSpHtTubeside/SurfaceThCondTubeside</f>
        <v>4.9720429967825854</v>
      </c>
      <c r="E46" s="5"/>
      <c r="J46" s="283"/>
      <c r="K46" s="284"/>
      <c r="L46" s="284"/>
      <c r="M46" s="284"/>
      <c r="N46" s="284"/>
      <c r="O46" s="281"/>
      <c r="P46" s="281"/>
      <c r="Q46" s="281"/>
      <c r="R46" s="281"/>
      <c r="S46" s="282"/>
    </row>
    <row r="47" spans="1:19" x14ac:dyDescent="0.2">
      <c r="A47" s="377"/>
      <c r="C47" s="4"/>
      <c r="D47" s="200"/>
      <c r="E47" s="196"/>
      <c r="J47" s="283"/>
      <c r="K47" s="284"/>
      <c r="L47" s="284"/>
      <c r="M47" s="284"/>
      <c r="N47" s="284"/>
      <c r="O47" s="281"/>
      <c r="P47" s="281"/>
      <c r="Q47" s="281"/>
      <c r="R47" s="281"/>
      <c r="S47" s="282"/>
    </row>
    <row r="48" spans="1:19" ht="15" x14ac:dyDescent="0.25">
      <c r="A48" s="377"/>
      <c r="C48" s="201" t="s">
        <v>296</v>
      </c>
      <c r="D48" s="221">
        <f>IF((D36/D46)&lt;0.05,"Prandtl No. Ratio is too low",IF((D36/D46)&gt;20,"Prandtl No. Ratio is too high",(D36/D46)^0.11))</f>
        <v>0.99565709304550631</v>
      </c>
      <c r="E48" s="202"/>
      <c r="J48" s="283"/>
      <c r="K48" s="284"/>
      <c r="L48" s="284"/>
      <c r="M48" s="284"/>
      <c r="N48" s="284"/>
      <c r="O48" s="281"/>
      <c r="P48" s="281"/>
      <c r="Q48" s="281"/>
      <c r="R48" s="281"/>
      <c r="S48" s="282"/>
    </row>
    <row r="49" spans="1:19" ht="18.75" customHeight="1" x14ac:dyDescent="0.2">
      <c r="A49" s="377"/>
      <c r="C49" s="4"/>
      <c r="D49" s="200"/>
      <c r="E49" s="196"/>
      <c r="J49" s="283"/>
      <c r="K49" s="284"/>
      <c r="L49" s="284"/>
      <c r="M49" s="284"/>
      <c r="N49" s="284"/>
      <c r="O49" s="281"/>
      <c r="P49" s="281"/>
      <c r="Q49" s="281"/>
      <c r="R49" s="281"/>
      <c r="S49" s="282"/>
    </row>
    <row r="50" spans="1:19" ht="15" x14ac:dyDescent="0.25">
      <c r="A50" s="377"/>
      <c r="C50" s="201" t="s">
        <v>297</v>
      </c>
      <c r="D50" s="200"/>
      <c r="E50" s="203">
        <f>0.25*(0.79*LN(D34)-1.64)^(-2)</f>
        <v>4.4971864299503967E-3</v>
      </c>
      <c r="J50" s="283"/>
      <c r="K50" s="284"/>
      <c r="L50" s="284"/>
      <c r="M50" s="284"/>
      <c r="N50" s="284"/>
      <c r="O50" s="281"/>
      <c r="P50" s="281"/>
      <c r="Q50" s="281"/>
      <c r="R50" s="281"/>
      <c r="S50" s="282"/>
    </row>
    <row r="51" spans="1:19" ht="17.25" customHeight="1" x14ac:dyDescent="0.2">
      <c r="A51" s="377"/>
      <c r="C51" s="146"/>
      <c r="D51" s="200"/>
      <c r="E51" s="196"/>
      <c r="J51" s="283" t="s">
        <v>603</v>
      </c>
      <c r="K51" s="375" t="s">
        <v>875</v>
      </c>
      <c r="L51" s="375"/>
      <c r="M51" s="375"/>
      <c r="N51" s="375"/>
      <c r="O51" s="375"/>
      <c r="P51" s="375"/>
      <c r="Q51" s="375"/>
      <c r="R51" s="375"/>
      <c r="S51" s="466"/>
    </row>
    <row r="52" spans="1:19" ht="15" x14ac:dyDescent="0.25">
      <c r="A52" s="377"/>
      <c r="C52" s="201" t="s">
        <v>298</v>
      </c>
      <c r="D52" s="200"/>
      <c r="E52" s="72"/>
      <c r="J52" s="283"/>
      <c r="K52" s="284" t="s">
        <v>608</v>
      </c>
      <c r="L52" s="284"/>
      <c r="M52" s="284"/>
      <c r="N52" s="284"/>
      <c r="O52" s="281"/>
      <c r="P52" s="281"/>
      <c r="Q52" s="281"/>
      <c r="R52" s="281"/>
      <c r="S52" s="282"/>
    </row>
    <row r="53" spans="1:19" ht="17.25" customHeight="1" x14ac:dyDescent="0.25">
      <c r="A53" s="377"/>
      <c r="C53" s="146" t="s">
        <v>299</v>
      </c>
      <c r="D53" s="200"/>
      <c r="E53" s="196"/>
      <c r="J53" s="283"/>
      <c r="K53" s="284"/>
      <c r="L53" s="284"/>
      <c r="M53" s="284"/>
      <c r="N53" s="284"/>
      <c r="O53" s="281"/>
      <c r="P53" s="281"/>
      <c r="Q53" s="281"/>
      <c r="R53" s="281"/>
      <c r="S53" s="282"/>
    </row>
    <row r="54" spans="1:19" ht="16.5" customHeight="1" x14ac:dyDescent="0.2">
      <c r="A54" s="377"/>
      <c r="C54" s="4"/>
      <c r="D54" s="204"/>
      <c r="E54" s="5"/>
      <c r="J54" s="283" t="s">
        <v>604</v>
      </c>
      <c r="K54" s="284"/>
      <c r="L54" s="284"/>
      <c r="M54" s="284"/>
      <c r="N54" s="284"/>
      <c r="O54" s="281"/>
      <c r="P54" s="281"/>
      <c r="Q54" s="281"/>
      <c r="R54" s="281"/>
      <c r="S54" s="282"/>
    </row>
    <row r="55" spans="1:19" ht="15" x14ac:dyDescent="0.25">
      <c r="A55" s="377"/>
      <c r="C55" s="201" t="s">
        <v>300</v>
      </c>
      <c r="D55" s="200"/>
      <c r="E55" s="203">
        <f>IF(E52="",E50,E52)</f>
        <v>4.4971864299503967E-3</v>
      </c>
      <c r="J55" s="283"/>
      <c r="K55" s="433" t="s">
        <v>605</v>
      </c>
      <c r="L55" s="417"/>
      <c r="M55" s="417"/>
      <c r="N55" s="417"/>
      <c r="O55" s="417"/>
      <c r="P55" s="417"/>
      <c r="Q55" s="417"/>
      <c r="R55" s="417"/>
      <c r="S55" s="282"/>
    </row>
    <row r="56" spans="1:19" x14ac:dyDescent="0.2">
      <c r="A56" s="377"/>
      <c r="C56" s="4"/>
      <c r="D56" s="200"/>
      <c r="E56" s="5"/>
      <c r="J56" s="357"/>
      <c r="K56" s="358"/>
      <c r="L56" s="358"/>
      <c r="M56" s="358"/>
      <c r="N56" s="358"/>
      <c r="O56" s="281"/>
      <c r="P56" s="281"/>
      <c r="Q56" s="281"/>
      <c r="R56" s="281"/>
      <c r="S56" s="282"/>
    </row>
    <row r="57" spans="1:19" ht="15" x14ac:dyDescent="0.25">
      <c r="A57" s="377"/>
      <c r="C57" s="146" t="s">
        <v>301</v>
      </c>
      <c r="D57" s="121">
        <f>(E55/2)*(D34-1000)*D36*D48/(1+(12.7*((E55/2)^0.5)*((D36^(2/3))-1)))</f>
        <v>503.30729575942405</v>
      </c>
      <c r="E57" s="196"/>
      <c r="J57" s="360" t="s">
        <v>852</v>
      </c>
      <c r="K57" s="358"/>
      <c r="L57" s="358"/>
      <c r="M57" s="358"/>
      <c r="N57" s="359"/>
      <c r="O57" s="281"/>
      <c r="P57" s="281"/>
      <c r="Q57" s="281"/>
      <c r="R57" s="281"/>
      <c r="S57" s="282"/>
    </row>
    <row r="58" spans="1:19" x14ac:dyDescent="0.2">
      <c r="A58" s="377"/>
      <c r="C58" s="4"/>
      <c r="D58" s="197"/>
      <c r="E58" s="5"/>
      <c r="J58" s="357"/>
      <c r="K58" s="358"/>
      <c r="L58" s="358"/>
      <c r="M58" s="358"/>
      <c r="N58" s="358"/>
      <c r="O58" s="281"/>
      <c r="P58" s="281"/>
      <c r="Q58" s="281"/>
      <c r="R58" s="281"/>
      <c r="S58" s="282"/>
    </row>
    <row r="59" spans="1:19" ht="15.75" x14ac:dyDescent="0.25">
      <c r="A59" s="377"/>
      <c r="C59" s="291" t="s">
        <v>631</v>
      </c>
      <c r="D59" s="293">
        <f>D57*ThermCondOne/(D18/1000)</f>
        <v>1907.2011660502069</v>
      </c>
      <c r="E59" s="296" t="s">
        <v>774</v>
      </c>
      <c r="J59" s="430" t="s">
        <v>853</v>
      </c>
      <c r="K59" s="431"/>
      <c r="L59" s="431"/>
      <c r="M59" s="431"/>
      <c r="N59" s="431"/>
      <c r="O59" s="431"/>
      <c r="P59" s="431"/>
      <c r="Q59" s="281"/>
      <c r="R59" s="281"/>
      <c r="S59" s="282"/>
    </row>
    <row r="60" spans="1:19" ht="18" customHeight="1" thickBot="1" x14ac:dyDescent="0.25">
      <c r="A60" s="377"/>
      <c r="C60" s="6"/>
      <c r="D60" s="228"/>
      <c r="E60" s="18"/>
      <c r="J60" s="81"/>
      <c r="K60" s="45"/>
      <c r="L60" s="45"/>
      <c r="M60" s="45"/>
      <c r="N60" s="35"/>
      <c r="O60" s="286"/>
      <c r="P60" s="286"/>
      <c r="Q60" s="286"/>
      <c r="R60" s="286"/>
      <c r="S60" s="287"/>
    </row>
    <row r="64" spans="1:19" ht="14.25" x14ac:dyDescent="0.2">
      <c r="C64" s="205" t="s">
        <v>841</v>
      </c>
    </row>
    <row r="68" spans="3:3" ht="18.75" customHeight="1" x14ac:dyDescent="0.2">
      <c r="C68" s="67"/>
    </row>
    <row r="69" spans="3:3" ht="15" x14ac:dyDescent="0.2">
      <c r="C69" s="67"/>
    </row>
    <row r="71" spans="3:3" ht="14.25" x14ac:dyDescent="0.2">
      <c r="C71" s="205"/>
    </row>
    <row r="80" spans="3:3" ht="15" x14ac:dyDescent="0.2">
      <c r="C80" s="67"/>
    </row>
    <row r="82" spans="3:3" ht="14.25" x14ac:dyDescent="0.2">
      <c r="C82" s="205"/>
    </row>
  </sheetData>
  <sheetProtection sheet="1" objects="1" scenarios="1" formatCells="0"/>
  <mergeCells count="12">
    <mergeCell ref="J26:R26"/>
    <mergeCell ref="K55:R55"/>
    <mergeCell ref="A43:A60"/>
    <mergeCell ref="J21:S21"/>
    <mergeCell ref="J59:P59"/>
    <mergeCell ref="K51:R51"/>
    <mergeCell ref="B2:F2"/>
    <mergeCell ref="B3:F3"/>
    <mergeCell ref="B4:F4"/>
    <mergeCell ref="C10:E10"/>
    <mergeCell ref="A12:A37"/>
    <mergeCell ref="C12:E12"/>
  </mergeCells>
  <dataValidations count="3">
    <dataValidation type="decimal" allowBlank="1" showInputMessage="1" showErrorMessage="1" error="Be sure you've selected a liquid or entered liquid property values in the Liquid Properties worksheet" sqref="D34" xr:uid="{00000000-0002-0000-0500-000000000000}">
      <formula1>0</formula1>
      <formula2>100000000</formula2>
    </dataValidation>
    <dataValidation type="decimal" operator="greaterThanOrEqual" allowBlank="1" showInputMessage="1" showErrorMessage="1" errorTitle="Invalid Entry" error="Please enter a value greater than zero._x000a_" sqref="D22 E52 D18 D20 D16 D14" xr:uid="{00000000-0002-0000-0500-000001000000}">
      <formula1>0</formula1>
    </dataValidation>
    <dataValidation allowBlank="1" showErrorMessage="1" sqref="J12" xr:uid="{00000000-0002-0000-0500-000002000000}"/>
  </dataValidations>
  <hyperlinks>
    <hyperlink ref="K55" r:id="rId1" location="ch07lev1sec14" xr:uid="{00000000-0004-0000-0500-000001000000}"/>
    <hyperlink ref="J59:K59" r:id="rId2" location="p2000b0d5982E_23001" display="Piping Handbook, Seventh Ed., Table E2.1M" xr:uid="{00000000-0004-0000-0500-000002000000}"/>
    <hyperlink ref="J59:P59" r:id="rId3" location="p2000b0d5982E_23001" display="Piping Handbook, Seventh Ed., Table E2.1M" xr:uid="{00000000-0004-0000-0500-000004000000}"/>
    <hyperlink ref="K55:R55" r:id="rId4" location="ch07lev1sec14" display="Handbook of Chemical Engineering Calculations, 4th Ed, Problem 7.14" xr:uid="{00000000-0004-0000-0500-000006000000}"/>
    <hyperlink ref="J26:M26" r:id="rId5" location="c9780071834087ch05lev2sec08" display="Perry's Chemical Engineer's Handbook, 9th Ed. - Sect 5.3.3 Forced Convection" xr:uid="{8172F2CB-CE11-43B1-AFAC-7B98FCD858D9}"/>
    <hyperlink ref="K51:N51" r:id="rId6" location="ch05eq55" display="Perry's Chemical Engineer's Handbook, 9th Ed. - Sect 5.3.3 - Equation (5-55)" xr:uid="{ABE8F215-4BAC-49E1-AFAA-150BA21DA621}"/>
  </hyperlinks>
  <pageMargins left="0.25" right="0.25" top="0.75" bottom="0.75" header="0.3" footer="0.3"/>
  <pageSetup orientation="portrait" r:id="rId7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9"/>
  <sheetViews>
    <sheetView zoomScaleNormal="100" workbookViewId="0"/>
  </sheetViews>
  <sheetFormatPr defaultRowHeight="12.75" x14ac:dyDescent="0.2"/>
  <cols>
    <col min="3" max="3" width="33" customWidth="1"/>
    <col min="4" max="4" width="15.5703125" customWidth="1"/>
    <col min="5" max="5" width="13.5703125" customWidth="1"/>
    <col min="6" max="6" width="8.7109375" customWidth="1"/>
    <col min="10" max="10" width="10.7109375" customWidth="1"/>
  </cols>
  <sheetData>
    <row r="1" spans="1:16" ht="13.5" thickBot="1" x14ac:dyDescent="0.25"/>
    <row r="2" spans="1:16" ht="15.75" x14ac:dyDescent="0.25">
      <c r="B2" s="424"/>
      <c r="C2" s="425"/>
      <c r="D2" s="425"/>
      <c r="E2" s="425"/>
      <c r="F2" s="426"/>
      <c r="I2" s="174" t="s">
        <v>562</v>
      </c>
      <c r="M2" s="245" t="s">
        <v>575</v>
      </c>
      <c r="N2" s="245"/>
      <c r="O2" s="245"/>
    </row>
    <row r="3" spans="1:16" ht="18.75" thickBot="1" x14ac:dyDescent="0.3">
      <c r="B3" s="389" t="s">
        <v>678</v>
      </c>
      <c r="C3" s="390"/>
      <c r="D3" s="390"/>
      <c r="E3" s="390"/>
      <c r="F3" s="391"/>
      <c r="M3" s="246" t="s">
        <v>576</v>
      </c>
      <c r="O3" s="245"/>
    </row>
    <row r="4" spans="1:16" ht="15.75" thickBot="1" x14ac:dyDescent="0.25">
      <c r="B4" s="414"/>
      <c r="C4" s="415"/>
      <c r="D4" s="415"/>
      <c r="E4" s="415"/>
      <c r="F4" s="416"/>
      <c r="I4" s="232"/>
      <c r="J4" s="233"/>
      <c r="K4" s="234" t="s">
        <v>558</v>
      </c>
      <c r="L4" s="233"/>
      <c r="M4" s="233"/>
      <c r="N4" s="233"/>
      <c r="O4" s="233"/>
      <c r="P4" s="235"/>
    </row>
    <row r="5" spans="1:16" ht="14.25" x14ac:dyDescent="0.2">
      <c r="I5" s="236"/>
      <c r="J5" s="230"/>
      <c r="K5" s="300">
        <f>ToutTwo</f>
        <v>42</v>
      </c>
      <c r="L5" s="231" t="s">
        <v>827</v>
      </c>
      <c r="M5" s="230"/>
      <c r="N5" s="230"/>
      <c r="O5" s="230"/>
      <c r="P5" s="237"/>
    </row>
    <row r="6" spans="1:16" ht="15.75" x14ac:dyDescent="0.25">
      <c r="B6" s="144" t="s">
        <v>514</v>
      </c>
      <c r="I6" s="236"/>
      <c r="J6" s="230"/>
      <c r="K6" s="230"/>
      <c r="L6" s="230"/>
      <c r="M6" s="230"/>
      <c r="N6" s="230"/>
      <c r="O6" s="230"/>
      <c r="P6" s="237"/>
    </row>
    <row r="7" spans="1:16" ht="15.75" x14ac:dyDescent="0.25">
      <c r="B7" s="144" t="s">
        <v>518</v>
      </c>
      <c r="I7" s="238" t="s">
        <v>561</v>
      </c>
      <c r="J7" s="230"/>
      <c r="K7" s="230"/>
      <c r="L7" s="230"/>
      <c r="M7" s="230"/>
      <c r="N7" s="230"/>
      <c r="O7" s="231" t="s">
        <v>559</v>
      </c>
      <c r="P7" s="237"/>
    </row>
    <row r="8" spans="1:16" ht="18" x14ac:dyDescent="0.25">
      <c r="B8" s="144" t="s">
        <v>563</v>
      </c>
      <c r="I8" s="236">
        <f>TinOne</f>
        <v>66</v>
      </c>
      <c r="J8" s="231" t="s">
        <v>827</v>
      </c>
      <c r="K8" s="230"/>
      <c r="L8" s="230"/>
      <c r="M8" s="230"/>
      <c r="N8" s="230"/>
      <c r="O8" s="299">
        <f>ToutOne</f>
        <v>46</v>
      </c>
      <c r="P8" s="239" t="s">
        <v>827</v>
      </c>
    </row>
    <row r="9" spans="1:16" ht="18" x14ac:dyDescent="0.2">
      <c r="A9" s="145"/>
      <c r="I9" s="236"/>
      <c r="J9" s="230"/>
      <c r="K9" s="230"/>
      <c r="L9" s="230"/>
      <c r="M9" s="230"/>
      <c r="N9" s="230"/>
      <c r="O9" s="230"/>
      <c r="P9" s="237"/>
    </row>
    <row r="10" spans="1:16" ht="14.25" x14ac:dyDescent="0.2">
      <c r="C10" s="427" t="s">
        <v>249</v>
      </c>
      <c r="D10" s="427"/>
      <c r="E10" s="427"/>
      <c r="I10" s="236"/>
      <c r="J10" s="230"/>
      <c r="K10" s="230"/>
      <c r="L10" s="230"/>
      <c r="M10" s="230"/>
      <c r="N10" s="230"/>
      <c r="O10" s="230"/>
      <c r="P10" s="237"/>
    </row>
    <row r="11" spans="1:16" ht="13.5" thickBot="1" x14ac:dyDescent="0.25">
      <c r="I11" s="236"/>
      <c r="J11" s="230"/>
      <c r="K11" s="230"/>
      <c r="L11" s="230"/>
      <c r="M11" s="230"/>
      <c r="N11" s="230"/>
      <c r="O11" s="230"/>
      <c r="P11" s="237"/>
    </row>
    <row r="12" spans="1:16" ht="15" x14ac:dyDescent="0.25">
      <c r="A12" s="428" t="s">
        <v>282</v>
      </c>
      <c r="C12" s="378" t="s">
        <v>88</v>
      </c>
      <c r="D12" s="429"/>
      <c r="E12" s="379"/>
      <c r="F12" s="185" t="str">
        <f>IF(TempAlertOne="","","  Liquid temperature is")</f>
        <v/>
      </c>
      <c r="I12" s="236"/>
      <c r="J12" s="230"/>
      <c r="K12" s="230"/>
      <c r="L12" s="230"/>
      <c r="M12" s="230">
        <f>TinTwo</f>
        <v>16</v>
      </c>
      <c r="N12" s="231" t="s">
        <v>827</v>
      </c>
      <c r="O12" s="230"/>
      <c r="P12" s="237"/>
    </row>
    <row r="13" spans="1:16" ht="15.75" thickBot="1" x14ac:dyDescent="0.3">
      <c r="A13" s="428"/>
      <c r="C13" s="4"/>
      <c r="D13" s="15"/>
      <c r="E13" s="5"/>
      <c r="F13" s="185" t="str">
        <f>IF(TempAlertOne="  Temperature is above density range.","  above range for density.",IF(TempAlertOne="  Temperature is below density range.","below range for density.",IF(TempAlertOne="Temp. is above viscosity range.","above range for viscosity",IF(TempAlertOne="Temp. is below viscosity range.","below range for viscosity",IF(TempAlertOne="Temp. is above specific heat range.","above range for specific heat",IF(TempAlertOne="Temp. is below specific heat range.","below range for specific heat",IF(TempAlertOne="Temp. is above therm. cond. range.","above range for thermal conductivity",IF(TempAlertOne="Temp. is below therm. cond. range.","below range for thermal conductivity",""))))))))</f>
        <v/>
      </c>
      <c r="I13" s="240"/>
      <c r="J13" s="176"/>
      <c r="K13" s="176"/>
      <c r="L13" s="176"/>
      <c r="M13" s="241" t="s">
        <v>560</v>
      </c>
      <c r="N13" s="176"/>
      <c r="O13" s="176"/>
      <c r="P13" s="242"/>
    </row>
    <row r="14" spans="1:16" ht="18.75" x14ac:dyDescent="0.35">
      <c r="A14" s="428"/>
      <c r="C14" s="243" t="s">
        <v>786</v>
      </c>
      <c r="D14" s="297">
        <v>16</v>
      </c>
      <c r="E14" s="247" t="s">
        <v>767</v>
      </c>
    </row>
    <row r="15" spans="1:16" x14ac:dyDescent="0.2">
      <c r="A15" s="428"/>
      <c r="C15" s="4"/>
      <c r="D15" s="334"/>
      <c r="E15" s="5"/>
      <c r="H15" s="229" t="s">
        <v>566</v>
      </c>
      <c r="K15" t="str">
        <f>IF(I8&gt;O8,"cooled.","heated.")</f>
        <v>cooled.</v>
      </c>
      <c r="M15" s="229" t="s">
        <v>640</v>
      </c>
    </row>
    <row r="16" spans="1:16" ht="18.75" x14ac:dyDescent="0.35">
      <c r="A16" s="428"/>
      <c r="C16" s="243" t="s">
        <v>787</v>
      </c>
      <c r="D16" s="297">
        <v>42</v>
      </c>
      <c r="E16" s="247" t="s">
        <v>767</v>
      </c>
      <c r="H16" s="229" t="s">
        <v>567</v>
      </c>
      <c r="K16" t="str">
        <f>IF(M12&gt;K5,"cooled.","heated.")</f>
        <v>heated.</v>
      </c>
      <c r="M16" s="229" t="s">
        <v>641</v>
      </c>
    </row>
    <row r="17" spans="1:22" ht="19.5" customHeight="1" x14ac:dyDescent="0.2">
      <c r="A17" s="428"/>
      <c r="C17" s="294"/>
      <c r="D17" s="335"/>
      <c r="E17" s="5"/>
      <c r="M17" s="229" t="s">
        <v>642</v>
      </c>
    </row>
    <row r="18" spans="1:22" ht="18.75" x14ac:dyDescent="0.35">
      <c r="A18" s="428"/>
      <c r="C18" s="243" t="s">
        <v>646</v>
      </c>
      <c r="D18" s="222">
        <v>42.164000000000001</v>
      </c>
      <c r="E18" s="247" t="s">
        <v>768</v>
      </c>
      <c r="F18" s="59" t="s">
        <v>838</v>
      </c>
      <c r="G18" s="173"/>
      <c r="I18" s="188"/>
      <c r="M18" s="229"/>
    </row>
    <row r="19" spans="1:22" ht="15.75" x14ac:dyDescent="0.25">
      <c r="A19" s="428"/>
      <c r="C19" s="4"/>
      <c r="D19" s="334"/>
      <c r="E19" s="5"/>
      <c r="F19" s="59" t="s">
        <v>652</v>
      </c>
      <c r="J19" s="173"/>
      <c r="L19" s="188" t="str">
        <f>IF(K15=K16,IF(K15="cooled.","Both liquids cannot be cooled!!","Both liquids cannot be heated!!"),"")</f>
        <v/>
      </c>
    </row>
    <row r="20" spans="1:22" ht="19.5" thickBot="1" x14ac:dyDescent="0.4">
      <c r="A20" s="428"/>
      <c r="B20" s="186" t="str">
        <f>IF(ToutTwo&lt;TinTwo,"cooling","heating")</f>
        <v>heating</v>
      </c>
      <c r="C20" s="243" t="s">
        <v>647</v>
      </c>
      <c r="D20" s="222">
        <v>52.500999999999998</v>
      </c>
      <c r="E20" s="247" t="s">
        <v>768</v>
      </c>
    </row>
    <row r="21" spans="1:22" x14ac:dyDescent="0.2">
      <c r="A21" s="428"/>
      <c r="C21" s="4"/>
      <c r="D21" s="335"/>
      <c r="E21" s="5"/>
      <c r="J21" s="434" t="s">
        <v>0</v>
      </c>
      <c r="K21" s="435"/>
      <c r="L21" s="435"/>
      <c r="M21" s="435"/>
      <c r="N21" s="435"/>
      <c r="O21" s="435"/>
      <c r="P21" s="435"/>
      <c r="Q21" s="435"/>
      <c r="R21" s="435"/>
      <c r="S21" s="436"/>
    </row>
    <row r="22" spans="1:22" ht="15.75" x14ac:dyDescent="0.25">
      <c r="A22" s="428"/>
      <c r="B22" s="186" t="str">
        <f>IF(TSurfAnnulus&lt;BulkMeanTempTwo,"cooling","heating")</f>
        <v>heating</v>
      </c>
      <c r="C22" s="243" t="s">
        <v>570</v>
      </c>
      <c r="D22" s="222">
        <v>3.556</v>
      </c>
      <c r="E22" s="247" t="s">
        <v>772</v>
      </c>
      <c r="F22" s="229"/>
      <c r="J22" s="280"/>
      <c r="K22" s="281"/>
      <c r="L22" s="281"/>
      <c r="M22" s="281"/>
      <c r="N22" s="281"/>
      <c r="O22" s="281"/>
      <c r="P22" s="281"/>
      <c r="Q22" s="281"/>
      <c r="R22" s="281"/>
      <c r="S22" s="282"/>
    </row>
    <row r="23" spans="1:22" x14ac:dyDescent="0.2">
      <c r="A23" s="428"/>
      <c r="C23" s="248" t="s">
        <v>571</v>
      </c>
      <c r="D23" s="335"/>
      <c r="E23" s="43"/>
      <c r="F23" s="229"/>
      <c r="J23" s="283" t="s">
        <v>599</v>
      </c>
      <c r="K23" s="284"/>
      <c r="L23" s="284"/>
      <c r="M23" s="284"/>
      <c r="N23" s="284"/>
      <c r="O23" s="281"/>
      <c r="P23" s="281"/>
      <c r="Q23" s="281"/>
      <c r="R23" s="281"/>
      <c r="S23" s="282"/>
    </row>
    <row r="24" spans="1:22" ht="18.75" x14ac:dyDescent="0.35">
      <c r="A24" s="428"/>
      <c r="C24" s="243" t="s">
        <v>572</v>
      </c>
      <c r="D24" s="187">
        <v>402</v>
      </c>
      <c r="E24" s="247" t="s">
        <v>773</v>
      </c>
      <c r="F24" s="229"/>
      <c r="J24" s="283" t="s">
        <v>600</v>
      </c>
      <c r="K24" s="281"/>
      <c r="L24" s="281"/>
      <c r="M24" s="281"/>
      <c r="N24" s="281"/>
      <c r="O24" s="281"/>
      <c r="P24" s="281"/>
      <c r="Q24" s="281"/>
      <c r="R24" s="281"/>
      <c r="S24" s="282"/>
    </row>
    <row r="25" spans="1:22" ht="15.75" customHeight="1" x14ac:dyDescent="0.2">
      <c r="A25" s="428"/>
      <c r="C25" s="248" t="s">
        <v>571</v>
      </c>
      <c r="D25" s="15"/>
      <c r="E25" s="43"/>
      <c r="F25" s="229"/>
      <c r="J25" s="280"/>
      <c r="K25" s="281"/>
      <c r="L25" s="281"/>
      <c r="M25" s="281"/>
      <c r="N25" s="281"/>
      <c r="O25" s="281"/>
      <c r="P25" s="281"/>
      <c r="Q25" s="281"/>
      <c r="R25" s="281"/>
      <c r="S25" s="282"/>
    </row>
    <row r="26" spans="1:22" ht="18.75" customHeight="1" thickBot="1" x14ac:dyDescent="0.25">
      <c r="A26" s="428"/>
      <c r="C26" s="267"/>
      <c r="D26" s="40"/>
      <c r="E26" s="78"/>
      <c r="J26" s="374" t="s">
        <v>874</v>
      </c>
      <c r="K26" s="375"/>
      <c r="L26" s="375"/>
      <c r="M26" s="375"/>
      <c r="N26" s="375"/>
      <c r="O26" s="375"/>
      <c r="P26" s="375"/>
      <c r="Q26" s="375"/>
      <c r="R26" s="375"/>
      <c r="S26" s="282"/>
    </row>
    <row r="27" spans="1:22" ht="12.75" customHeight="1" x14ac:dyDescent="0.2">
      <c r="A27" s="428"/>
      <c r="J27" s="283"/>
      <c r="K27" s="284"/>
      <c r="L27" s="284"/>
      <c r="M27" s="284"/>
      <c r="N27" s="284"/>
      <c r="O27" s="281"/>
      <c r="P27" s="281"/>
      <c r="Q27" s="281"/>
      <c r="R27" s="281"/>
      <c r="S27" s="282"/>
    </row>
    <row r="28" spans="1:22" x14ac:dyDescent="0.2">
      <c r="A28" s="428"/>
      <c r="J28" s="28" t="s">
        <v>243</v>
      </c>
      <c r="K28" s="29"/>
      <c r="L28" s="29"/>
      <c r="M28" s="29"/>
      <c r="N28" s="29"/>
      <c r="O28" s="281"/>
      <c r="P28" s="281"/>
      <c r="Q28" s="281"/>
      <c r="R28" s="281"/>
      <c r="S28" s="282"/>
    </row>
    <row r="29" spans="1:22" ht="19.5" customHeight="1" thickBot="1" x14ac:dyDescent="0.25">
      <c r="A29" s="428"/>
      <c r="J29" s="430" t="s">
        <v>829</v>
      </c>
      <c r="K29" s="431"/>
      <c r="L29" s="431"/>
      <c r="M29" s="431"/>
      <c r="N29" s="431"/>
      <c r="O29" s="431"/>
      <c r="P29" s="431"/>
      <c r="Q29" s="431"/>
      <c r="R29" s="431"/>
      <c r="S29" s="437"/>
    </row>
    <row r="30" spans="1:22" ht="18" customHeight="1" x14ac:dyDescent="0.2">
      <c r="A30" s="428"/>
      <c r="C30" s="189" t="s">
        <v>610</v>
      </c>
      <c r="D30" s="190"/>
      <c r="E30" s="191"/>
      <c r="F30" s="229" t="s">
        <v>789</v>
      </c>
      <c r="J30" s="283"/>
      <c r="K30" s="284"/>
      <c r="L30" s="284"/>
      <c r="M30" s="284"/>
      <c r="N30" s="284"/>
      <c r="O30" s="281"/>
      <c r="P30" s="281"/>
      <c r="Q30" s="281"/>
      <c r="R30" s="281"/>
      <c r="S30" s="282"/>
    </row>
    <row r="31" spans="1:22" x14ac:dyDescent="0.2">
      <c r="A31" s="428"/>
      <c r="C31" s="192"/>
      <c r="D31" s="193"/>
      <c r="E31" s="5"/>
      <c r="F31" s="229" t="s">
        <v>790</v>
      </c>
      <c r="J31" s="283"/>
      <c r="K31" s="284"/>
      <c r="L31" s="284"/>
      <c r="M31" s="284"/>
      <c r="N31" s="284"/>
      <c r="O31" s="281"/>
      <c r="P31" s="281"/>
      <c r="Q31" s="281"/>
      <c r="R31" s="281"/>
      <c r="S31" s="282"/>
    </row>
    <row r="32" spans="1:22" ht="18" customHeight="1" x14ac:dyDescent="0.3">
      <c r="A32" s="428"/>
      <c r="C32" s="243" t="s">
        <v>569</v>
      </c>
      <c r="D32" s="194">
        <f>(TinTwo+ToutTwo)/2</f>
        <v>29</v>
      </c>
      <c r="E32" s="247" t="s">
        <v>767</v>
      </c>
      <c r="F32" s="229" t="s">
        <v>791</v>
      </c>
      <c r="J32" s="283"/>
      <c r="K32" s="284"/>
      <c r="L32" s="284"/>
      <c r="M32" s="284"/>
      <c r="N32" s="284"/>
      <c r="O32" s="281"/>
      <c r="P32" s="281"/>
      <c r="Q32" s="281"/>
      <c r="R32" s="281"/>
      <c r="S32" s="282"/>
      <c r="V32" s="229" t="s">
        <v>839</v>
      </c>
    </row>
    <row r="33" spans="1:19" ht="16.5" customHeight="1" x14ac:dyDescent="0.3">
      <c r="A33" s="428"/>
      <c r="C33" s="243" t="s">
        <v>648</v>
      </c>
      <c r="D33" s="121">
        <f>TSurfTube</f>
        <v>49</v>
      </c>
      <c r="E33" s="247" t="s">
        <v>767</v>
      </c>
      <c r="F33" s="188" t="str">
        <f>IF(B20=B22,"",IF(B20="cooling"," Ts must be"," Ts must be"))</f>
        <v/>
      </c>
      <c r="J33" s="283"/>
      <c r="K33" s="284"/>
      <c r="L33" s="284"/>
      <c r="M33" s="284"/>
      <c r="N33" s="284"/>
      <c r="O33" s="281"/>
      <c r="P33" s="281"/>
      <c r="Q33" s="281"/>
      <c r="R33" s="281"/>
      <c r="S33" s="282"/>
    </row>
    <row r="34" spans="1:19" ht="15.75" x14ac:dyDescent="0.25">
      <c r="A34" s="428"/>
      <c r="C34" s="244"/>
      <c r="D34" s="193"/>
      <c r="E34" s="5"/>
      <c r="F34" s="188" t="str">
        <f>IF(B20=B22,"",IF(B20="cooling","  less than Tbm2","  greater than Tbm2"))</f>
        <v/>
      </c>
      <c r="J34" s="283"/>
      <c r="K34" s="284"/>
      <c r="L34" s="284"/>
      <c r="M34" s="284"/>
      <c r="N34" s="284"/>
      <c r="O34" s="281"/>
      <c r="P34" s="281"/>
      <c r="Q34" s="281"/>
      <c r="R34" s="281"/>
      <c r="S34" s="282"/>
    </row>
    <row r="35" spans="1:19" ht="18.75" x14ac:dyDescent="0.35">
      <c r="A35" s="428"/>
      <c r="B35" s="144"/>
      <c r="C35" s="243" t="s">
        <v>564</v>
      </c>
      <c r="D35" s="354">
        <f>DensityOne*FlowRateTube*SpecificHeatOne*ABS(TinOne-ToutOne)/(DensityTwo*SpecificHeatTwo*ABS(TinTwo-ToutTwo))</f>
        <v>3.2397834815602397E-4</v>
      </c>
      <c r="E35" s="247" t="s">
        <v>769</v>
      </c>
      <c r="J35" s="283"/>
      <c r="K35" s="284"/>
      <c r="L35" s="284"/>
      <c r="M35" s="284"/>
      <c r="N35" s="288"/>
      <c r="O35" s="281"/>
      <c r="P35" s="281"/>
      <c r="Q35" s="281"/>
      <c r="R35" s="281"/>
      <c r="S35" s="282"/>
    </row>
    <row r="36" spans="1:19" x14ac:dyDescent="0.2">
      <c r="A36" s="428"/>
      <c r="C36" s="4"/>
      <c r="D36" s="197"/>
      <c r="E36" s="5"/>
      <c r="J36" s="283"/>
      <c r="K36" s="284"/>
      <c r="L36" s="284"/>
      <c r="M36" s="284"/>
      <c r="N36" s="284"/>
      <c r="O36" s="281"/>
      <c r="P36" s="281"/>
      <c r="Q36" s="281"/>
      <c r="R36" s="281"/>
      <c r="S36" s="282"/>
    </row>
    <row r="37" spans="1:19" ht="18.75" x14ac:dyDescent="0.35">
      <c r="A37" s="428"/>
      <c r="C37" s="243" t="s">
        <v>582</v>
      </c>
      <c r="D37" s="116">
        <f>(D20-D18)/1000</f>
        <v>1.0336999999999995E-2</v>
      </c>
      <c r="E37" s="296" t="s">
        <v>770</v>
      </c>
      <c r="F37" s="195" t="s">
        <v>284</v>
      </c>
      <c r="J37" s="283"/>
      <c r="K37" s="284"/>
      <c r="L37" s="284"/>
      <c r="M37" s="284"/>
      <c r="N37" s="288" t="s">
        <v>609</v>
      </c>
      <c r="O37" s="281"/>
      <c r="P37" s="281"/>
      <c r="Q37" s="281"/>
      <c r="R37" s="281"/>
      <c r="S37" s="282"/>
    </row>
    <row r="38" spans="1:19" ht="15" x14ac:dyDescent="0.25">
      <c r="C38" s="192"/>
      <c r="D38" s="193"/>
      <c r="E38" s="5"/>
      <c r="F38" s="195" t="s">
        <v>285</v>
      </c>
      <c r="J38" s="285"/>
      <c r="K38" s="284"/>
      <c r="L38" s="284"/>
      <c r="M38" s="284"/>
      <c r="N38" s="284"/>
      <c r="O38" s="281"/>
      <c r="P38" s="281"/>
      <c r="Q38" s="281"/>
      <c r="R38" s="281"/>
      <c r="S38" s="282"/>
    </row>
    <row r="39" spans="1:19" ht="15" x14ac:dyDescent="0.25">
      <c r="C39" s="146" t="s">
        <v>515</v>
      </c>
      <c r="D39" s="122">
        <f>D35/(PI()*(((D20/2000)^2)-((D18/2000)^2)))</f>
        <v>0.42154326009060711</v>
      </c>
      <c r="E39" s="296" t="s">
        <v>771</v>
      </c>
      <c r="F39" s="195" t="s">
        <v>286</v>
      </c>
      <c r="J39" s="283"/>
      <c r="K39" s="284"/>
      <c r="L39" s="284"/>
      <c r="M39" s="284"/>
      <c r="N39" s="284"/>
      <c r="O39" s="281"/>
      <c r="P39" s="281"/>
      <c r="Q39" s="281"/>
      <c r="R39" s="281"/>
      <c r="S39" s="282"/>
    </row>
    <row r="40" spans="1:19" ht="15" x14ac:dyDescent="0.25">
      <c r="C40" s="4"/>
      <c r="D40" s="197"/>
      <c r="E40" s="5"/>
      <c r="F40" s="195" t="s">
        <v>287</v>
      </c>
      <c r="J40" s="285" t="s">
        <v>606</v>
      </c>
      <c r="K40" s="284"/>
      <c r="L40" s="284"/>
      <c r="M40" s="284"/>
      <c r="N40" s="284"/>
      <c r="O40" s="281"/>
      <c r="P40" s="281"/>
      <c r="Q40" s="281"/>
      <c r="R40" s="281"/>
      <c r="S40" s="282"/>
    </row>
    <row r="41" spans="1:19" ht="15" x14ac:dyDescent="0.25">
      <c r="C41" s="146" t="s">
        <v>288</v>
      </c>
      <c r="D41" s="198">
        <f>D37*D39*DensityTwo/ViscosityTwo</f>
        <v>5170.2307659883936</v>
      </c>
      <c r="E41" s="5"/>
      <c r="F41" s="195" t="s">
        <v>289</v>
      </c>
      <c r="J41" s="283"/>
      <c r="K41" s="284"/>
      <c r="L41" s="284"/>
      <c r="M41" s="284"/>
      <c r="N41" s="284"/>
      <c r="O41" s="281"/>
      <c r="P41" s="281"/>
      <c r="Q41" s="281"/>
      <c r="R41" s="281"/>
      <c r="S41" s="282"/>
    </row>
    <row r="42" spans="1:19" ht="15" x14ac:dyDescent="0.25">
      <c r="C42" s="4"/>
      <c r="D42" s="197"/>
      <c r="E42" s="5"/>
      <c r="F42" s="195" t="s">
        <v>290</v>
      </c>
      <c r="J42" s="283" t="s">
        <v>607</v>
      </c>
      <c r="K42" s="284"/>
      <c r="L42" s="284"/>
      <c r="M42" s="284"/>
      <c r="N42" s="284"/>
      <c r="O42" s="281"/>
      <c r="P42" s="281"/>
      <c r="Q42" s="281"/>
      <c r="R42" s="281"/>
      <c r="S42" s="282"/>
    </row>
    <row r="43" spans="1:19" ht="15.75" customHeight="1" x14ac:dyDescent="0.25">
      <c r="C43" s="146" t="s">
        <v>291</v>
      </c>
      <c r="D43" s="122">
        <f>ViscosityTwo*SpecificHeatTwo/ThermCondTwo</f>
        <v>5.7207065835084396</v>
      </c>
      <c r="E43" s="5"/>
      <c r="F43" s="195" t="s">
        <v>556</v>
      </c>
      <c r="J43" s="283"/>
      <c r="K43" s="284"/>
      <c r="L43" s="284"/>
      <c r="M43" s="284"/>
      <c r="N43" s="284"/>
      <c r="O43" s="284"/>
      <c r="P43" s="281"/>
      <c r="Q43" s="281"/>
      <c r="R43" s="281"/>
      <c r="S43" s="282"/>
    </row>
    <row r="44" spans="1:19" ht="13.5" thickBot="1" x14ac:dyDescent="0.25">
      <c r="C44" s="6"/>
      <c r="D44" s="199"/>
      <c r="E44" s="18"/>
      <c r="F44" s="195" t="s">
        <v>292</v>
      </c>
      <c r="J44" s="283"/>
      <c r="K44" s="284"/>
      <c r="L44" s="284"/>
      <c r="M44" s="284"/>
      <c r="N44" s="284"/>
      <c r="O44" s="284"/>
      <c r="P44" s="281"/>
      <c r="Q44" s="281"/>
      <c r="R44" s="281"/>
      <c r="S44" s="282"/>
    </row>
    <row r="45" spans="1:19" x14ac:dyDescent="0.2">
      <c r="J45" s="283"/>
      <c r="K45" s="284"/>
      <c r="L45" s="284"/>
      <c r="M45" s="284"/>
      <c r="N45" s="284"/>
      <c r="O45" s="281"/>
      <c r="P45" s="281"/>
      <c r="Q45" s="281"/>
      <c r="R45" s="281"/>
      <c r="S45" s="282"/>
    </row>
    <row r="46" spans="1:19" ht="16.5" x14ac:dyDescent="0.3">
      <c r="C46" s="144" t="str">
        <f>IF(D41&gt;4000,"The flow is turbulent.",IF(D41&lt;2300,"The flow is laminar.","The flow is in the transition region."))</f>
        <v>The flow is turbulent.</v>
      </c>
      <c r="J46" s="283"/>
      <c r="K46" s="284"/>
      <c r="L46" s="284"/>
      <c r="M46" s="284"/>
      <c r="N46" s="284"/>
      <c r="O46" s="284" t="s">
        <v>601</v>
      </c>
      <c r="P46" s="281"/>
      <c r="Q46" s="281"/>
      <c r="R46" s="281"/>
      <c r="S46" s="282"/>
    </row>
    <row r="47" spans="1:19" ht="15.75" x14ac:dyDescent="0.3">
      <c r="J47" s="283"/>
      <c r="K47" s="284"/>
      <c r="L47" s="284"/>
      <c r="M47" s="284"/>
      <c r="N47" s="284"/>
      <c r="O47" s="284" t="s">
        <v>602</v>
      </c>
      <c r="P47" s="281"/>
      <c r="Q47" s="281"/>
      <c r="R47" s="281"/>
      <c r="S47" s="282"/>
    </row>
    <row r="48" spans="1:19" ht="15.75" x14ac:dyDescent="0.25">
      <c r="C48" s="144" t="str">
        <f>IF(D41&lt;2300,"Use the Laminar Pipe Flow worksheet.",IF(D43&lt;0.5,"Prandtl No. is below the range for this worksheet.",IF(D43&gt;100000,"Prandtl No. is above the range for this worksheet.",IF(D41&gt;1000000,"Reynolds No. is above the range for this worksheet.","Use the Gnielinski Correlation."))))</f>
        <v>Use the Gnielinski Correlation.</v>
      </c>
      <c r="J48" s="283"/>
      <c r="K48" s="284"/>
      <c r="L48" s="284"/>
      <c r="M48" s="284"/>
      <c r="N48" s="284"/>
      <c r="O48" s="281"/>
      <c r="P48" s="281"/>
      <c r="Q48" s="281"/>
      <c r="R48" s="281"/>
      <c r="S48" s="282"/>
    </row>
    <row r="49" spans="1:19" ht="13.5" thickBot="1" x14ac:dyDescent="0.25">
      <c r="J49" s="283"/>
      <c r="K49" s="284"/>
      <c r="L49" s="284"/>
      <c r="M49" s="284"/>
      <c r="N49" s="284"/>
      <c r="O49" s="281"/>
      <c r="P49" s="281"/>
      <c r="Q49" s="281"/>
      <c r="R49" s="281"/>
      <c r="S49" s="282"/>
    </row>
    <row r="50" spans="1:19" ht="20.25" customHeight="1" x14ac:dyDescent="0.25">
      <c r="A50" s="377" t="s">
        <v>788</v>
      </c>
      <c r="C50" s="189" t="s">
        <v>293</v>
      </c>
      <c r="D50" s="142"/>
      <c r="E50" s="191"/>
      <c r="J50" s="283"/>
      <c r="K50" s="284"/>
      <c r="L50" s="284"/>
      <c r="M50" s="284"/>
      <c r="N50" s="284"/>
      <c r="O50" s="281"/>
      <c r="P50" s="281"/>
      <c r="Q50" s="281"/>
      <c r="R50" s="281"/>
      <c r="S50" s="282"/>
    </row>
    <row r="51" spans="1:19" ht="14.25" x14ac:dyDescent="0.2">
      <c r="A51" s="377"/>
      <c r="C51" s="192" t="s">
        <v>294</v>
      </c>
      <c r="D51" s="193"/>
      <c r="E51" s="5"/>
      <c r="J51" s="283"/>
      <c r="K51" s="284"/>
      <c r="L51" s="284"/>
      <c r="M51" s="284"/>
      <c r="N51" s="284"/>
      <c r="O51" s="281"/>
      <c r="P51" s="281"/>
      <c r="Q51" s="281"/>
      <c r="R51" s="281"/>
      <c r="S51" s="282"/>
    </row>
    <row r="52" spans="1:19" x14ac:dyDescent="0.2">
      <c r="A52" s="377"/>
      <c r="C52" s="4"/>
      <c r="D52" s="200"/>
      <c r="E52" s="5"/>
      <c r="J52" s="283"/>
      <c r="K52" s="284"/>
      <c r="L52" s="284"/>
      <c r="M52" s="284"/>
      <c r="N52" s="284"/>
      <c r="O52" s="281"/>
      <c r="P52" s="281"/>
      <c r="Q52" s="281"/>
      <c r="R52" s="281"/>
      <c r="S52" s="282"/>
    </row>
    <row r="53" spans="1:19" ht="16.5" x14ac:dyDescent="0.3">
      <c r="A53" s="377"/>
      <c r="C53" s="201" t="s">
        <v>295</v>
      </c>
      <c r="D53" s="122">
        <f>SurfViscAnnulus*SurfSpHtAnnulus/SurfaceThCondAnnulus</f>
        <v>3.7371113104496363</v>
      </c>
      <c r="E53" s="5"/>
      <c r="J53" s="283" t="s">
        <v>603</v>
      </c>
      <c r="K53" s="375" t="s">
        <v>875</v>
      </c>
      <c r="L53" s="375"/>
      <c r="M53" s="375"/>
      <c r="N53" s="375"/>
      <c r="O53" s="375"/>
      <c r="P53" s="375"/>
      <c r="Q53" s="375"/>
      <c r="R53" s="375"/>
      <c r="S53" s="466"/>
    </row>
    <row r="54" spans="1:19" x14ac:dyDescent="0.2">
      <c r="A54" s="377"/>
      <c r="C54" s="4"/>
      <c r="D54" s="200"/>
      <c r="E54" s="196"/>
      <c r="J54" s="283"/>
      <c r="K54" s="284" t="s">
        <v>608</v>
      </c>
      <c r="L54" s="284"/>
      <c r="M54" s="284"/>
      <c r="N54" s="284"/>
      <c r="O54" s="281"/>
      <c r="P54" s="281"/>
      <c r="Q54" s="281"/>
      <c r="R54" s="281"/>
      <c r="S54" s="282"/>
    </row>
    <row r="55" spans="1:19" ht="18" customHeight="1" x14ac:dyDescent="0.25">
      <c r="A55" s="377"/>
      <c r="C55" s="201" t="s">
        <v>296</v>
      </c>
      <c r="D55" s="221">
        <f>IF((D43/D53)&lt;0.05,"Prandtl No. Ratio is too low",IF((D43/D53)&gt;20,"Prandtl No. Ratio is too high",(D43/D53)^0.11))</f>
        <v>1.047949851285163</v>
      </c>
      <c r="E55" s="202"/>
      <c r="J55" s="28"/>
      <c r="K55" s="29"/>
      <c r="L55" s="29"/>
      <c r="M55" s="29"/>
      <c r="N55" s="29"/>
      <c r="O55" s="281"/>
      <c r="P55" s="281"/>
      <c r="Q55" s="281"/>
      <c r="R55" s="281"/>
      <c r="S55" s="282"/>
    </row>
    <row r="56" spans="1:19" ht="12.75" customHeight="1" x14ac:dyDescent="0.2">
      <c r="A56" s="377"/>
      <c r="C56" s="4"/>
      <c r="D56" s="200"/>
      <c r="E56" s="196"/>
      <c r="J56" s="283"/>
      <c r="K56" s="284"/>
      <c r="L56" s="284"/>
      <c r="M56" s="284"/>
      <c r="N56" s="284"/>
      <c r="O56" s="281"/>
      <c r="P56" s="281"/>
      <c r="Q56" s="281"/>
      <c r="R56" s="281"/>
      <c r="S56" s="282"/>
    </row>
    <row r="57" spans="1:19" ht="18" customHeight="1" x14ac:dyDescent="0.25">
      <c r="A57" s="377"/>
      <c r="C57" s="201" t="s">
        <v>297</v>
      </c>
      <c r="D57" s="200"/>
      <c r="E57" s="203">
        <f>0.25*(0.79*LN(D41)-1.64)^(-2)</f>
        <v>9.5552797852458318E-3</v>
      </c>
      <c r="J57" s="283" t="s">
        <v>604</v>
      </c>
      <c r="K57" s="284"/>
      <c r="L57" s="284"/>
      <c r="M57" s="284"/>
      <c r="N57" s="284"/>
      <c r="O57" s="281"/>
      <c r="P57" s="281"/>
      <c r="Q57" s="281"/>
      <c r="R57" s="281"/>
      <c r="S57" s="282"/>
    </row>
    <row r="58" spans="1:19" x14ac:dyDescent="0.2">
      <c r="A58" s="377"/>
      <c r="C58" s="146"/>
      <c r="D58" s="200"/>
      <c r="E58" s="196"/>
      <c r="J58" s="283"/>
      <c r="K58" s="433" t="s">
        <v>605</v>
      </c>
      <c r="L58" s="417"/>
      <c r="M58" s="417"/>
      <c r="N58" s="417"/>
      <c r="O58" s="417"/>
      <c r="P58" s="417"/>
      <c r="Q58" s="417"/>
      <c r="R58" s="417"/>
      <c r="S58" s="282"/>
    </row>
    <row r="59" spans="1:19" ht="15" x14ac:dyDescent="0.25">
      <c r="A59" s="377"/>
      <c r="C59" s="201" t="s">
        <v>298</v>
      </c>
      <c r="D59" s="200"/>
      <c r="E59" s="72"/>
      <c r="J59" s="357"/>
      <c r="K59" s="358"/>
      <c r="L59" s="358"/>
      <c r="M59" s="358"/>
      <c r="N59" s="358"/>
      <c r="O59" s="281"/>
      <c r="P59" s="281"/>
      <c r="Q59" s="281"/>
      <c r="R59" s="281"/>
      <c r="S59" s="282"/>
    </row>
    <row r="60" spans="1:19" ht="18" customHeight="1" x14ac:dyDescent="0.25">
      <c r="A60" s="377"/>
      <c r="C60" s="146" t="s">
        <v>299</v>
      </c>
      <c r="D60" s="200"/>
      <c r="E60" s="196"/>
      <c r="J60" s="360" t="s">
        <v>852</v>
      </c>
      <c r="K60" s="358"/>
      <c r="L60" s="358"/>
      <c r="M60" s="358"/>
      <c r="N60" s="359"/>
      <c r="O60" s="281"/>
      <c r="P60" s="281"/>
      <c r="Q60" s="281"/>
      <c r="R60" s="281"/>
      <c r="S60" s="282"/>
    </row>
    <row r="61" spans="1:19" x14ac:dyDescent="0.2">
      <c r="A61" s="377"/>
      <c r="C61" s="4"/>
      <c r="D61" s="204"/>
      <c r="E61" s="5"/>
      <c r="J61" s="357"/>
      <c r="K61" s="358"/>
      <c r="L61" s="358"/>
      <c r="M61" s="358"/>
      <c r="N61" s="358"/>
      <c r="O61" s="281"/>
      <c r="P61" s="281"/>
      <c r="Q61" s="281"/>
      <c r="R61" s="281"/>
      <c r="S61" s="282"/>
    </row>
    <row r="62" spans="1:19" ht="18" customHeight="1" x14ac:dyDescent="0.25">
      <c r="A62" s="377"/>
      <c r="C62" s="201" t="s">
        <v>300</v>
      </c>
      <c r="D62" s="200"/>
      <c r="E62" s="203">
        <f>IF(E59="",E57,E59)</f>
        <v>9.5552797852458318E-3</v>
      </c>
      <c r="J62" s="430" t="s">
        <v>853</v>
      </c>
      <c r="K62" s="431"/>
      <c r="L62" s="431"/>
      <c r="M62" s="431"/>
      <c r="N62" s="431"/>
      <c r="O62" s="431"/>
      <c r="P62" s="431"/>
      <c r="Q62" s="281"/>
      <c r="R62" s="281"/>
      <c r="S62" s="282"/>
    </row>
    <row r="63" spans="1:19" ht="13.5" thickBot="1" x14ac:dyDescent="0.25">
      <c r="A63" s="377"/>
      <c r="C63" s="4"/>
      <c r="D63" s="200"/>
      <c r="E63" s="5"/>
      <c r="J63" s="81"/>
      <c r="K63" s="45"/>
      <c r="L63" s="45"/>
      <c r="M63" s="45"/>
      <c r="N63" s="35"/>
      <c r="O63" s="286"/>
      <c r="P63" s="286"/>
      <c r="Q63" s="286"/>
      <c r="R63" s="286"/>
      <c r="S63" s="287"/>
    </row>
    <row r="64" spans="1:19" ht="18" customHeight="1" x14ac:dyDescent="0.25">
      <c r="A64" s="377"/>
      <c r="C64" s="146" t="s">
        <v>301</v>
      </c>
      <c r="D64" s="121">
        <f>(E62/2)*(D41-1000)*D43*D55/(1+(12.7*((E62/2)^0.5)*((D43^(2/3))-1)))</f>
        <v>40.765262474138105</v>
      </c>
      <c r="E64" s="196"/>
    </row>
    <row r="65" spans="1:5" x14ac:dyDescent="0.2">
      <c r="A65" s="377"/>
      <c r="C65" s="4"/>
      <c r="D65" s="197"/>
      <c r="E65" s="5"/>
    </row>
    <row r="66" spans="1:5" ht="15.75" x14ac:dyDescent="0.25">
      <c r="A66" s="377"/>
      <c r="C66" s="291" t="s">
        <v>631</v>
      </c>
      <c r="D66" s="292">
        <f>D64*ThermCondTwo/(D37)</f>
        <v>2412.7772050430171</v>
      </c>
      <c r="E66" s="296" t="s">
        <v>774</v>
      </c>
    </row>
    <row r="67" spans="1:5" ht="13.5" thickBot="1" x14ac:dyDescent="0.25">
      <c r="A67" s="377"/>
      <c r="C67" s="6"/>
      <c r="D67" s="199"/>
      <c r="E67" s="18"/>
    </row>
    <row r="71" spans="1:5" ht="14.25" x14ac:dyDescent="0.2">
      <c r="C71" s="205" t="s">
        <v>841</v>
      </c>
    </row>
    <row r="75" spans="1:5" ht="15" x14ac:dyDescent="0.2">
      <c r="C75" s="67"/>
    </row>
    <row r="76" spans="1:5" ht="15" x14ac:dyDescent="0.2">
      <c r="C76" s="67"/>
    </row>
    <row r="78" spans="1:5" ht="14.25" x14ac:dyDescent="0.2">
      <c r="C78" s="205"/>
    </row>
    <row r="83" spans="3:3" ht="17.25" customHeight="1" x14ac:dyDescent="0.2"/>
    <row r="86" spans="3:3" ht="15" x14ac:dyDescent="0.2">
      <c r="C86" s="67"/>
    </row>
    <row r="87" spans="3:3" ht="15" x14ac:dyDescent="0.2">
      <c r="C87" s="67"/>
    </row>
    <row r="89" spans="3:3" ht="14.25" x14ac:dyDescent="0.2">
      <c r="C89" s="205"/>
    </row>
  </sheetData>
  <sheetProtection sheet="1" objects="1" scenarios="1" formatCells="0"/>
  <mergeCells count="13">
    <mergeCell ref="A50:A67"/>
    <mergeCell ref="J21:S21"/>
    <mergeCell ref="B2:F2"/>
    <mergeCell ref="B3:F3"/>
    <mergeCell ref="B4:F4"/>
    <mergeCell ref="C10:E10"/>
    <mergeCell ref="A12:A37"/>
    <mergeCell ref="C12:E12"/>
    <mergeCell ref="J29:S29"/>
    <mergeCell ref="J62:P62"/>
    <mergeCell ref="J26:R26"/>
    <mergeCell ref="K58:R58"/>
    <mergeCell ref="K53:R53"/>
  </mergeCells>
  <dataValidations count="2">
    <dataValidation type="decimal" operator="greaterThanOrEqual" allowBlank="1" showInputMessage="1" showErrorMessage="1" errorTitle="Invalid Entry" error="Please enter a value greater than zero._x000a_" sqref="D18 E59 D20 D16 D24 D14 D22" xr:uid="{00000000-0002-0000-0600-000000000000}">
      <formula1>0</formula1>
    </dataValidation>
    <dataValidation type="decimal" allowBlank="1" showInputMessage="1" showErrorMessage="1" error="Be sure you've selected a liquid or entered liquid property values in the Liquid Properties worksheet" sqref="D41" xr:uid="{00000000-0002-0000-0600-000001000000}">
      <formula1>0</formula1>
      <formula2>100000000</formula2>
    </dataValidation>
  </dataValidations>
  <hyperlinks>
    <hyperlink ref="J29:N29" r:id="rId1" location="p20018cf89820098001" display="Heat Transfer in Process Engineering, 5.7. Design Procedure for a Double-Tube Heat Exchanger" xr:uid="{00000000-0004-0000-0600-000000000000}"/>
    <hyperlink ref="J29:S29" r:id="rId2" location="p20018cf89820098001" display="  Heat Transfer in Process Engineering, Table 5-1. Standard Combinations for Double-Tube Heat Exchangers" xr:uid="{00000000-0004-0000-0600-000003000000}"/>
    <hyperlink ref="K58" r:id="rId3" location="ch07lev1sec14" xr:uid="{00000000-0004-0000-0600-000006000000}"/>
    <hyperlink ref="K58:R58" r:id="rId4" location="ch07lev1sec14" display="Handbook of Chemical Engineering Calculations, 4th Ed, Problem 7.14" xr:uid="{00000000-0004-0000-0600-000007000000}"/>
    <hyperlink ref="J62:K62" r:id="rId5" location="p2000b0d5982E_23001" display="Piping Handbook, Seventh Ed., Table E2.1M" xr:uid="{00000000-0004-0000-0600-000008000000}"/>
    <hyperlink ref="J62:P62" r:id="rId6" location="p2000b0d5982E_23001" display="Piping Handbook, Seventh Ed., Table E2.1M" xr:uid="{00000000-0004-0000-0600-000009000000}"/>
    <hyperlink ref="J26:M26" r:id="rId7" location="c9780071834087ch05lev2sec08" display="Perry's Chemical Engineer's Handbook, 9th Ed. - Sect 5.3.3 Forced Convection" xr:uid="{E8AEEBDC-04A3-4A46-90BF-7E24463CB773}"/>
    <hyperlink ref="K53:N53" r:id="rId8" location="ch05eq55" display="Perry's Chemical Engineer's Handbook, 9th Ed. - Sect 5.3.3 - Equation (5-55)" xr:uid="{6B9D4F44-25E2-4830-9996-05DE702FA129}"/>
  </hyperlinks>
  <pageMargins left="0.7" right="0.7" top="0.75" bottom="0.75" header="0.3" footer="0.3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N171"/>
  <sheetViews>
    <sheetView showGridLines="0" zoomScaleNormal="100" workbookViewId="0"/>
  </sheetViews>
  <sheetFormatPr defaultRowHeight="12.75" x14ac:dyDescent="0.2"/>
  <cols>
    <col min="1" max="1" width="8.85546875" customWidth="1"/>
    <col min="3" max="3" width="29.42578125" customWidth="1"/>
    <col min="4" max="4" width="14.42578125" customWidth="1"/>
    <col min="5" max="5" width="12" customWidth="1"/>
    <col min="6" max="6" width="28.28515625" customWidth="1"/>
    <col min="8" max="8" width="10.28515625" customWidth="1"/>
    <col min="9" max="9" width="14" customWidth="1"/>
    <col min="10" max="10" width="18.7109375" customWidth="1"/>
    <col min="11" max="11" width="16" customWidth="1"/>
    <col min="12" max="12" width="17.7109375" customWidth="1"/>
    <col min="13" max="13" width="18.140625" customWidth="1"/>
    <col min="14" max="14" width="19.42578125" customWidth="1"/>
  </cols>
  <sheetData>
    <row r="1" spans="1:14" ht="20.25" customHeight="1" thickBot="1" x14ac:dyDescent="0.25">
      <c r="G1" s="124"/>
    </row>
    <row r="2" spans="1:14" ht="22.5" customHeight="1" x14ac:dyDescent="0.25">
      <c r="B2" s="19"/>
      <c r="C2" s="20" t="s">
        <v>679</v>
      </c>
      <c r="D2" s="20"/>
      <c r="E2" s="20"/>
      <c r="F2" s="21"/>
      <c r="J2" s="371" t="s">
        <v>0</v>
      </c>
      <c r="K2" s="372"/>
      <c r="L2" s="372"/>
      <c r="M2" s="372"/>
      <c r="N2" s="373"/>
    </row>
    <row r="3" spans="1:14" ht="16.5" customHeight="1" x14ac:dyDescent="0.2">
      <c r="B3" s="449" t="s">
        <v>668</v>
      </c>
      <c r="C3" s="450"/>
      <c r="D3" s="450"/>
      <c r="E3" s="450"/>
      <c r="F3" s="451"/>
      <c r="J3" s="452" t="s">
        <v>232</v>
      </c>
      <c r="K3" s="453"/>
      <c r="L3" s="453"/>
      <c r="M3" s="453"/>
      <c r="N3" s="454"/>
    </row>
    <row r="4" spans="1:14" ht="20.25" customHeight="1" thickBot="1" x14ac:dyDescent="0.25">
      <c r="B4" s="65"/>
      <c r="C4" s="35"/>
      <c r="D4" s="35"/>
      <c r="E4" s="66"/>
      <c r="F4" s="36"/>
      <c r="J4" s="430" t="s">
        <v>876</v>
      </c>
      <c r="K4" s="431"/>
      <c r="L4" s="431"/>
      <c r="M4" s="431"/>
      <c r="N4" s="437"/>
    </row>
    <row r="5" spans="1:14" ht="18.75" customHeight="1" x14ac:dyDescent="0.2">
      <c r="J5" s="430" t="s">
        <v>830</v>
      </c>
      <c r="K5" s="431"/>
      <c r="L5" s="431"/>
      <c r="M5" s="431"/>
      <c r="N5" s="437"/>
    </row>
    <row r="6" spans="1:14" ht="15.75" customHeight="1" thickBot="1" x14ac:dyDescent="0.25">
      <c r="A6" s="455" t="s">
        <v>643</v>
      </c>
      <c r="J6" s="430" t="s">
        <v>831</v>
      </c>
      <c r="K6" s="431"/>
      <c r="L6" s="431"/>
      <c r="M6" s="431"/>
      <c r="N6" s="437"/>
    </row>
    <row r="7" spans="1:14" ht="18.75" customHeight="1" x14ac:dyDescent="0.2">
      <c r="A7" s="455"/>
      <c r="C7" s="378" t="s">
        <v>792</v>
      </c>
      <c r="D7" s="429"/>
      <c r="E7" s="429"/>
      <c r="F7" s="332" t="s">
        <v>817</v>
      </c>
      <c r="G7" s="322"/>
      <c r="H7" s="191"/>
      <c r="J7" s="28"/>
      <c r="K7" s="29"/>
      <c r="L7" s="29"/>
      <c r="M7" s="29"/>
      <c r="N7" s="30"/>
    </row>
    <row r="8" spans="1:14" ht="15.75" customHeight="1" x14ac:dyDescent="0.2">
      <c r="A8" s="455"/>
      <c r="C8" s="248"/>
      <c r="D8" s="303"/>
      <c r="E8" s="323"/>
      <c r="F8" s="333" t="s">
        <v>816</v>
      </c>
      <c r="G8" s="303"/>
      <c r="H8" s="247"/>
      <c r="J8" s="430" t="s">
        <v>877</v>
      </c>
      <c r="K8" s="431"/>
      <c r="L8" s="431"/>
      <c r="M8" s="431"/>
      <c r="N8" s="437"/>
    </row>
    <row r="9" spans="1:14" ht="17.25" customHeight="1" x14ac:dyDescent="0.35">
      <c r="A9" s="455"/>
      <c r="C9" s="243" t="s">
        <v>833</v>
      </c>
      <c r="D9" s="331">
        <v>4.0000000000000002E-4</v>
      </c>
      <c r="E9" s="336" t="s">
        <v>824</v>
      </c>
      <c r="F9" s="337"/>
      <c r="G9" s="338"/>
      <c r="H9" s="339"/>
      <c r="J9" s="430" t="s">
        <v>832</v>
      </c>
      <c r="K9" s="431"/>
      <c r="L9" s="431"/>
      <c r="M9" s="431"/>
      <c r="N9" s="437"/>
    </row>
    <row r="10" spans="1:14" ht="15.75" customHeight="1" x14ac:dyDescent="0.25">
      <c r="A10" s="455"/>
      <c r="C10" s="248"/>
      <c r="D10" s="338"/>
      <c r="E10" s="340"/>
      <c r="F10" s="341" t="s">
        <v>815</v>
      </c>
      <c r="G10" s="338"/>
      <c r="H10" s="342"/>
      <c r="J10" s="28"/>
      <c r="K10" s="29"/>
      <c r="L10" s="29"/>
      <c r="M10" s="29"/>
      <c r="N10" s="30"/>
    </row>
    <row r="11" spans="1:14" ht="18.75" customHeight="1" x14ac:dyDescent="0.35">
      <c r="A11" s="455"/>
      <c r="C11" s="243" t="s">
        <v>834</v>
      </c>
      <c r="D11" s="331">
        <v>4.0000000000000002E-4</v>
      </c>
      <c r="E11" s="336" t="s">
        <v>824</v>
      </c>
      <c r="F11" s="343"/>
      <c r="G11" s="338"/>
      <c r="H11" s="342"/>
      <c r="J11" s="283" t="s">
        <v>837</v>
      </c>
      <c r="K11" s="281"/>
      <c r="L11" s="281"/>
      <c r="M11" s="281"/>
      <c r="N11" s="282"/>
    </row>
    <row r="12" spans="1:14" ht="24" customHeight="1" thickBot="1" x14ac:dyDescent="0.25">
      <c r="A12" s="455"/>
      <c r="C12" s="355" t="s">
        <v>835</v>
      </c>
      <c r="D12" s="344"/>
      <c r="E12" s="345"/>
      <c r="F12" s="346"/>
      <c r="G12" s="347"/>
      <c r="H12" s="348"/>
      <c r="J12" s="464" t="s">
        <v>854</v>
      </c>
      <c r="K12" s="465"/>
      <c r="L12" s="465"/>
      <c r="M12" s="432"/>
      <c r="N12" s="282"/>
    </row>
    <row r="13" spans="1:14" ht="19.5" customHeight="1" x14ac:dyDescent="0.2">
      <c r="A13" s="455"/>
      <c r="C13" s="249"/>
      <c r="D13" s="250" t="s">
        <v>221</v>
      </c>
      <c r="E13" s="251"/>
      <c r="F13" s="251"/>
      <c r="G13" s="251"/>
      <c r="H13" s="252"/>
      <c r="J13" s="283" t="s">
        <v>836</v>
      </c>
      <c r="K13" s="281"/>
      <c r="L13" s="281"/>
      <c r="M13" s="281"/>
      <c r="N13" s="282"/>
    </row>
    <row r="14" spans="1:14" ht="11.25" customHeight="1" x14ac:dyDescent="0.2">
      <c r="A14" s="455"/>
      <c r="C14" s="253"/>
      <c r="D14" s="254"/>
      <c r="E14" s="254"/>
      <c r="F14" s="254"/>
      <c r="G14" s="254"/>
      <c r="H14" s="255"/>
      <c r="J14" s="280"/>
      <c r="K14" s="281"/>
      <c r="L14" s="281"/>
      <c r="M14" s="281"/>
      <c r="N14" s="282"/>
    </row>
    <row r="15" spans="1:14" ht="18" customHeight="1" x14ac:dyDescent="0.35">
      <c r="A15" s="455"/>
      <c r="C15" s="253" t="s">
        <v>207</v>
      </c>
      <c r="D15" s="256">
        <f>FlowRateTube*DensityOne*SpecificHeatOne*ABS(TinOne-ToutOne)</f>
        <v>34981.124324124256</v>
      </c>
      <c r="E15" s="264" t="s">
        <v>776</v>
      </c>
      <c r="F15" s="257" t="s">
        <v>200</v>
      </c>
      <c r="G15" s="258">
        <f>((TinOne-ToutTwo)-(ToutOne-TinTwo))/LN((TinOne-ToutTwo)/(ToutOne-TinTwo))</f>
        <v>26.888520706347304</v>
      </c>
      <c r="H15" s="320" t="s">
        <v>775</v>
      </c>
      <c r="J15" s="28" t="s">
        <v>242</v>
      </c>
      <c r="K15" s="281"/>
      <c r="L15" s="281"/>
      <c r="M15" s="281"/>
      <c r="N15" s="282"/>
    </row>
    <row r="16" spans="1:14" ht="25.5" customHeight="1" x14ac:dyDescent="0.2">
      <c r="A16" s="455"/>
      <c r="C16" s="260"/>
      <c r="D16" s="254"/>
      <c r="E16" s="254"/>
      <c r="F16" s="326" t="s">
        <v>793</v>
      </c>
      <c r="G16" s="261"/>
      <c r="H16" s="259"/>
      <c r="J16" s="430" t="s">
        <v>828</v>
      </c>
      <c r="K16" s="431"/>
      <c r="L16" s="431"/>
      <c r="M16" s="431"/>
      <c r="N16" s="437"/>
    </row>
    <row r="17" spans="1:14" ht="15.75" x14ac:dyDescent="0.25">
      <c r="A17" s="455"/>
      <c r="C17" s="262" t="s">
        <v>573</v>
      </c>
      <c r="D17" s="263">
        <f>IF(F10="  Inner Area, Ai",1/((1/hTube)+D9+(((1/hAnn)+D11)*(IDInner/ODInner))+(((WallThickness/1000)/WallThermalCond))*(IDInner/((IDInner+ODInner)/2))),1/((1/hAnn)+D11+(((1/hTube)+D9)*(ODInner/IDInner))+(((WallThickness/1000)/WallThermalCond))*(ODInner/((IDInner+ODInner)/2))))</f>
        <v>516.5304939930636</v>
      </c>
      <c r="E17" s="264" t="s">
        <v>777</v>
      </c>
      <c r="F17" s="325" t="str">
        <f>IF(F10="  Inner Area, Ai","            Transfer Area,  Ai =","              Transfer Area, Ao =")</f>
        <v xml:space="preserve">              Transfer Area, Ao =</v>
      </c>
      <c r="G17" s="361">
        <f>D15/(D17*G15)</f>
        <v>2.5186677912939746</v>
      </c>
      <c r="H17" s="320" t="s">
        <v>778</v>
      </c>
      <c r="J17" s="28"/>
      <c r="K17" s="281"/>
      <c r="L17" s="281"/>
      <c r="M17" s="281"/>
      <c r="N17" s="282"/>
    </row>
    <row r="18" spans="1:14" ht="15.75" customHeight="1" thickBot="1" x14ac:dyDescent="0.25">
      <c r="A18" s="455"/>
      <c r="C18" s="324" t="str">
        <f>IF(F10="  Inner Area, Ai","        (for HT area = Ai)","            (for HT area = Ao)")</f>
        <v xml:space="preserve">            (for HT area = Ao)</v>
      </c>
      <c r="D18" s="265"/>
      <c r="E18" s="265"/>
      <c r="F18" s="265"/>
      <c r="G18" s="265"/>
      <c r="H18" s="266"/>
      <c r="J18" s="28" t="s">
        <v>243</v>
      </c>
      <c r="K18" s="281"/>
      <c r="L18" s="281"/>
      <c r="M18" s="281"/>
      <c r="N18" s="282"/>
    </row>
    <row r="19" spans="1:14" ht="18" customHeight="1" x14ac:dyDescent="0.2">
      <c r="A19" s="455"/>
      <c r="D19" s="330"/>
      <c r="E19" s="330"/>
      <c r="J19" s="28"/>
      <c r="K19" s="29"/>
      <c r="L19" s="29"/>
      <c r="M19" s="29"/>
      <c r="N19" s="30"/>
    </row>
    <row r="20" spans="1:14" ht="15.75" customHeight="1" thickBot="1" x14ac:dyDescent="0.25">
      <c r="J20" s="430" t="s">
        <v>829</v>
      </c>
      <c r="K20" s="431"/>
      <c r="L20" s="431"/>
      <c r="M20" s="431"/>
      <c r="N20" s="437"/>
    </row>
    <row r="21" spans="1:14" ht="18" customHeight="1" x14ac:dyDescent="0.25">
      <c r="A21" s="455" t="s">
        <v>201</v>
      </c>
      <c r="C21" s="378" t="s">
        <v>650</v>
      </c>
      <c r="D21" s="429"/>
      <c r="E21" s="379"/>
      <c r="F21" s="59"/>
      <c r="J21" s="28"/>
      <c r="K21" s="29"/>
      <c r="L21" s="29"/>
      <c r="M21" s="29"/>
      <c r="N21" s="30"/>
    </row>
    <row r="22" spans="1:14" ht="18" customHeight="1" x14ac:dyDescent="0.25">
      <c r="A22" s="455"/>
      <c r="C22" s="4"/>
      <c r="D22" s="15"/>
      <c r="E22" s="5"/>
      <c r="F22" s="59"/>
      <c r="J22" s="368" t="s">
        <v>233</v>
      </c>
      <c r="K22" s="369"/>
      <c r="L22" s="369"/>
      <c r="M22" s="369"/>
      <c r="N22" s="370"/>
    </row>
    <row r="23" spans="1:14" ht="15.75" customHeight="1" x14ac:dyDescent="0.2">
      <c r="A23" s="455"/>
      <c r="C23" s="243" t="str">
        <f>IF(G11="Inner Area, Ai","           I.D. of Inner Tube  =","              O.D. of Inner tube  =")</f>
        <v xml:space="preserve">              O.D. of Inner tube  =</v>
      </c>
      <c r="D23" s="304">
        <f>IF(F10="  Inner Area, Ai",IDInner,ODInner)</f>
        <v>42.164000000000001</v>
      </c>
      <c r="E23" s="247" t="s">
        <v>768</v>
      </c>
      <c r="J23" s="28"/>
      <c r="K23" s="29"/>
      <c r="L23" s="29"/>
      <c r="M23" s="29"/>
      <c r="N23" s="30"/>
    </row>
    <row r="24" spans="1:14" x14ac:dyDescent="0.2">
      <c r="A24" s="455"/>
      <c r="C24" s="4"/>
      <c r="D24" s="261"/>
      <c r="E24" s="43"/>
      <c r="J24" s="28" t="s">
        <v>114</v>
      </c>
      <c r="K24" s="32"/>
      <c r="L24" s="32"/>
      <c r="M24" s="32"/>
      <c r="N24" s="33"/>
    </row>
    <row r="25" spans="1:14" ht="16.5" customHeight="1" x14ac:dyDescent="0.25">
      <c r="A25" s="455"/>
      <c r="C25" s="243" t="s">
        <v>651</v>
      </c>
      <c r="D25" s="290">
        <f>G17/(PI()*(D23/1000))</f>
        <v>19.014250497617983</v>
      </c>
      <c r="E25" s="247" t="s">
        <v>770</v>
      </c>
      <c r="J25" s="430" t="s">
        <v>878</v>
      </c>
      <c r="K25" s="431"/>
      <c r="L25" s="431"/>
      <c r="M25" s="431"/>
      <c r="N25" s="437"/>
    </row>
    <row r="26" spans="1:14" ht="16.5" customHeight="1" thickBot="1" x14ac:dyDescent="0.25">
      <c r="A26" s="455"/>
      <c r="C26" s="6"/>
      <c r="D26" s="22"/>
      <c r="E26" s="78"/>
      <c r="J26" s="430" t="s">
        <v>868</v>
      </c>
      <c r="K26" s="431"/>
      <c r="L26" s="431"/>
      <c r="M26" s="431"/>
      <c r="N26" s="437"/>
    </row>
    <row r="27" spans="1:14" ht="18" customHeight="1" thickBot="1" x14ac:dyDescent="0.3">
      <c r="A27" s="455"/>
      <c r="F27" s="185"/>
      <c r="J27" s="38"/>
      <c r="K27" s="37"/>
      <c r="L27" s="29"/>
      <c r="M27" s="29"/>
      <c r="N27" s="30"/>
    </row>
    <row r="28" spans="1:14" ht="17.25" customHeight="1" x14ac:dyDescent="0.2">
      <c r="A28" s="455"/>
      <c r="C28" s="378" t="s">
        <v>794</v>
      </c>
      <c r="D28" s="429"/>
      <c r="E28" s="379"/>
      <c r="F28" s="378" t="s">
        <v>653</v>
      </c>
      <c r="G28" s="429"/>
      <c r="H28" s="379"/>
      <c r="J28" s="31"/>
      <c r="K28" s="349" t="s">
        <v>110</v>
      </c>
      <c r="L28" s="350"/>
      <c r="M28" s="350"/>
      <c r="N28" s="33"/>
    </row>
    <row r="29" spans="1:14" ht="18" customHeight="1" x14ac:dyDescent="0.2">
      <c r="A29" s="455"/>
      <c r="C29" s="4"/>
      <c r="D29" s="15"/>
      <c r="E29" s="5"/>
      <c r="F29" s="4"/>
      <c r="G29" s="15"/>
      <c r="H29" s="5"/>
      <c r="J29" s="28" t="s">
        <v>108</v>
      </c>
      <c r="K29" s="29"/>
      <c r="L29" s="29"/>
      <c r="M29" s="29"/>
      <c r="N29" s="30"/>
    </row>
    <row r="30" spans="1:14" ht="18.75" x14ac:dyDescent="0.35">
      <c r="A30" s="455"/>
      <c r="C30" s="243" t="s">
        <v>795</v>
      </c>
      <c r="D30" s="327">
        <f>IF(TSurfTube&lt;TempBMOne,TempBMOne-(D15/(hTube*G17)),TempBMOne+(D15/(hTube*G17)))</f>
        <v>48.717736791260606</v>
      </c>
      <c r="E30" s="247" t="s">
        <v>767</v>
      </c>
      <c r="F30" s="4" t="s">
        <v>202</v>
      </c>
      <c r="G30" s="69">
        <v>4</v>
      </c>
      <c r="H30" s="43"/>
      <c r="J30" s="80" t="s">
        <v>234</v>
      </c>
      <c r="K30" s="29"/>
      <c r="L30" s="29"/>
      <c r="M30" s="29"/>
      <c r="N30" s="33"/>
    </row>
    <row r="31" spans="1:14" ht="19.5" customHeight="1" thickBot="1" x14ac:dyDescent="0.25">
      <c r="A31" s="455"/>
      <c r="C31" s="6"/>
      <c r="D31" s="328"/>
      <c r="E31" s="78"/>
      <c r="F31" s="4"/>
      <c r="G31" s="10"/>
      <c r="H31" s="43"/>
      <c r="J31" s="28"/>
      <c r="K31" s="29"/>
      <c r="L31" s="32"/>
      <c r="M31" s="32"/>
      <c r="N31" s="33"/>
    </row>
    <row r="32" spans="1:14" ht="18.75" x14ac:dyDescent="0.35">
      <c r="A32" s="455"/>
      <c r="C32" s="195" t="s">
        <v>797</v>
      </c>
      <c r="F32" s="243" t="s">
        <v>654</v>
      </c>
      <c r="G32" s="263">
        <f>D25/G30</f>
        <v>4.7535626244044957</v>
      </c>
      <c r="H32" s="247" t="s">
        <v>770</v>
      </c>
      <c r="J32" s="28" t="s">
        <v>115</v>
      </c>
      <c r="K32" s="82"/>
      <c r="L32" s="29"/>
      <c r="M32" s="29"/>
      <c r="N32" s="30"/>
    </row>
    <row r="33" spans="1:14" ht="18" customHeight="1" x14ac:dyDescent="0.2">
      <c r="A33" s="455"/>
      <c r="C33" s="195" t="s">
        <v>796</v>
      </c>
      <c r="F33" s="4"/>
      <c r="G33" s="15"/>
      <c r="H33" s="5"/>
      <c r="J33" s="80" t="s">
        <v>109</v>
      </c>
      <c r="K33" s="82"/>
      <c r="L33" s="42"/>
      <c r="M33" s="42"/>
      <c r="N33" s="30"/>
    </row>
    <row r="34" spans="1:14" ht="18.75" x14ac:dyDescent="0.35">
      <c r="A34" s="455"/>
      <c r="C34" s="329" t="s">
        <v>863</v>
      </c>
      <c r="F34" s="44" t="s">
        <v>203</v>
      </c>
      <c r="G34" s="114">
        <f>G30-1</f>
        <v>3</v>
      </c>
      <c r="H34" s="43"/>
      <c r="J34" s="38"/>
      <c r="K34" s="37"/>
      <c r="L34" s="29"/>
      <c r="M34" s="29"/>
      <c r="N34" s="30"/>
    </row>
    <row r="35" spans="1:14" ht="18" customHeight="1" thickBot="1" x14ac:dyDescent="0.25">
      <c r="A35" s="455"/>
      <c r="C35" s="329" t="s">
        <v>864</v>
      </c>
      <c r="F35" s="6"/>
      <c r="G35" s="40"/>
      <c r="H35" s="18"/>
      <c r="J35" s="430" t="s">
        <v>879</v>
      </c>
      <c r="K35" s="431"/>
      <c r="L35" s="431"/>
      <c r="M35" s="29"/>
      <c r="N35" s="30"/>
    </row>
    <row r="36" spans="1:14" x14ac:dyDescent="0.2">
      <c r="F36" s="229" t="s">
        <v>579</v>
      </c>
      <c r="J36" s="430" t="s">
        <v>880</v>
      </c>
      <c r="K36" s="431"/>
      <c r="L36" s="431"/>
      <c r="M36" s="29"/>
      <c r="N36" s="30"/>
    </row>
    <row r="37" spans="1:14" ht="17.25" customHeight="1" x14ac:dyDescent="0.2">
      <c r="F37" s="229" t="s">
        <v>664</v>
      </c>
      <c r="J37" s="41" t="s">
        <v>111</v>
      </c>
      <c r="K37" s="42"/>
      <c r="L37" s="42"/>
      <c r="M37" s="42"/>
      <c r="N37" s="30"/>
    </row>
    <row r="38" spans="1:14" ht="17.25" customHeight="1" x14ac:dyDescent="0.35">
      <c r="A38" s="455" t="s">
        <v>220</v>
      </c>
      <c r="C38" s="79" t="s">
        <v>222</v>
      </c>
      <c r="F38" s="229" t="s">
        <v>818</v>
      </c>
      <c r="J38" s="41" t="s">
        <v>112</v>
      </c>
      <c r="K38" s="42"/>
      <c r="L38" s="42"/>
      <c r="M38" s="42"/>
      <c r="N38" s="30"/>
    </row>
    <row r="39" spans="1:14" ht="18.75" customHeight="1" thickBot="1" x14ac:dyDescent="0.25">
      <c r="A39" s="455"/>
      <c r="J39" s="41"/>
      <c r="K39" s="42"/>
      <c r="L39" s="42"/>
      <c r="M39" s="42"/>
      <c r="N39" s="30"/>
    </row>
    <row r="40" spans="1:14" ht="16.5" customHeight="1" x14ac:dyDescent="0.3">
      <c r="A40" s="455"/>
      <c r="C40" s="459" t="s">
        <v>225</v>
      </c>
      <c r="D40" s="460"/>
      <c r="E40" s="461"/>
      <c r="J40" s="49" t="s">
        <v>113</v>
      </c>
      <c r="K40" s="42"/>
      <c r="L40" s="42"/>
      <c r="M40" s="42"/>
      <c r="N40" s="30"/>
    </row>
    <row r="41" spans="1:14" ht="23.25" customHeight="1" thickBot="1" x14ac:dyDescent="0.3">
      <c r="A41" s="455"/>
      <c r="C41" s="115" t="s">
        <v>655</v>
      </c>
      <c r="D41" s="69">
        <v>1.5200000000000001E-4</v>
      </c>
      <c r="E41" s="247" t="s">
        <v>768</v>
      </c>
      <c r="J41" s="81"/>
      <c r="K41" s="45"/>
      <c r="L41" s="45"/>
      <c r="M41" s="45"/>
      <c r="N41" s="36"/>
    </row>
    <row r="42" spans="1:14" ht="14.25" customHeight="1" x14ac:dyDescent="0.2">
      <c r="A42" s="455"/>
      <c r="C42" s="125" t="s">
        <v>223</v>
      </c>
      <c r="D42" s="334"/>
      <c r="E42" s="5"/>
    </row>
    <row r="43" spans="1:14" ht="15.75" x14ac:dyDescent="0.25">
      <c r="A43" s="455"/>
      <c r="C43" s="115" t="s">
        <v>224</v>
      </c>
      <c r="D43" s="69">
        <v>1.5</v>
      </c>
      <c r="E43" s="43"/>
    </row>
    <row r="44" spans="1:14" ht="23.25" customHeight="1" thickBot="1" x14ac:dyDescent="0.25">
      <c r="A44" s="455"/>
      <c r="C44" s="302" t="s">
        <v>659</v>
      </c>
      <c r="D44" s="40"/>
      <c r="E44" s="18"/>
    </row>
    <row r="45" spans="1:14" ht="17.25" customHeight="1" thickBot="1" x14ac:dyDescent="0.25">
      <c r="A45" s="455"/>
    </row>
    <row r="46" spans="1:14" ht="12.75" customHeight="1" x14ac:dyDescent="0.2">
      <c r="A46" s="455"/>
      <c r="C46" s="378" t="s">
        <v>204</v>
      </c>
      <c r="D46" s="429"/>
      <c r="E46" s="379"/>
    </row>
    <row r="47" spans="1:14" x14ac:dyDescent="0.2">
      <c r="A47" s="455"/>
      <c r="C47" s="4"/>
      <c r="D47" s="15"/>
      <c r="E47" s="5"/>
    </row>
    <row r="48" spans="1:14" ht="18" customHeight="1" x14ac:dyDescent="0.25">
      <c r="A48" s="455"/>
      <c r="C48" s="243" t="s">
        <v>656</v>
      </c>
      <c r="D48" s="116">
        <f>D23/1000</f>
        <v>4.2164E-2</v>
      </c>
      <c r="E48" s="247" t="s">
        <v>770</v>
      </c>
    </row>
    <row r="49" spans="1:11" ht="15" x14ac:dyDescent="0.25">
      <c r="A49" s="455"/>
      <c r="C49" s="4"/>
      <c r="D49" s="15"/>
      <c r="E49" s="43"/>
      <c r="F49" s="59" t="s">
        <v>246</v>
      </c>
      <c r="H49" s="26"/>
      <c r="I49" s="26"/>
    </row>
    <row r="50" spans="1:11" ht="17.25" customHeight="1" x14ac:dyDescent="0.25">
      <c r="A50" s="455"/>
      <c r="C50" s="4" t="s">
        <v>205</v>
      </c>
      <c r="D50" s="116">
        <f>PI()*(D48^2)/4</f>
        <v>1.3962831294010648E-3</v>
      </c>
      <c r="E50" s="247" t="s">
        <v>778</v>
      </c>
      <c r="F50" s="59" t="s">
        <v>245</v>
      </c>
    </row>
    <row r="51" spans="1:11" ht="12.75" customHeight="1" x14ac:dyDescent="0.2">
      <c r="A51" s="455"/>
      <c r="C51" s="4"/>
      <c r="D51" s="15"/>
      <c r="E51" s="43"/>
    </row>
    <row r="52" spans="1:11" ht="16.5" thickBot="1" x14ac:dyDescent="0.3">
      <c r="A52" s="455"/>
      <c r="C52" s="6" t="s">
        <v>206</v>
      </c>
      <c r="D52" s="117">
        <f>(FlowRateTube/D50)</f>
        <v>0.71618712490564118</v>
      </c>
      <c r="E52" s="321" t="s">
        <v>779</v>
      </c>
      <c r="F52" s="462" t="s">
        <v>840</v>
      </c>
      <c r="G52" s="463"/>
      <c r="H52" s="463"/>
      <c r="I52" s="463"/>
      <c r="J52" s="463"/>
      <c r="K52" s="463"/>
    </row>
    <row r="53" spans="1:11" ht="15.75" customHeight="1" thickBot="1" x14ac:dyDescent="0.25">
      <c r="A53" s="455"/>
    </row>
    <row r="54" spans="1:11" x14ac:dyDescent="0.2">
      <c r="A54" s="455"/>
      <c r="C54" s="447" t="s">
        <v>210</v>
      </c>
      <c r="D54" s="448"/>
      <c r="F54" s="369" t="s">
        <v>209</v>
      </c>
      <c r="G54" s="369"/>
    </row>
    <row r="55" spans="1:11" ht="15.75" customHeight="1" x14ac:dyDescent="0.2">
      <c r="A55" s="455"/>
      <c r="C55" s="442"/>
      <c r="D55" s="443"/>
      <c r="F55" s="118"/>
      <c r="G55" s="118"/>
    </row>
    <row r="56" spans="1:11" x14ac:dyDescent="0.2">
      <c r="A56" s="455"/>
      <c r="C56" s="4" t="s">
        <v>211</v>
      </c>
      <c r="D56" s="119">
        <f>D48*D52*DensityOne/ViscosityOne</f>
        <v>83204.120627978686</v>
      </c>
      <c r="F56" s="118" t="s">
        <v>240</v>
      </c>
      <c r="G56" s="118"/>
    </row>
    <row r="57" spans="1:11" x14ac:dyDescent="0.2">
      <c r="A57" s="455"/>
      <c r="C57" s="438"/>
      <c r="D57" s="439"/>
      <c r="F57" s="118" t="s">
        <v>212</v>
      </c>
      <c r="G57" s="118"/>
    </row>
    <row r="58" spans="1:11" x14ac:dyDescent="0.2">
      <c r="A58" s="455"/>
      <c r="C58" s="4" t="s">
        <v>216</v>
      </c>
      <c r="D58" s="120">
        <f>VALUE(D171)</f>
        <v>4.6801000654697611E-3</v>
      </c>
      <c r="E58" s="25"/>
      <c r="F58" s="118" t="s">
        <v>213</v>
      </c>
      <c r="G58" s="118"/>
    </row>
    <row r="59" spans="1:11" ht="19.5" customHeight="1" thickBot="1" x14ac:dyDescent="0.25">
      <c r="A59" s="455"/>
      <c r="C59" s="440"/>
      <c r="D59" s="441"/>
      <c r="E59" s="25"/>
      <c r="F59" s="118" t="s">
        <v>214</v>
      </c>
      <c r="G59" s="118"/>
    </row>
    <row r="60" spans="1:11" ht="13.5" thickBot="1" x14ac:dyDescent="0.25">
      <c r="A60" s="455"/>
      <c r="E60" s="25"/>
      <c r="F60" s="118"/>
      <c r="G60" s="118"/>
    </row>
    <row r="61" spans="1:11" ht="17.25" customHeight="1" x14ac:dyDescent="0.2">
      <c r="A61" s="455"/>
      <c r="C61" s="378" t="s">
        <v>244</v>
      </c>
      <c r="D61" s="429"/>
      <c r="E61" s="379"/>
    </row>
    <row r="62" spans="1:11" ht="15" x14ac:dyDescent="0.25">
      <c r="A62" s="455"/>
      <c r="C62" s="456" t="s">
        <v>226</v>
      </c>
      <c r="D62" s="457"/>
      <c r="E62" s="458"/>
    </row>
    <row r="63" spans="1:11" ht="15" customHeight="1" x14ac:dyDescent="0.2">
      <c r="A63" s="455"/>
      <c r="C63" s="4"/>
      <c r="D63" s="15"/>
      <c r="E63" s="5"/>
    </row>
    <row r="64" spans="1:11" ht="18.75" x14ac:dyDescent="0.35">
      <c r="A64" s="455"/>
      <c r="C64" s="4" t="s">
        <v>215</v>
      </c>
      <c r="D64" s="121">
        <f>(2*(DensityOne)*D58*(D25/(D48))*((D52^2)))+(2*DensityOne*G34*D43*((D52^2)))</f>
        <v>5803.9440272337797</v>
      </c>
      <c r="E64" s="247" t="s">
        <v>780</v>
      </c>
    </row>
    <row r="65" spans="1:5" ht="18.75" x14ac:dyDescent="0.35">
      <c r="A65" s="455"/>
      <c r="C65" s="4" t="s">
        <v>215</v>
      </c>
      <c r="D65" s="122">
        <f>D64/1000</f>
        <v>5.8039440272337801</v>
      </c>
      <c r="E65" s="247" t="s">
        <v>781</v>
      </c>
    </row>
    <row r="66" spans="1:5" ht="13.5" thickBot="1" x14ac:dyDescent="0.25">
      <c r="A66" s="455"/>
      <c r="C66" s="6"/>
      <c r="D66" s="141"/>
      <c r="E66" s="78"/>
    </row>
    <row r="67" spans="1:5" ht="16.5" customHeight="1" x14ac:dyDescent="0.2">
      <c r="A67" s="455"/>
    </row>
    <row r="68" spans="1:5" x14ac:dyDescent="0.2">
      <c r="A68" s="455"/>
      <c r="C68" s="268" t="s">
        <v>657</v>
      </c>
    </row>
    <row r="69" spans="1:5" ht="14.25" customHeight="1" x14ac:dyDescent="0.2">
      <c r="A69" s="455"/>
      <c r="C69" s="268" t="s">
        <v>658</v>
      </c>
    </row>
    <row r="70" spans="1:5" x14ac:dyDescent="0.2">
      <c r="A70" s="455"/>
      <c r="C70" s="268" t="s">
        <v>580</v>
      </c>
    </row>
    <row r="71" spans="1:5" x14ac:dyDescent="0.2">
      <c r="A71" s="455"/>
    </row>
    <row r="72" spans="1:5" ht="17.25" customHeight="1" x14ac:dyDescent="0.2">
      <c r="A72" s="455"/>
    </row>
    <row r="73" spans="1:5" ht="17.25" customHeight="1" x14ac:dyDescent="0.2"/>
    <row r="74" spans="1:5" ht="18" customHeight="1" x14ac:dyDescent="0.25">
      <c r="A74" s="455" t="s">
        <v>574</v>
      </c>
      <c r="C74" s="79" t="s">
        <v>667</v>
      </c>
    </row>
    <row r="75" spans="1:5" ht="12" customHeight="1" thickBot="1" x14ac:dyDescent="0.25">
      <c r="A75" s="455"/>
    </row>
    <row r="76" spans="1:5" ht="17.25" customHeight="1" x14ac:dyDescent="0.2">
      <c r="A76" s="455"/>
      <c r="C76" s="444" t="s">
        <v>225</v>
      </c>
      <c r="D76" s="445"/>
      <c r="E76" s="446"/>
    </row>
    <row r="77" spans="1:5" ht="20.25" customHeight="1" x14ac:dyDescent="0.25">
      <c r="A77" s="455"/>
      <c r="C77" s="115" t="s">
        <v>655</v>
      </c>
      <c r="D77" s="69">
        <v>1.5200000000000001E-4</v>
      </c>
      <c r="E77" s="247" t="s">
        <v>768</v>
      </c>
    </row>
    <row r="78" spans="1:5" ht="18.75" customHeight="1" x14ac:dyDescent="0.2">
      <c r="A78" s="455"/>
      <c r="C78" s="125" t="s">
        <v>223</v>
      </c>
      <c r="D78" s="334"/>
      <c r="E78" s="5"/>
    </row>
    <row r="79" spans="1:5" ht="16.5" customHeight="1" x14ac:dyDescent="0.25">
      <c r="A79" s="455"/>
      <c r="C79" s="115" t="s">
        <v>224</v>
      </c>
      <c r="D79" s="69">
        <v>1.5</v>
      </c>
      <c r="E79" s="43"/>
    </row>
    <row r="80" spans="1:5" ht="20.25" customHeight="1" thickBot="1" x14ac:dyDescent="0.25">
      <c r="A80" s="455"/>
      <c r="C80" s="302" t="s">
        <v>659</v>
      </c>
      <c r="D80" s="40"/>
      <c r="E80" s="18"/>
    </row>
    <row r="81" spans="1:7" ht="18" customHeight="1" thickBot="1" x14ac:dyDescent="0.25">
      <c r="A81" s="455"/>
    </row>
    <row r="82" spans="1:7" ht="18.75" customHeight="1" x14ac:dyDescent="0.2">
      <c r="A82" s="455"/>
      <c r="C82" s="378" t="s">
        <v>204</v>
      </c>
      <c r="D82" s="429"/>
      <c r="E82" s="379"/>
    </row>
    <row r="83" spans="1:7" x14ac:dyDescent="0.2">
      <c r="A83" s="455"/>
      <c r="C83" s="4"/>
      <c r="D83" s="15"/>
      <c r="E83" s="5"/>
    </row>
    <row r="84" spans="1:7" ht="19.5" customHeight="1" x14ac:dyDescent="0.35">
      <c r="A84" s="455"/>
      <c r="C84" s="4" t="s">
        <v>227</v>
      </c>
      <c r="D84" s="116">
        <f>(IDOuter-ODInner)/1000</f>
        <v>1.0336999999999995E-2</v>
      </c>
      <c r="E84" s="247" t="s">
        <v>770</v>
      </c>
      <c r="F84" s="59" t="s">
        <v>247</v>
      </c>
    </row>
    <row r="85" spans="1:7" ht="15" x14ac:dyDescent="0.25">
      <c r="A85" s="455"/>
      <c r="C85" s="4"/>
      <c r="D85" s="15"/>
      <c r="E85" s="43"/>
      <c r="F85" s="59" t="s">
        <v>652</v>
      </c>
    </row>
    <row r="86" spans="1:7" ht="18" customHeight="1" x14ac:dyDescent="0.25">
      <c r="A86" s="455"/>
      <c r="C86" s="4" t="s">
        <v>205</v>
      </c>
      <c r="D86" s="269">
        <f>PI()*((IDOuter/2000)^2-(ODInner/2000)^2)</f>
        <v>7.685530260557068E-4</v>
      </c>
      <c r="E86" s="247" t="s">
        <v>778</v>
      </c>
    </row>
    <row r="87" spans="1:7" ht="15" x14ac:dyDescent="0.25">
      <c r="A87" s="455"/>
      <c r="C87" s="4"/>
      <c r="D87" s="15"/>
      <c r="E87" s="43"/>
      <c r="F87" s="59" t="s">
        <v>246</v>
      </c>
    </row>
    <row r="88" spans="1:7" ht="15" customHeight="1" thickBot="1" x14ac:dyDescent="0.3">
      <c r="A88" s="455"/>
      <c r="C88" s="6" t="s">
        <v>206</v>
      </c>
      <c r="D88" s="123">
        <f>VelocityAnnulus</f>
        <v>0.42154326009060711</v>
      </c>
      <c r="E88" s="321" t="s">
        <v>779</v>
      </c>
      <c r="F88" s="59" t="s">
        <v>245</v>
      </c>
    </row>
    <row r="89" spans="1:7" ht="13.5" thickBot="1" x14ac:dyDescent="0.25">
      <c r="A89" s="455"/>
    </row>
    <row r="90" spans="1:7" ht="18" customHeight="1" x14ac:dyDescent="0.2">
      <c r="A90" s="455"/>
      <c r="C90" s="447" t="s">
        <v>210</v>
      </c>
      <c r="D90" s="448"/>
      <c r="F90" s="369" t="s">
        <v>209</v>
      </c>
      <c r="G90" s="369"/>
    </row>
    <row r="91" spans="1:7" x14ac:dyDescent="0.2">
      <c r="A91" s="455"/>
      <c r="C91" s="442"/>
      <c r="D91" s="443"/>
      <c r="F91" s="118"/>
      <c r="G91" s="118"/>
    </row>
    <row r="92" spans="1:7" ht="18" customHeight="1" x14ac:dyDescent="0.2">
      <c r="A92" s="455"/>
      <c r="C92" s="4" t="s">
        <v>211</v>
      </c>
      <c r="D92" s="119">
        <f>D84*D88*DensityTwo/ViscosityTwo</f>
        <v>5170.2307659883936</v>
      </c>
      <c r="F92" s="118" t="s">
        <v>241</v>
      </c>
      <c r="G92" s="118"/>
    </row>
    <row r="93" spans="1:7" ht="13.5" customHeight="1" x14ac:dyDescent="0.2">
      <c r="A93" s="455"/>
      <c r="C93" s="438"/>
      <c r="D93" s="439"/>
      <c r="F93" s="118" t="s">
        <v>212</v>
      </c>
      <c r="G93" s="118"/>
    </row>
    <row r="94" spans="1:7" ht="18" customHeight="1" x14ac:dyDescent="0.2">
      <c r="A94" s="455"/>
      <c r="C94" s="4" t="s">
        <v>216</v>
      </c>
      <c r="D94" s="120">
        <f>VALUE(G171)</f>
        <v>9.2650704051739988E-3</v>
      </c>
      <c r="E94" s="25"/>
      <c r="F94" s="118" t="s">
        <v>213</v>
      </c>
      <c r="G94" s="118"/>
    </row>
    <row r="95" spans="1:7" ht="13.5" thickBot="1" x14ac:dyDescent="0.25">
      <c r="A95" s="455"/>
      <c r="C95" s="440"/>
      <c r="D95" s="441"/>
      <c r="E95" s="25"/>
      <c r="F95" s="118" t="s">
        <v>214</v>
      </c>
      <c r="G95" s="118"/>
    </row>
    <row r="96" spans="1:7" ht="15.75" customHeight="1" thickBot="1" x14ac:dyDescent="0.25">
      <c r="A96" s="455"/>
      <c r="E96" s="25"/>
      <c r="F96" s="118"/>
      <c r="G96" s="118"/>
    </row>
    <row r="97" spans="1:5" ht="18" customHeight="1" x14ac:dyDescent="0.2">
      <c r="A97" s="455"/>
      <c r="C97" s="378" t="s">
        <v>244</v>
      </c>
      <c r="D97" s="429"/>
      <c r="E97" s="379"/>
    </row>
    <row r="98" spans="1:5" ht="15.75" customHeight="1" x14ac:dyDescent="0.25">
      <c r="A98" s="455"/>
      <c r="C98" s="456" t="s">
        <v>660</v>
      </c>
      <c r="D98" s="457"/>
      <c r="E98" s="458"/>
    </row>
    <row r="99" spans="1:5" x14ac:dyDescent="0.2">
      <c r="A99" s="455"/>
      <c r="C99" s="4"/>
      <c r="D99" s="15"/>
      <c r="E99" s="5"/>
    </row>
    <row r="100" spans="1:5" ht="18.75" x14ac:dyDescent="0.35">
      <c r="A100" s="455"/>
      <c r="C100" s="4" t="s">
        <v>215</v>
      </c>
      <c r="D100" s="139">
        <f>(2*(DensityTwo)*D94*(D25/(D84))*((D88^2)))+(2*DensityTwo*D79*G34*((D88^2)))</f>
        <v>7604.0275737187421</v>
      </c>
      <c r="E100" s="247" t="s">
        <v>780</v>
      </c>
    </row>
    <row r="101" spans="1:5" ht="18.75" x14ac:dyDescent="0.35">
      <c r="A101" s="455"/>
      <c r="C101" s="4" t="s">
        <v>215</v>
      </c>
      <c r="D101" s="122">
        <f>D100/1000</f>
        <v>7.6040275737187422</v>
      </c>
      <c r="E101" s="247" t="s">
        <v>781</v>
      </c>
    </row>
    <row r="102" spans="1:5" ht="13.5" thickBot="1" x14ac:dyDescent="0.25">
      <c r="A102" s="455"/>
      <c r="C102" s="6"/>
      <c r="D102" s="140"/>
      <c r="E102" s="78"/>
    </row>
    <row r="103" spans="1:5" ht="15" customHeight="1" x14ac:dyDescent="0.2">
      <c r="A103" s="455"/>
    </row>
    <row r="104" spans="1:5" x14ac:dyDescent="0.2">
      <c r="A104" s="455"/>
      <c r="C104" s="268" t="s">
        <v>661</v>
      </c>
    </row>
    <row r="105" spans="1:5" x14ac:dyDescent="0.2">
      <c r="A105" s="455"/>
      <c r="C105" s="268" t="s">
        <v>662</v>
      </c>
    </row>
    <row r="106" spans="1:5" x14ac:dyDescent="0.2">
      <c r="C106" s="268" t="s">
        <v>581</v>
      </c>
    </row>
    <row r="109" spans="1:5" ht="14.25" x14ac:dyDescent="0.2">
      <c r="C109" s="205" t="s">
        <v>841</v>
      </c>
    </row>
    <row r="140" spans="1:1" ht="15" x14ac:dyDescent="0.25">
      <c r="A140" s="79" t="s">
        <v>814</v>
      </c>
    </row>
    <row r="141" spans="1:1" ht="15" x14ac:dyDescent="0.25">
      <c r="A141" s="79" t="s">
        <v>815</v>
      </c>
    </row>
    <row r="152" spans="3:7" ht="15" x14ac:dyDescent="0.25">
      <c r="C152" s="79" t="s">
        <v>237</v>
      </c>
    </row>
    <row r="154" spans="3:7" x14ac:dyDescent="0.2">
      <c r="C154" s="129" t="s">
        <v>235</v>
      </c>
      <c r="F154" s="129" t="s">
        <v>236</v>
      </c>
    </row>
    <row r="155" spans="3:7" ht="13.5" thickBot="1" x14ac:dyDescent="0.25"/>
    <row r="156" spans="3:7" x14ac:dyDescent="0.2">
      <c r="C156" s="378" t="s">
        <v>86</v>
      </c>
      <c r="D156" s="379"/>
      <c r="F156" s="378" t="s">
        <v>86</v>
      </c>
      <c r="G156" s="379"/>
    </row>
    <row r="157" spans="3:7" ht="13.5" thickBot="1" x14ac:dyDescent="0.25">
      <c r="C157" s="6" t="s">
        <v>89</v>
      </c>
      <c r="D157" s="56">
        <f>((-4)*LOG((0.27*D$41/D$23)+((7/D$56))^0.9))^(-2)</f>
        <v>4.6515156988482659E-3</v>
      </c>
      <c r="F157" s="6" t="s">
        <v>89</v>
      </c>
      <c r="G157" s="56">
        <f>((-4)*LOG((0.27*D$77/(D$84*1000))+((7/D$92))^0.9))^(-2)</f>
        <v>9.3828158158575092E-3</v>
      </c>
    </row>
    <row r="158" spans="3:7" ht="13.5" thickBot="1" x14ac:dyDescent="0.25"/>
    <row r="159" spans="3:7" x14ac:dyDescent="0.2">
      <c r="C159" s="378" t="s">
        <v>87</v>
      </c>
      <c r="D159" s="379"/>
      <c r="F159" s="378" t="s">
        <v>87</v>
      </c>
      <c r="G159" s="379"/>
    </row>
    <row r="160" spans="3:7" x14ac:dyDescent="0.2">
      <c r="C160" s="4" t="s">
        <v>90</v>
      </c>
      <c r="D160" s="54">
        <f>((-4)*(LOG((D$41/(D$23*3.7))+(1.256/(D$56*(D157^0.5))))))^(-2)</f>
        <v>4.6834944086587334E-3</v>
      </c>
      <c r="F160" s="4" t="s">
        <v>90</v>
      </c>
      <c r="G160" s="54">
        <f>((-4)*(LOG((D$77/(D$84*1000*3.7))+(1.256/(D$92*(G157^0.5))))))^(-2)</f>
        <v>9.2455676601979845E-3</v>
      </c>
    </row>
    <row r="161" spans="3:7" x14ac:dyDescent="0.2">
      <c r="C161" s="4" t="s">
        <v>91</v>
      </c>
      <c r="D161" s="54">
        <f t="shared" ref="D161:D171" si="0">((-4)*(LOG((D$41/(D$23*3.7))+(1.256/(D$56*(D160^0.5))))))^(-2)</f>
        <v>4.6796986182329071E-3</v>
      </c>
      <c r="F161" s="4" t="s">
        <v>91</v>
      </c>
      <c r="G161" s="54">
        <f t="shared" ref="G161:G171" si="1">((-4)*(LOG((D$77/(D$84*1000*3.7))+(1.256/(D$92*(G160^0.5))))))^(-2)</f>
        <v>9.2683306747467428E-3</v>
      </c>
    </row>
    <row r="162" spans="3:7" x14ac:dyDescent="0.2">
      <c r="C162" s="4" t="s">
        <v>92</v>
      </c>
      <c r="D162" s="54">
        <f t="shared" si="0"/>
        <v>4.6801475671423851E-3</v>
      </c>
      <c r="F162" s="4" t="s">
        <v>92</v>
      </c>
      <c r="G162" s="54">
        <f t="shared" si="1"/>
        <v>9.2645262242697715E-3</v>
      </c>
    </row>
    <row r="163" spans="3:7" x14ac:dyDescent="0.2">
      <c r="C163" s="4" t="s">
        <v>93</v>
      </c>
      <c r="D163" s="54">
        <f t="shared" si="0"/>
        <v>4.6800944451019649E-3</v>
      </c>
      <c r="F163" s="4" t="s">
        <v>93</v>
      </c>
      <c r="G163" s="54">
        <f t="shared" si="1"/>
        <v>9.2651612592212825E-3</v>
      </c>
    </row>
    <row r="164" spans="3:7" x14ac:dyDescent="0.2">
      <c r="C164" s="4" t="s">
        <v>94</v>
      </c>
      <c r="D164" s="54">
        <f t="shared" si="0"/>
        <v>4.6801007304728389E-3</v>
      </c>
      <c r="F164" s="4" t="s">
        <v>94</v>
      </c>
      <c r="G164" s="54">
        <f t="shared" si="1"/>
        <v>9.2650552371581277E-3</v>
      </c>
    </row>
    <row r="165" spans="3:7" x14ac:dyDescent="0.2">
      <c r="C165" s="4" t="s">
        <v>95</v>
      </c>
      <c r="D165" s="54">
        <f t="shared" si="0"/>
        <v>4.6800999867867912E-3</v>
      </c>
      <c r="F165" s="4" t="s">
        <v>95</v>
      </c>
      <c r="G165" s="54">
        <f t="shared" si="1"/>
        <v>9.2650729374064746E-3</v>
      </c>
    </row>
    <row r="166" spans="3:7" x14ac:dyDescent="0.2">
      <c r="C166" s="4" t="s">
        <v>96</v>
      </c>
      <c r="D166" s="54">
        <f t="shared" si="0"/>
        <v>4.6801000747797774E-3</v>
      </c>
      <c r="F166" s="4" t="s">
        <v>96</v>
      </c>
      <c r="G166" s="54">
        <f t="shared" si="1"/>
        <v>9.265069982354943E-3</v>
      </c>
    </row>
    <row r="167" spans="3:7" x14ac:dyDescent="0.2">
      <c r="C167" s="4" t="s">
        <v>97</v>
      </c>
      <c r="D167" s="54">
        <f t="shared" si="0"/>
        <v>4.6801000643684398E-3</v>
      </c>
      <c r="F167" s="4" t="s">
        <v>97</v>
      </c>
      <c r="G167" s="54">
        <f t="shared" si="1"/>
        <v>9.2650704756994835E-3</v>
      </c>
    </row>
    <row r="168" spans="3:7" x14ac:dyDescent="0.2">
      <c r="C168" s="4" t="s">
        <v>98</v>
      </c>
      <c r="D168" s="54">
        <f t="shared" si="0"/>
        <v>4.6801000656003103E-3</v>
      </c>
      <c r="F168" s="4" t="s">
        <v>98</v>
      </c>
      <c r="G168" s="54">
        <f t="shared" si="1"/>
        <v>9.2650703933358173E-3</v>
      </c>
    </row>
    <row r="169" spans="3:7" x14ac:dyDescent="0.2">
      <c r="C169" s="4" t="s">
        <v>99</v>
      </c>
      <c r="D169" s="54">
        <f t="shared" si="0"/>
        <v>4.6801000654545554E-3</v>
      </c>
      <c r="F169" s="4" t="s">
        <v>99</v>
      </c>
      <c r="G169" s="54">
        <f t="shared" si="1"/>
        <v>9.2650704070863944E-3</v>
      </c>
    </row>
    <row r="170" spans="3:7" x14ac:dyDescent="0.2">
      <c r="C170" s="4" t="s">
        <v>100</v>
      </c>
      <c r="D170" s="54">
        <f t="shared" si="0"/>
        <v>4.680100065471802E-3</v>
      </c>
      <c r="F170" s="4" t="s">
        <v>100</v>
      </c>
      <c r="G170" s="54">
        <f t="shared" si="1"/>
        <v>9.2650704047907428E-3</v>
      </c>
    </row>
    <row r="171" spans="3:7" ht="13.5" thickBot="1" x14ac:dyDescent="0.25">
      <c r="C171" s="6" t="s">
        <v>101</v>
      </c>
      <c r="D171" s="55">
        <f t="shared" si="0"/>
        <v>4.6801000654697611E-3</v>
      </c>
      <c r="F171" s="6" t="s">
        <v>101</v>
      </c>
      <c r="G171" s="55">
        <f t="shared" si="1"/>
        <v>9.2650704051739988E-3</v>
      </c>
    </row>
  </sheetData>
  <sheetProtection sheet="1" formatCells="0"/>
  <mergeCells count="47">
    <mergeCell ref="J12:M12"/>
    <mergeCell ref="A6:A19"/>
    <mergeCell ref="A21:A35"/>
    <mergeCell ref="A38:A72"/>
    <mergeCell ref="J9:N9"/>
    <mergeCell ref="J16:N16"/>
    <mergeCell ref="J22:N22"/>
    <mergeCell ref="J20:N20"/>
    <mergeCell ref="J35:L35"/>
    <mergeCell ref="J36:L36"/>
    <mergeCell ref="F156:G156"/>
    <mergeCell ref="C40:E40"/>
    <mergeCell ref="C54:D54"/>
    <mergeCell ref="C62:E62"/>
    <mergeCell ref="C156:D156"/>
    <mergeCell ref="F90:G90"/>
    <mergeCell ref="F54:G54"/>
    <mergeCell ref="F52:K52"/>
    <mergeCell ref="A74:A105"/>
    <mergeCell ref="C97:E97"/>
    <mergeCell ref="C98:E98"/>
    <mergeCell ref="C28:E28"/>
    <mergeCell ref="C21:E21"/>
    <mergeCell ref="B3:F3"/>
    <mergeCell ref="J2:N2"/>
    <mergeCell ref="J8:N8"/>
    <mergeCell ref="J3:N3"/>
    <mergeCell ref="J6:N6"/>
    <mergeCell ref="J4:N4"/>
    <mergeCell ref="J5:N5"/>
    <mergeCell ref="C7:E7"/>
    <mergeCell ref="C159:D159"/>
    <mergeCell ref="J25:N25"/>
    <mergeCell ref="J26:N26"/>
    <mergeCell ref="C57:D57"/>
    <mergeCell ref="C59:D59"/>
    <mergeCell ref="C61:E61"/>
    <mergeCell ref="C91:D91"/>
    <mergeCell ref="C93:D93"/>
    <mergeCell ref="C95:D95"/>
    <mergeCell ref="C46:E46"/>
    <mergeCell ref="F28:H28"/>
    <mergeCell ref="C55:D55"/>
    <mergeCell ref="C76:E76"/>
    <mergeCell ref="C82:E82"/>
    <mergeCell ref="C90:D90"/>
    <mergeCell ref="F159:G159"/>
  </mergeCells>
  <phoneticPr fontId="19" type="noConversion"/>
  <dataValidations count="6">
    <dataValidation type="decimal" operator="greaterThanOrEqual" allowBlank="1" showInputMessage="1" showErrorMessage="1" errorTitle="Invalid Entry" error="Please enter a value greater than zero._x000a_" sqref="D23 D79 D43 D25 G30 D41 D77 D9 D11" xr:uid="{00000000-0002-0000-0700-000000000000}">
      <formula1>0</formula1>
    </dataValidation>
    <dataValidation type="decimal" operator="greaterThanOrEqual" allowBlank="1" showInputMessage="1" showErrorMessage="1" errorTitle="Invalid Entry" error="Please enter a value greater than zero." sqref="D15" xr:uid="{00000000-0002-0000-0700-000001000000}">
      <formula1>0</formula1>
    </dataValidation>
    <dataValidation type="decimal" operator="greaterThanOrEqual" allowBlank="1" showErrorMessage="1" errorTitle="Invalid Entry" error="Please enter a value greater than zero." promptTitle="Enter Flow Rate" prompt="Enter in units of cfs or gpm" sqref="G32 G17 D17" xr:uid="{00000000-0002-0000-0700-000002000000}">
      <formula1>0</formula1>
    </dataValidation>
    <dataValidation operator="greaterThanOrEqual" allowBlank="1" showInputMessage="1" showErrorMessage="1" errorTitle="Invalid Entry" error="Please enter a value greater than zero._x000a_" sqref="D30" xr:uid="{00000000-0002-0000-0700-000003000000}"/>
    <dataValidation showInputMessage="1" showErrorMessage="1" sqref="F9" xr:uid="{00000000-0002-0000-0700-000004000000}"/>
    <dataValidation type="list" showInputMessage="1" showErrorMessage="1" sqref="F10" xr:uid="{00000000-0002-0000-0700-000005000000}">
      <formula1>BasisArea</formula1>
    </dataValidation>
  </dataValidations>
  <hyperlinks>
    <hyperlink ref="J5:N5" r:id="rId1" location="ch07lev1sec27" display="  Hick's Handbook of Chemical Engineering Calculations, Fourth Ed. - Section 7.27" xr:uid="{00000000-0004-0000-0700-000001000000}"/>
    <hyperlink ref="J26:K26" r:id="rId2" location="p2001147c9963_48002" display="Table 3.3.9" xr:uid="{00000000-0004-0000-0700-000003000000}"/>
    <hyperlink ref="J6:N6" r:id="rId3" location="ch20lev1sec1" display="  Thermal Science - Essentials of Thermodynamics Fluid Mechanics and Heat Transfer, Ch 20" xr:uid="{00000000-0004-0000-0700-000007000000}"/>
    <hyperlink ref="J20:N20" r:id="rId4" location="p20018cf89820098001" display="  Heat Transfer in Process Engineering, Table 5-1. Standard Combinations for Double-Tube Heat Exchangers" xr:uid="{00000000-0004-0000-0700-000008000000}"/>
    <hyperlink ref="J16:N16" r:id="rId5" location="p20018cf89970102001" display="  Heat Transfer in Process Engineering, 5.7. Design Procedure for a Double-Tube Heat Exchanger" xr:uid="{00000000-0004-0000-0700-000009000000}"/>
    <hyperlink ref="J12:L12" r:id="rId6" location="ch11table02" display="  Handbook of Energy Engineering Calculations, Table 2" xr:uid="{00000000-0004-0000-0700-00000A000000}"/>
    <hyperlink ref="F52:K52" r:id="rId7" location="p20018cf89970102001" display="  Heat Transfer in Process Engineering, Sec 5.7. Design Procedure for a Double-Tube Heat Exchanger" xr:uid="{00000000-0004-0000-0700-00000B000000}"/>
    <hyperlink ref="J26:N26" r:id="rId8" location="ch01table03_09" display="  Mark's Standard Handbook for Mechanical Engineers, 11th Ed, Table 3.3.9  -  U.S. units" xr:uid="{00000000-0004-0000-0700-00000D000000}"/>
    <hyperlink ref="J4:N4" r:id="rId9" display="  Perry's Chemical Engineers' Handbook, 9th Ed. - 11.1 Thermal Design of Heat Transfer Equipment" xr:uid="{2721BB2E-2BDC-4707-8716-3836379CA13F}"/>
    <hyperlink ref="J8:N8" r:id="rId10" location="ch11table03" display="  Perry's Chemical Engineers' Handbook, 9th Ed." xr:uid="{0AE232EF-D676-4FE9-9CE1-DAE22545A9BB}"/>
    <hyperlink ref="J9:N9" r:id="rId11" location="ch11table03" display="  Table 11-3. Typical Overall Heat-Transfer Coefficients in Tubular Heat Exchangers" xr:uid="{49B52F2E-3BD8-445C-9084-8A87E2157D52}"/>
    <hyperlink ref="J25" r:id="rId12" location="p200139d89826_10001" display="Table 6-1" xr:uid="{11570616-3192-4633-BCEA-2BC590EABE9D}"/>
    <hyperlink ref="J25:N25" r:id="rId13" location="ch06table02" display="Perry's Chemical Engineer's Handbook, 9th Ed, Table 6-2 - S.I. units" xr:uid="{6FC5A8CF-A7DD-4A3E-A28E-02F35DF8C91B}"/>
    <hyperlink ref="J35" r:id="rId14" location="p200139d89956_10001" display="  The Fanning Equation:    Equation 6-32 in Perry's" xr:uid="{473204D0-7264-48F5-8F82-3BE467D63B11}"/>
    <hyperlink ref="J35:L35" r:id="rId15" location="c9780071834087ch06lev2sec05" display="  The Fanning Equation:    Equation 6-31 in Perry's" xr:uid="{BAC3B553-D329-40E3-B40D-4F5AFE43B619}"/>
    <hyperlink ref="J36" r:id="rId16" location="p200139d89956_10001" display="  Chemical Engineer's Handbook, 8th Ed." xr:uid="{05CAB05C-4DF8-4468-9B96-451B5729783B}"/>
    <hyperlink ref="J36:L36" r:id="rId17" location="c9780071834087ch06lev2sec05" display="  Chemical Engineer's Handbook, 9th Ed." xr:uid="{14638C23-2B79-472B-AF59-490AEA0BC5AE}"/>
  </hyperlinks>
  <pageMargins left="0.75" right="0.75" top="1" bottom="1" header="0.5" footer="0.5"/>
  <pageSetup orientation="portrait" horizontalDpi="0" verticalDpi="0" r:id="rId18"/>
  <headerFooter alignWithMargins="0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1. Contents</vt:lpstr>
      <vt:lpstr>2. Overview</vt:lpstr>
      <vt:lpstr>3. Tubeside Liquid Properties</vt:lpstr>
      <vt:lpstr>4. Annulus Liquid Properties</vt:lpstr>
      <vt:lpstr>5. Liquid Prop. at Surf. Temp.</vt:lpstr>
      <vt:lpstr>6. Tubeside HT Coeff</vt:lpstr>
      <vt:lpstr>7. Annulus side HT Coeff</vt:lpstr>
      <vt:lpstr>8. Heat Exchanger Configuration</vt:lpstr>
      <vt:lpstr>AnnulusLiquid</vt:lpstr>
      <vt:lpstr>BasisArea</vt:lpstr>
      <vt:lpstr>BulkMeanTempOne</vt:lpstr>
      <vt:lpstr>BulkMeanTempTwo</vt:lpstr>
      <vt:lpstr>DensityOne</vt:lpstr>
      <vt:lpstr>DensityTwo</vt:lpstr>
      <vt:lpstr>FlowRateAnnulus</vt:lpstr>
      <vt:lpstr>FlowRateTube</vt:lpstr>
      <vt:lpstr>hAnn</vt:lpstr>
      <vt:lpstr>hTube</vt:lpstr>
      <vt:lpstr>IDInner</vt:lpstr>
      <vt:lpstr>IDOuter</vt:lpstr>
      <vt:lpstr>ODInner</vt:lpstr>
      <vt:lpstr>SpecificHeatOne</vt:lpstr>
      <vt:lpstr>SpecificHeatTwo</vt:lpstr>
      <vt:lpstr>SurfaceThCondAnnulus</vt:lpstr>
      <vt:lpstr>SurfaceThCondTubeside</vt:lpstr>
      <vt:lpstr>SurfSpHtAnnulus</vt:lpstr>
      <vt:lpstr>SurfSpHtTubeside</vt:lpstr>
      <vt:lpstr>SurfViscAnnulus</vt:lpstr>
      <vt:lpstr>SurfViscTubeside</vt:lpstr>
      <vt:lpstr>TempAlertOne</vt:lpstr>
      <vt:lpstr>TempBMOne</vt:lpstr>
      <vt:lpstr>TempBMTwo</vt:lpstr>
      <vt:lpstr>ThermCondOne</vt:lpstr>
      <vt:lpstr>ThermCondTwo</vt:lpstr>
      <vt:lpstr>TinOne</vt:lpstr>
      <vt:lpstr>TinTwo</vt:lpstr>
      <vt:lpstr>ToutOne</vt:lpstr>
      <vt:lpstr>ToutTwo</vt:lpstr>
      <vt:lpstr>TSurfAnnulus</vt:lpstr>
      <vt:lpstr>TSurfTube</vt:lpstr>
      <vt:lpstr>TubesideLiquid</vt:lpstr>
      <vt:lpstr>VelocityAnnulus</vt:lpstr>
      <vt:lpstr>ViscosityOne</vt:lpstr>
      <vt:lpstr>ViscosityTwo</vt:lpstr>
      <vt:lpstr>WallThermalCond</vt:lpstr>
      <vt:lpstr>WallThickness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</dc:creator>
  <cp:lastModifiedBy>Harlan Bengtson</cp:lastModifiedBy>
  <cp:lastPrinted>2013-11-06T22:35:24Z</cp:lastPrinted>
  <dcterms:created xsi:type="dcterms:W3CDTF">2013-05-14T19:24:48Z</dcterms:created>
  <dcterms:modified xsi:type="dcterms:W3CDTF">2018-12-11T17:51:26Z</dcterms:modified>
</cp:coreProperties>
</file>